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lesova\Desktop\"/>
    </mc:Choice>
  </mc:AlternateContent>
  <bookViews>
    <workbookView xWindow="0" yWindow="0" windowWidth="21570" windowHeight="7560" tabRatio="927"/>
  </bookViews>
  <sheets>
    <sheet name="Rekapitulácia stavby" sheetId="1" r:id="rId1"/>
    <sheet name="Strešný plášť" sheetId="2" r:id="rId2"/>
    <sheet name="Obvodový plášť" sheetId="3" r:id="rId3"/>
    <sheet name="Okná, dvere" sheetId="33" r:id="rId4"/>
    <sheet name="Obnova chodníka" sheetId="5" r:id="rId5"/>
    <sheet name="Sanácie balkónov" sheetId="16" r:id="rId6"/>
    <sheet name="Elektroinštalácia" sheetId="25" r:id="rId7"/>
    <sheet name="Fotovoltaika - Elektroinš..." sheetId="30" r:id="rId8"/>
    <sheet name="SO 07 - Vzduchotechnika" sheetId="31" r:id="rId9"/>
    <sheet name="SO 08 - Vykurovanie" sheetId="32" r:id="rId10"/>
  </sheets>
  <externalReferences>
    <externalReference r:id="rId11"/>
  </externalReferences>
  <definedNames>
    <definedName name="_xlnm._FilterDatabase" localSheetId="6" hidden="1">Elektroinštalácia!$C$17:$AA$115</definedName>
    <definedName name="_xlnm._FilterDatabase" localSheetId="4" hidden="1">'Obnova chodníka'!$C$16:$BC$16</definedName>
    <definedName name="_xlnm._FilterDatabase" localSheetId="2" hidden="1">'Obvodový plášť'!$C$17:$BC$104</definedName>
    <definedName name="_xlnm._FilterDatabase" localSheetId="3" hidden="1">'Okná, dvere'!$C$17:$BC$17</definedName>
    <definedName name="_xlnm._FilterDatabase" localSheetId="5" hidden="1">'Sanácie balkónov'!$C$17:$AO$17</definedName>
    <definedName name="_xlnm._FilterDatabase" localSheetId="1" hidden="1">'Strešný plášť'!$C$15:$BC$15</definedName>
    <definedName name="_xlnm.Print_Titles" localSheetId="6">Elektroinštalácia!$17:$17</definedName>
    <definedName name="_xlnm.Print_Titles" localSheetId="7">'Fotovoltaika - Elektroinš...'!$16:$16</definedName>
    <definedName name="_xlnm.Print_Titles" localSheetId="4">'Obnova chodníka'!$16:$16</definedName>
    <definedName name="_xlnm.Print_Titles" localSheetId="2">'Obvodový plášť'!$17:$17</definedName>
    <definedName name="_xlnm.Print_Titles" localSheetId="3">'Okná, dvere'!$17:$17</definedName>
    <definedName name="_xlnm.Print_Titles" localSheetId="0">'Rekapitulácia stavby'!$13:$13</definedName>
    <definedName name="_xlnm.Print_Titles" localSheetId="5">'Sanácie balkónov'!$17:$17</definedName>
    <definedName name="_xlnm.Print_Titles" localSheetId="8">'SO 07 - Vzduchotechnika'!$15:$15</definedName>
    <definedName name="_xlnm.Print_Titles" localSheetId="9">'SO 08 - Vykurovanie'!$15:$15</definedName>
    <definedName name="_xlnm.Print_Titles" localSheetId="1">'Strešný plášť'!$15:$15</definedName>
    <definedName name="_xlnm.Print_Area" localSheetId="6">Elektroinštalácia!$A$1:$AB$137</definedName>
    <definedName name="_xlnm.Print_Area" localSheetId="7">'Fotovoltaika - Elektroinš...'!$A$1:$O$62</definedName>
    <definedName name="_xlnm.Print_Area" localSheetId="4">'Obnova chodníka'!$A$1:$BD$90</definedName>
    <definedName name="_xlnm.Print_Area" localSheetId="2">'Obvodový plášť'!$A$1:$BD$105</definedName>
    <definedName name="_xlnm.Print_Area" localSheetId="3">'Okná, dvere'!$A$1:$BD$80</definedName>
    <definedName name="_xlnm.Print_Area" localSheetId="0">'Rekapitulácia stavby'!$A$1:$AU$56</definedName>
    <definedName name="_xlnm.Print_Area" localSheetId="5">'Sanácie balkónov'!$A$1:$AP$115</definedName>
    <definedName name="_xlnm.Print_Area" localSheetId="8">'SO 07 - Vzduchotechnika'!$A$1:$O$84</definedName>
    <definedName name="_xlnm.Print_Area" localSheetId="9">'SO 08 - Vykurovanie'!$A$1:$N$114</definedName>
  </definedNames>
  <calcPr calcId="152511" iterateCount="1"/>
</workbook>
</file>

<file path=xl/calcChain.xml><?xml version="1.0" encoding="utf-8"?>
<calcChain xmlns="http://schemas.openxmlformats.org/spreadsheetml/2006/main">
  <c r="O85" i="3" l="1"/>
  <c r="O69" i="3" l="1"/>
  <c r="AA99" i="16" l="1"/>
  <c r="Z99" i="16"/>
  <c r="Y99" i="16"/>
  <c r="O76" i="2" l="1"/>
  <c r="O75" i="2"/>
  <c r="N76" i="2"/>
  <c r="N75" i="2"/>
  <c r="M76" i="2"/>
  <c r="M75" i="2"/>
  <c r="L76" i="2"/>
  <c r="L75" i="2"/>
  <c r="K75" i="2"/>
  <c r="K76" i="2"/>
  <c r="K66" i="16" l="1"/>
  <c r="L66" i="16"/>
  <c r="K65" i="16" l="1"/>
  <c r="K72" i="16"/>
  <c r="T72" i="16" s="1"/>
  <c r="K71" i="16"/>
  <c r="K69" i="16"/>
  <c r="K70" i="16" s="1"/>
  <c r="T70" i="16" s="1"/>
  <c r="K68" i="16"/>
  <c r="T68" i="16" s="1"/>
  <c r="L72" i="16"/>
  <c r="U72" i="16" s="1"/>
  <c r="L69" i="16"/>
  <c r="L70" i="16" s="1"/>
  <c r="U70" i="16" s="1"/>
  <c r="L68" i="16"/>
  <c r="L71" i="16"/>
  <c r="M66" i="16"/>
  <c r="L61" i="16"/>
  <c r="K61" i="16"/>
  <c r="L60" i="16"/>
  <c r="U60" i="16" s="1"/>
  <c r="K60" i="16"/>
  <c r="T60" i="16" s="1"/>
  <c r="AH104" i="16"/>
  <c r="AG104" i="16"/>
  <c r="AF104" i="16"/>
  <c r="AH103" i="16"/>
  <c r="AG103" i="16"/>
  <c r="AF103" i="16"/>
  <c r="AH102" i="16"/>
  <c r="AG102" i="16"/>
  <c r="AF102" i="16"/>
  <c r="AH101" i="16"/>
  <c r="AG101" i="16"/>
  <c r="AF101" i="16"/>
  <c r="AH99" i="16"/>
  <c r="AG99" i="16"/>
  <c r="AF99" i="16"/>
  <c r="AH95" i="16"/>
  <c r="AG95" i="16"/>
  <c r="AF95" i="16"/>
  <c r="AI95" i="16" s="1"/>
  <c r="AH94" i="16"/>
  <c r="AG94" i="16"/>
  <c r="AF94" i="16"/>
  <c r="AH74" i="16"/>
  <c r="AH92" i="16"/>
  <c r="AG92" i="16"/>
  <c r="AF92" i="16"/>
  <c r="AI92" i="16" s="1"/>
  <c r="AH91" i="16"/>
  <c r="AI91" i="16" s="1"/>
  <c r="AG91" i="16"/>
  <c r="AF91" i="16"/>
  <c r="AH90" i="16"/>
  <c r="AG90" i="16"/>
  <c r="AI90" i="16" s="1"/>
  <c r="AF90" i="16"/>
  <c r="AH89" i="16"/>
  <c r="AG89" i="16"/>
  <c r="AF89" i="16"/>
  <c r="AH88" i="16"/>
  <c r="AG88" i="16"/>
  <c r="AF88" i="16"/>
  <c r="AH87" i="16"/>
  <c r="AI87" i="16" s="1"/>
  <c r="AG87" i="16"/>
  <c r="AF87" i="16"/>
  <c r="AH86" i="16"/>
  <c r="AG86" i="16"/>
  <c r="AI86" i="16" s="1"/>
  <c r="AF86" i="16"/>
  <c r="AH85" i="16"/>
  <c r="AG85" i="16"/>
  <c r="AF85" i="16"/>
  <c r="AI85" i="16" s="1"/>
  <c r="AH84" i="16"/>
  <c r="AG84" i="16"/>
  <c r="AF84" i="16"/>
  <c r="AH83" i="16"/>
  <c r="AI83" i="16" s="1"/>
  <c r="AG83" i="16"/>
  <c r="AF83" i="16"/>
  <c r="AH82" i="16"/>
  <c r="AG82" i="16"/>
  <c r="AI82" i="16" s="1"/>
  <c r="AF82" i="16"/>
  <c r="AH81" i="16"/>
  <c r="AG81" i="16"/>
  <c r="AF81" i="16"/>
  <c r="AI81" i="16" s="1"/>
  <c r="AH80" i="16"/>
  <c r="AG80" i="16"/>
  <c r="AF80" i="16"/>
  <c r="AH79" i="16"/>
  <c r="AI79" i="16" s="1"/>
  <c r="AG79" i="16"/>
  <c r="AF79" i="16"/>
  <c r="AH78" i="16"/>
  <c r="AG78" i="16"/>
  <c r="AI78" i="16" s="1"/>
  <c r="AF78" i="16"/>
  <c r="AH77" i="16"/>
  <c r="AG77" i="16"/>
  <c r="AF77" i="16"/>
  <c r="AI77" i="16" s="1"/>
  <c r="AH76" i="16"/>
  <c r="AG76" i="16"/>
  <c r="AF76" i="16"/>
  <c r="AH75" i="16"/>
  <c r="AI75" i="16" s="1"/>
  <c r="AG75" i="16"/>
  <c r="AF75" i="16"/>
  <c r="AG74" i="16"/>
  <c r="AF74" i="16"/>
  <c r="AH72" i="16"/>
  <c r="AG72" i="16"/>
  <c r="AF72" i="16"/>
  <c r="AH71" i="16"/>
  <c r="AG71" i="16"/>
  <c r="AF71" i="16"/>
  <c r="AH70" i="16"/>
  <c r="AG70" i="16"/>
  <c r="AF70" i="16"/>
  <c r="AH69" i="16"/>
  <c r="AG69" i="16"/>
  <c r="AF69" i="16"/>
  <c r="AH68" i="16"/>
  <c r="AG68" i="16"/>
  <c r="AF68" i="16"/>
  <c r="AI68" i="16" s="1"/>
  <c r="AH67" i="16"/>
  <c r="AG67" i="16"/>
  <c r="AF67" i="16"/>
  <c r="AH66" i="16"/>
  <c r="AG66" i="16"/>
  <c r="AF66" i="16"/>
  <c r="AH65" i="16"/>
  <c r="AG65" i="16"/>
  <c r="AF65" i="16"/>
  <c r="AH64" i="16"/>
  <c r="AG64" i="16"/>
  <c r="AF64" i="16"/>
  <c r="AH62" i="16"/>
  <c r="AG62" i="16"/>
  <c r="AF62" i="16"/>
  <c r="AH61" i="16"/>
  <c r="AG61" i="16"/>
  <c r="AF61" i="16"/>
  <c r="AH60" i="16"/>
  <c r="AG60" i="16"/>
  <c r="AF60" i="16"/>
  <c r="AH55" i="16"/>
  <c r="AG55" i="16"/>
  <c r="AF55" i="16"/>
  <c r="AH54" i="16"/>
  <c r="AG54" i="16"/>
  <c r="AF54" i="16"/>
  <c r="AH53" i="16"/>
  <c r="AG53" i="16"/>
  <c r="AF53" i="16"/>
  <c r="AH52" i="16"/>
  <c r="AG52" i="16"/>
  <c r="AF52" i="16"/>
  <c r="AH51" i="16"/>
  <c r="AG51" i="16"/>
  <c r="AF51" i="16"/>
  <c r="AH49" i="16"/>
  <c r="AG49" i="16"/>
  <c r="AF49" i="16"/>
  <c r="AH48" i="16"/>
  <c r="AG48" i="16"/>
  <c r="AI48" i="16" s="1"/>
  <c r="AF48" i="16"/>
  <c r="AH47" i="16"/>
  <c r="AG47" i="16"/>
  <c r="AF47" i="16"/>
  <c r="AH46" i="16"/>
  <c r="AG46" i="16"/>
  <c r="AF46" i="16"/>
  <c r="AH44" i="16"/>
  <c r="AG44" i="16"/>
  <c r="AF44" i="16"/>
  <c r="AH43" i="16"/>
  <c r="AG43" i="16"/>
  <c r="AF43" i="16"/>
  <c r="AH42" i="16"/>
  <c r="AG42" i="16"/>
  <c r="AF42" i="16"/>
  <c r="AH40" i="16"/>
  <c r="AG40" i="16"/>
  <c r="AF40" i="16"/>
  <c r="AH39" i="16"/>
  <c r="AG39" i="16"/>
  <c r="AF39" i="16"/>
  <c r="AH38" i="16"/>
  <c r="AG38" i="16"/>
  <c r="AF38" i="16"/>
  <c r="AH37" i="16"/>
  <c r="AG37" i="16"/>
  <c r="AF37" i="16"/>
  <c r="AH36" i="16"/>
  <c r="AG36" i="16"/>
  <c r="AF36" i="16"/>
  <c r="AH35" i="16"/>
  <c r="AG35" i="16"/>
  <c r="AF35" i="16"/>
  <c r="AH34" i="16"/>
  <c r="AG34" i="16"/>
  <c r="AF34" i="16"/>
  <c r="AH33" i="16"/>
  <c r="AG33" i="16"/>
  <c r="AF33" i="16"/>
  <c r="AH32" i="16"/>
  <c r="AG32" i="16"/>
  <c r="AF32" i="16"/>
  <c r="AH29" i="16"/>
  <c r="AH28" i="16" s="1"/>
  <c r="AG29" i="16"/>
  <c r="AF29" i="16"/>
  <c r="AH27" i="16"/>
  <c r="AG27" i="16"/>
  <c r="AF27" i="16"/>
  <c r="AH26" i="16"/>
  <c r="AG26" i="16"/>
  <c r="AF26" i="16"/>
  <c r="AH25" i="16"/>
  <c r="AG25" i="16"/>
  <c r="AF25" i="16"/>
  <c r="AH23" i="16"/>
  <c r="AG23" i="16"/>
  <c r="AF23" i="16"/>
  <c r="AH22" i="16"/>
  <c r="AG22" i="16"/>
  <c r="AF22" i="16"/>
  <c r="AH21" i="16"/>
  <c r="AG21" i="16"/>
  <c r="AF21" i="16"/>
  <c r="AG28" i="16"/>
  <c r="AF28" i="16"/>
  <c r="U103" i="16"/>
  <c r="T103" i="16"/>
  <c r="U102" i="16"/>
  <c r="T102" i="16"/>
  <c r="V101" i="16"/>
  <c r="U101" i="16"/>
  <c r="T101" i="16"/>
  <c r="V99" i="16"/>
  <c r="U99" i="16"/>
  <c r="T99" i="16"/>
  <c r="U95" i="16"/>
  <c r="T95" i="16"/>
  <c r="U94" i="16"/>
  <c r="T94" i="16"/>
  <c r="V91" i="16"/>
  <c r="U91" i="16"/>
  <c r="T91" i="16"/>
  <c r="V87" i="16"/>
  <c r="U87" i="16"/>
  <c r="T87" i="16"/>
  <c r="V86" i="16"/>
  <c r="U86" i="16"/>
  <c r="T86" i="16"/>
  <c r="V85" i="16"/>
  <c r="U85" i="16"/>
  <c r="T85" i="16"/>
  <c r="V84" i="16"/>
  <c r="U84" i="16"/>
  <c r="T84" i="16"/>
  <c r="V83" i="16"/>
  <c r="U83" i="16"/>
  <c r="T83" i="16"/>
  <c r="V82" i="16"/>
  <c r="U82" i="16"/>
  <c r="T82" i="16"/>
  <c r="V81" i="16"/>
  <c r="U81" i="16"/>
  <c r="W81" i="16" s="1"/>
  <c r="T81" i="16"/>
  <c r="V80" i="16"/>
  <c r="U80" i="16"/>
  <c r="T80" i="16"/>
  <c r="V79" i="16"/>
  <c r="U79" i="16"/>
  <c r="T79" i="16"/>
  <c r="V78" i="16"/>
  <c r="U78" i="16"/>
  <c r="T78" i="16"/>
  <c r="U77" i="16"/>
  <c r="T77" i="16"/>
  <c r="V76" i="16"/>
  <c r="U76" i="16"/>
  <c r="T76" i="16"/>
  <c r="W76" i="16" s="1"/>
  <c r="U75" i="16"/>
  <c r="T75" i="16"/>
  <c r="V74" i="16"/>
  <c r="U74" i="16"/>
  <c r="T74" i="16"/>
  <c r="U71" i="16"/>
  <c r="T71" i="16"/>
  <c r="U69" i="16"/>
  <c r="U68" i="16"/>
  <c r="U67" i="16"/>
  <c r="T67" i="16"/>
  <c r="V66" i="16"/>
  <c r="U66" i="16"/>
  <c r="T66" i="16"/>
  <c r="U65" i="16"/>
  <c r="T65" i="16"/>
  <c r="V64" i="16"/>
  <c r="V62" i="16"/>
  <c r="U62" i="16"/>
  <c r="T62" i="16"/>
  <c r="V61" i="16"/>
  <c r="U61" i="16"/>
  <c r="T61" i="16"/>
  <c r="V60" i="16"/>
  <c r="V55" i="16"/>
  <c r="U55" i="16"/>
  <c r="T55" i="16"/>
  <c r="V54" i="16"/>
  <c r="U54" i="16"/>
  <c r="T54" i="16"/>
  <c r="V53" i="16"/>
  <c r="U53" i="16"/>
  <c r="T53" i="16"/>
  <c r="V52" i="16"/>
  <c r="U52" i="16"/>
  <c r="T52" i="16"/>
  <c r="V51" i="16"/>
  <c r="U51" i="16"/>
  <c r="T51" i="16"/>
  <c r="V49" i="16"/>
  <c r="U49" i="16"/>
  <c r="T49" i="16"/>
  <c r="V48" i="16"/>
  <c r="U48" i="16"/>
  <c r="T48" i="16"/>
  <c r="V47" i="16"/>
  <c r="U47" i="16"/>
  <c r="T47" i="16"/>
  <c r="V46" i="16"/>
  <c r="U46" i="16"/>
  <c r="T46" i="16"/>
  <c r="V44" i="16"/>
  <c r="U44" i="16"/>
  <c r="T44" i="16"/>
  <c r="V43" i="16"/>
  <c r="U43" i="16"/>
  <c r="T43" i="16"/>
  <c r="V42" i="16"/>
  <c r="U42" i="16"/>
  <c r="T42" i="16"/>
  <c r="V40" i="16"/>
  <c r="U40" i="16"/>
  <c r="T40" i="16"/>
  <c r="V39" i="16"/>
  <c r="U39" i="16"/>
  <c r="T39" i="16"/>
  <c r="V38" i="16"/>
  <c r="U38" i="16"/>
  <c r="T38" i="16"/>
  <c r="V37" i="16"/>
  <c r="U37" i="16"/>
  <c r="T37" i="16"/>
  <c r="V36" i="16"/>
  <c r="U36" i="16"/>
  <c r="T36" i="16"/>
  <c r="V35" i="16"/>
  <c r="U35" i="16"/>
  <c r="T35" i="16"/>
  <c r="V34" i="16"/>
  <c r="U34" i="16"/>
  <c r="T34" i="16"/>
  <c r="V33" i="16"/>
  <c r="U33" i="16"/>
  <c r="T33" i="16"/>
  <c r="V32" i="16"/>
  <c r="U32" i="16"/>
  <c r="T32" i="16"/>
  <c r="V29" i="16"/>
  <c r="U29" i="16"/>
  <c r="T29" i="16"/>
  <c r="V27" i="16"/>
  <c r="U27" i="16"/>
  <c r="T27" i="16"/>
  <c r="V26" i="16"/>
  <c r="U26" i="16"/>
  <c r="T26" i="16"/>
  <c r="V25" i="16"/>
  <c r="U25" i="16"/>
  <c r="T25" i="16"/>
  <c r="V23" i="16"/>
  <c r="U23" i="16"/>
  <c r="T23" i="16"/>
  <c r="V22" i="16"/>
  <c r="U22" i="16"/>
  <c r="T22" i="16"/>
  <c r="V21" i="16"/>
  <c r="U21" i="16"/>
  <c r="T21" i="16"/>
  <c r="L44" i="5"/>
  <c r="K44" i="5"/>
  <c r="O44" i="5"/>
  <c r="O43" i="5"/>
  <c r="AM36" i="1"/>
  <c r="AT79" i="33"/>
  <c r="AS79" i="33"/>
  <c r="AR79" i="33"/>
  <c r="AQ79" i="33"/>
  <c r="AP79" i="33"/>
  <c r="AU79" i="33" s="1"/>
  <c r="AV79" i="33" s="1"/>
  <c r="AT78" i="33"/>
  <c r="AS78" i="33"/>
  <c r="AR78" i="33"/>
  <c r="AQ78" i="33"/>
  <c r="AP78" i="33"/>
  <c r="AT77" i="33"/>
  <c r="AS77" i="33"/>
  <c r="AR77" i="33"/>
  <c r="AQ77" i="33"/>
  <c r="AP77" i="33"/>
  <c r="AT76" i="33"/>
  <c r="AS76" i="33"/>
  <c r="AR76" i="33"/>
  <c r="AQ76" i="33"/>
  <c r="AP76" i="33"/>
  <c r="AT75" i="33"/>
  <c r="AS75" i="33"/>
  <c r="AR75" i="33"/>
  <c r="AQ75" i="33"/>
  <c r="AP75" i="33"/>
  <c r="AT74" i="33"/>
  <c r="AS74" i="33"/>
  <c r="AR74" i="33"/>
  <c r="AQ74" i="33"/>
  <c r="AP74" i="33"/>
  <c r="AT73" i="33"/>
  <c r="AS73" i="33"/>
  <c r="AR73" i="33"/>
  <c r="AQ73" i="33"/>
  <c r="AP73" i="33"/>
  <c r="AT72" i="33"/>
  <c r="AS72" i="33"/>
  <c r="AR72" i="33"/>
  <c r="AQ72" i="33"/>
  <c r="AP72" i="33"/>
  <c r="AT71" i="33"/>
  <c r="AS71" i="33"/>
  <c r="AR71" i="33"/>
  <c r="AQ71" i="33"/>
  <c r="AP71" i="33"/>
  <c r="AU71" i="33" s="1"/>
  <c r="AV71" i="33" s="1"/>
  <c r="AT70" i="33"/>
  <c r="AS70" i="33"/>
  <c r="AR70" i="33"/>
  <c r="AQ70" i="33"/>
  <c r="AP70" i="33"/>
  <c r="AT69" i="33"/>
  <c r="AS69" i="33"/>
  <c r="AR69" i="33"/>
  <c r="AQ69" i="33"/>
  <c r="AP69" i="33"/>
  <c r="AT68" i="33"/>
  <c r="AS68" i="33"/>
  <c r="AR68" i="33"/>
  <c r="AQ68" i="33"/>
  <c r="AP68" i="33"/>
  <c r="AT67" i="33"/>
  <c r="AT64" i="33" s="1"/>
  <c r="AS67" i="33"/>
  <c r="AR67" i="33"/>
  <c r="AQ67" i="33"/>
  <c r="AP67" i="33"/>
  <c r="AT66" i="33"/>
  <c r="AS66" i="33"/>
  <c r="AR66" i="33"/>
  <c r="AQ66" i="33"/>
  <c r="AU66" i="33" s="1"/>
  <c r="AV66" i="33" s="1"/>
  <c r="AP66" i="33"/>
  <c r="AT65" i="33"/>
  <c r="AS65" i="33"/>
  <c r="AR65" i="33"/>
  <c r="AQ65" i="33"/>
  <c r="AP65" i="33"/>
  <c r="AU72" i="33"/>
  <c r="AV72" i="33" s="1"/>
  <c r="AT63" i="33"/>
  <c r="AS63" i="33"/>
  <c r="AU63" i="33" s="1"/>
  <c r="AR63" i="33"/>
  <c r="AQ63" i="33"/>
  <c r="AP63" i="33"/>
  <c r="AT62" i="33"/>
  <c r="AS62" i="33"/>
  <c r="AR62" i="33"/>
  <c r="AQ62" i="33"/>
  <c r="AP62" i="33"/>
  <c r="AT61" i="33"/>
  <c r="AS61" i="33"/>
  <c r="AR61" i="33"/>
  <c r="AQ61" i="33"/>
  <c r="AP61" i="33"/>
  <c r="AT60" i="33"/>
  <c r="AS60" i="33"/>
  <c r="AR60" i="33"/>
  <c r="AQ60" i="33"/>
  <c r="AP60" i="33"/>
  <c r="AT55" i="33"/>
  <c r="AS55" i="33"/>
  <c r="AR55" i="33"/>
  <c r="AQ55" i="33"/>
  <c r="AP55" i="33"/>
  <c r="AT54" i="33"/>
  <c r="AS54" i="33"/>
  <c r="AR54" i="33"/>
  <c r="AQ54" i="33"/>
  <c r="AP54" i="33"/>
  <c r="AT53" i="33"/>
  <c r="AS53" i="33"/>
  <c r="AR53" i="33"/>
  <c r="AQ53" i="33"/>
  <c r="AP53" i="33"/>
  <c r="AT52" i="33"/>
  <c r="AS52" i="33"/>
  <c r="AR52" i="33"/>
  <c r="AQ52" i="33"/>
  <c r="AP52" i="33"/>
  <c r="AT51" i="33"/>
  <c r="AS51" i="33"/>
  <c r="AR51" i="33"/>
  <c r="AQ51" i="33"/>
  <c r="AP51" i="33"/>
  <c r="AT50" i="33"/>
  <c r="AS50" i="33"/>
  <c r="AR50" i="33"/>
  <c r="AQ50" i="33"/>
  <c r="AP50" i="33"/>
  <c r="AT49" i="33"/>
  <c r="AS49" i="33"/>
  <c r="AR49" i="33"/>
  <c r="AQ49" i="33"/>
  <c r="AP49" i="33"/>
  <c r="AT48" i="33"/>
  <c r="AS48" i="33"/>
  <c r="AR48" i="33"/>
  <c r="AQ48" i="33"/>
  <c r="AP48" i="33"/>
  <c r="AT47" i="33"/>
  <c r="AS47" i="33"/>
  <c r="AR47" i="33"/>
  <c r="AQ47" i="33"/>
  <c r="AP47" i="33"/>
  <c r="AT46" i="33"/>
  <c r="AS46" i="33"/>
  <c r="AR46" i="33"/>
  <c r="AQ46" i="33"/>
  <c r="AP46" i="33"/>
  <c r="AT45" i="33"/>
  <c r="AS45" i="33"/>
  <c r="AR45" i="33"/>
  <c r="AQ45" i="33"/>
  <c r="AP45" i="33"/>
  <c r="AT44" i="33"/>
  <c r="AS44" i="33"/>
  <c r="AR44" i="33"/>
  <c r="AQ44" i="33"/>
  <c r="AP44" i="33"/>
  <c r="AT43" i="33"/>
  <c r="AS43" i="33"/>
  <c r="AR43" i="33"/>
  <c r="AQ43" i="33"/>
  <c r="AP43" i="33"/>
  <c r="AT42" i="33"/>
  <c r="AS42" i="33"/>
  <c r="AR42" i="33"/>
  <c r="AQ42" i="33"/>
  <c r="AP42" i="33"/>
  <c r="AT41" i="33"/>
  <c r="AS41" i="33"/>
  <c r="AR41" i="33"/>
  <c r="AQ41" i="33"/>
  <c r="AP41" i="33"/>
  <c r="AT40" i="33"/>
  <c r="AS40" i="33"/>
  <c r="AR40" i="33"/>
  <c r="AQ40" i="33"/>
  <c r="AP40" i="33"/>
  <c r="AT39" i="33"/>
  <c r="AS39" i="33"/>
  <c r="AR39" i="33"/>
  <c r="AQ39" i="33"/>
  <c r="AP39" i="33"/>
  <c r="AT38" i="33"/>
  <c r="AS38" i="33"/>
  <c r="AR38" i="33"/>
  <c r="AQ38" i="33"/>
  <c r="AP38" i="33"/>
  <c r="AT37" i="33"/>
  <c r="AS37" i="33"/>
  <c r="AR37" i="33"/>
  <c r="AQ37" i="33"/>
  <c r="AP37" i="33"/>
  <c r="AT36" i="33"/>
  <c r="AS36" i="33"/>
  <c r="AR36" i="33"/>
  <c r="AQ36" i="33"/>
  <c r="AP36" i="33"/>
  <c r="AT35" i="33"/>
  <c r="AS35" i="33"/>
  <c r="AR35" i="33"/>
  <c r="AQ35" i="33"/>
  <c r="AP35" i="33"/>
  <c r="AT33" i="33"/>
  <c r="AS33" i="33"/>
  <c r="AR33" i="33"/>
  <c r="AQ33" i="33"/>
  <c r="AP33" i="33"/>
  <c r="AT32" i="33"/>
  <c r="AS32" i="33"/>
  <c r="AR32" i="33"/>
  <c r="AQ32" i="33"/>
  <c r="AP32" i="33"/>
  <c r="AT31" i="33"/>
  <c r="AS31" i="33"/>
  <c r="AR31" i="33"/>
  <c r="AQ31" i="33"/>
  <c r="AP31" i="33"/>
  <c r="AT28" i="33"/>
  <c r="AS28" i="33"/>
  <c r="AR28" i="33"/>
  <c r="AQ28" i="33"/>
  <c r="AP28" i="33"/>
  <c r="AT27" i="33"/>
  <c r="AS27" i="33"/>
  <c r="AR27" i="33"/>
  <c r="AQ27" i="33"/>
  <c r="AP27" i="33"/>
  <c r="AT26" i="33"/>
  <c r="AS26" i="33"/>
  <c r="AR26" i="33"/>
  <c r="AQ26" i="33"/>
  <c r="AP26" i="33"/>
  <c r="AT25" i="33"/>
  <c r="AS25" i="33"/>
  <c r="AR25" i="33"/>
  <c r="AQ25" i="33"/>
  <c r="AP25" i="33"/>
  <c r="AT24" i="33"/>
  <c r="AS24" i="33"/>
  <c r="AR24" i="33"/>
  <c r="AQ24" i="33"/>
  <c r="AP24" i="33"/>
  <c r="AT23" i="33"/>
  <c r="AS23" i="33"/>
  <c r="AR23" i="33"/>
  <c r="AQ23" i="33"/>
  <c r="AP23" i="33"/>
  <c r="AT22" i="33"/>
  <c r="AS22" i="33"/>
  <c r="AR22" i="33"/>
  <c r="AQ22" i="33"/>
  <c r="AP22" i="33"/>
  <c r="AT21" i="33"/>
  <c r="AS21" i="33"/>
  <c r="AR21" i="33"/>
  <c r="AQ21" i="33"/>
  <c r="AP21" i="33"/>
  <c r="AQ59" i="33"/>
  <c r="AB79" i="33"/>
  <c r="AA79" i="33"/>
  <c r="X79" i="33"/>
  <c r="AB77" i="33"/>
  <c r="AA77" i="33"/>
  <c r="Z77" i="33"/>
  <c r="Y77" i="33"/>
  <c r="X77" i="33"/>
  <c r="AB76" i="33"/>
  <c r="AA76" i="33"/>
  <c r="Z76" i="33"/>
  <c r="Y76" i="33"/>
  <c r="X76" i="33"/>
  <c r="AB75" i="33"/>
  <c r="AA75" i="33"/>
  <c r="Z75" i="33"/>
  <c r="Y75" i="33"/>
  <c r="X75" i="33"/>
  <c r="AC75" i="33" s="1"/>
  <c r="AB74" i="33"/>
  <c r="AA74" i="33"/>
  <c r="Z74" i="33"/>
  <c r="Y74" i="33"/>
  <c r="X74" i="33"/>
  <c r="AB73" i="33"/>
  <c r="AA73" i="33"/>
  <c r="Z73" i="33"/>
  <c r="Y73" i="33"/>
  <c r="X73" i="33"/>
  <c r="AB72" i="33"/>
  <c r="AA72" i="33"/>
  <c r="Z72" i="33"/>
  <c r="Y72" i="33"/>
  <c r="X72" i="33"/>
  <c r="AB71" i="33"/>
  <c r="AA71" i="33"/>
  <c r="Z71" i="33"/>
  <c r="Y71" i="33"/>
  <c r="X71" i="33"/>
  <c r="AB70" i="33"/>
  <c r="AA70" i="33"/>
  <c r="Z70" i="33"/>
  <c r="Y70" i="33"/>
  <c r="X70" i="33"/>
  <c r="AB69" i="33"/>
  <c r="AA69" i="33"/>
  <c r="Z69" i="33"/>
  <c r="Y69" i="33"/>
  <c r="X69" i="33"/>
  <c r="AB68" i="33"/>
  <c r="AA68" i="33"/>
  <c r="Z68" i="33"/>
  <c r="Y68" i="33"/>
  <c r="X68" i="33"/>
  <c r="AC73" i="33"/>
  <c r="AA63" i="33"/>
  <c r="Z63" i="33"/>
  <c r="Y63" i="33"/>
  <c r="X63" i="33"/>
  <c r="AB62" i="33"/>
  <c r="AA62" i="33"/>
  <c r="Y62" i="33"/>
  <c r="X62" i="33"/>
  <c r="AB61" i="33"/>
  <c r="AA61" i="33"/>
  <c r="AB60" i="33"/>
  <c r="AA60" i="33"/>
  <c r="Z60" i="33"/>
  <c r="Y60" i="33"/>
  <c r="AB55" i="33"/>
  <c r="AA55" i="33"/>
  <c r="Z55" i="33"/>
  <c r="Y55" i="33"/>
  <c r="X55" i="33"/>
  <c r="AB54" i="33"/>
  <c r="AA54" i="33"/>
  <c r="Z54" i="33"/>
  <c r="Y54" i="33"/>
  <c r="X54" i="33"/>
  <c r="AB53" i="33"/>
  <c r="AA53" i="33"/>
  <c r="Z53" i="33"/>
  <c r="Y53" i="33"/>
  <c r="X53" i="33"/>
  <c r="AB52" i="33"/>
  <c r="AA52" i="33"/>
  <c r="Z52" i="33"/>
  <c r="Y52" i="33"/>
  <c r="X52" i="33"/>
  <c r="AB51" i="33"/>
  <c r="AA51" i="33"/>
  <c r="Z51" i="33"/>
  <c r="Y51" i="33"/>
  <c r="X51" i="33"/>
  <c r="AB50" i="33"/>
  <c r="AA50" i="33"/>
  <c r="Z50" i="33"/>
  <c r="Y50" i="33"/>
  <c r="X50" i="33"/>
  <c r="AB49" i="33"/>
  <c r="AA49" i="33"/>
  <c r="Z49" i="33"/>
  <c r="Y49" i="33"/>
  <c r="X49" i="33"/>
  <c r="AB48" i="33"/>
  <c r="AA48" i="33"/>
  <c r="Z48" i="33"/>
  <c r="Y48" i="33"/>
  <c r="X48" i="33"/>
  <c r="AB47" i="33"/>
  <c r="AA47" i="33"/>
  <c r="Z47" i="33"/>
  <c r="Y47" i="33"/>
  <c r="X47" i="33"/>
  <c r="AB46" i="33"/>
  <c r="AA46" i="33"/>
  <c r="Z46" i="33"/>
  <c r="Y46" i="33"/>
  <c r="X46" i="33"/>
  <c r="AB45" i="33"/>
  <c r="AA45" i="33"/>
  <c r="Z45" i="33"/>
  <c r="Y45" i="33"/>
  <c r="X45" i="33"/>
  <c r="AB44" i="33"/>
  <c r="AA44" i="33"/>
  <c r="Z44" i="33"/>
  <c r="Y44" i="33"/>
  <c r="X44" i="33"/>
  <c r="AB43" i="33"/>
  <c r="AA43" i="33"/>
  <c r="Z43" i="33"/>
  <c r="Y43" i="33"/>
  <c r="X43" i="33"/>
  <c r="AB42" i="33"/>
  <c r="AA42" i="33"/>
  <c r="Z42" i="33"/>
  <c r="Y42" i="33"/>
  <c r="X42" i="33"/>
  <c r="AB41" i="33"/>
  <c r="AA41" i="33"/>
  <c r="Z41" i="33"/>
  <c r="Y41" i="33"/>
  <c r="X41" i="33"/>
  <c r="AB40" i="33"/>
  <c r="AA40" i="33"/>
  <c r="Z40" i="33"/>
  <c r="Y40" i="33"/>
  <c r="X40" i="33"/>
  <c r="AB39" i="33"/>
  <c r="AA39" i="33"/>
  <c r="Z39" i="33"/>
  <c r="Y39" i="33"/>
  <c r="X39" i="33"/>
  <c r="AB38" i="33"/>
  <c r="AA38" i="33"/>
  <c r="Z38" i="33"/>
  <c r="Y38" i="33"/>
  <c r="X38" i="33"/>
  <c r="AB37" i="33"/>
  <c r="AA37" i="33"/>
  <c r="Z37" i="33"/>
  <c r="Y37" i="33"/>
  <c r="X37" i="33"/>
  <c r="AB36" i="33"/>
  <c r="AA36" i="33"/>
  <c r="Z36" i="33"/>
  <c r="Y36" i="33"/>
  <c r="X36" i="33"/>
  <c r="AB35" i="33"/>
  <c r="AA35" i="33"/>
  <c r="Z35" i="33"/>
  <c r="Y35" i="33"/>
  <c r="X35" i="33"/>
  <c r="AB33" i="33"/>
  <c r="AA33" i="33"/>
  <c r="Z33" i="33"/>
  <c r="Y33" i="33"/>
  <c r="X33" i="33"/>
  <c r="AB32" i="33"/>
  <c r="AA32" i="33"/>
  <c r="Z32" i="33"/>
  <c r="Y32" i="33"/>
  <c r="X32" i="33"/>
  <c r="AB31" i="33"/>
  <c r="AA31" i="33"/>
  <c r="Z31" i="33"/>
  <c r="Y31" i="33"/>
  <c r="X31" i="33"/>
  <c r="X28" i="33"/>
  <c r="X27" i="33"/>
  <c r="X26" i="33"/>
  <c r="X25" i="33"/>
  <c r="X24" i="33"/>
  <c r="AC24" i="33" s="1"/>
  <c r="X23" i="33"/>
  <c r="X22" i="33"/>
  <c r="AB28" i="33"/>
  <c r="AA28" i="33"/>
  <c r="Z28" i="33"/>
  <c r="Y28" i="33"/>
  <c r="AB27" i="33"/>
  <c r="AA27" i="33"/>
  <c r="Z27" i="33"/>
  <c r="Y27" i="33"/>
  <c r="AB26" i="33"/>
  <c r="AA26" i="33"/>
  <c r="Z26" i="33"/>
  <c r="Y26" i="33"/>
  <c r="AB25" i="33"/>
  <c r="AA25" i="33"/>
  <c r="Z25" i="33"/>
  <c r="Y25" i="33"/>
  <c r="AB24" i="33"/>
  <c r="AA24" i="33"/>
  <c r="Z24" i="33"/>
  <c r="Y24" i="33"/>
  <c r="AB23" i="33"/>
  <c r="AA23" i="33"/>
  <c r="Z23" i="33"/>
  <c r="Y23" i="33"/>
  <c r="AB22" i="33"/>
  <c r="AA22" i="33"/>
  <c r="Z22" i="33"/>
  <c r="Y22" i="33"/>
  <c r="AB21" i="33"/>
  <c r="AA21" i="33"/>
  <c r="Z21" i="33"/>
  <c r="Y21" i="33"/>
  <c r="X21" i="33"/>
  <c r="AT101" i="2"/>
  <c r="AS101" i="2"/>
  <c r="AR101" i="2"/>
  <c r="AU101" i="2" s="1"/>
  <c r="AQ101" i="2"/>
  <c r="AP101" i="2"/>
  <c r="AT100" i="2"/>
  <c r="AS100" i="2"/>
  <c r="AR100" i="2"/>
  <c r="AQ100" i="2"/>
  <c r="AP100" i="2"/>
  <c r="AT99" i="2"/>
  <c r="AS99" i="2"/>
  <c r="AR99" i="2"/>
  <c r="AQ99" i="2"/>
  <c r="AP99" i="2"/>
  <c r="AT98" i="2"/>
  <c r="AS98" i="2"/>
  <c r="AR98" i="2"/>
  <c r="AQ98" i="2"/>
  <c r="AP98" i="2"/>
  <c r="AT97" i="2"/>
  <c r="AS97" i="2"/>
  <c r="AR97" i="2"/>
  <c r="AQ97" i="2"/>
  <c r="AP97" i="2"/>
  <c r="AT96" i="2"/>
  <c r="AS96" i="2"/>
  <c r="AU96" i="2" s="1"/>
  <c r="AR96" i="2"/>
  <c r="AQ96" i="2"/>
  <c r="AP96" i="2"/>
  <c r="AT95" i="2"/>
  <c r="AS95" i="2"/>
  <c r="AR95" i="2"/>
  <c r="AQ95" i="2"/>
  <c r="AP95" i="2"/>
  <c r="AT94" i="2"/>
  <c r="AS94" i="2"/>
  <c r="AR94" i="2"/>
  <c r="AQ94" i="2"/>
  <c r="AP94" i="2"/>
  <c r="AT93" i="2"/>
  <c r="AS93" i="2"/>
  <c r="AR93" i="2"/>
  <c r="AQ93" i="2"/>
  <c r="AP93" i="2"/>
  <c r="AT92" i="2"/>
  <c r="AS92" i="2"/>
  <c r="AR92" i="2"/>
  <c r="AQ92" i="2"/>
  <c r="AP92" i="2"/>
  <c r="AT91" i="2"/>
  <c r="AS91" i="2"/>
  <c r="AR91" i="2"/>
  <c r="AQ91" i="2"/>
  <c r="AP91" i="2"/>
  <c r="AT90" i="2"/>
  <c r="AS90" i="2"/>
  <c r="AR90" i="2"/>
  <c r="AQ90" i="2"/>
  <c r="AU90" i="2" s="1"/>
  <c r="AP90" i="2"/>
  <c r="AT89" i="2"/>
  <c r="AS89" i="2"/>
  <c r="AR89" i="2"/>
  <c r="AQ89" i="2"/>
  <c r="AP89" i="2"/>
  <c r="AT88" i="2"/>
  <c r="AS88" i="2"/>
  <c r="AR88" i="2"/>
  <c r="AQ88" i="2"/>
  <c r="AP88" i="2"/>
  <c r="AT87" i="2"/>
  <c r="AS87" i="2"/>
  <c r="AR87" i="2"/>
  <c r="AQ87" i="2"/>
  <c r="AP87" i="2"/>
  <c r="AT86" i="2"/>
  <c r="AS86" i="2"/>
  <c r="AR86" i="2"/>
  <c r="AQ86" i="2"/>
  <c r="AP86" i="2"/>
  <c r="AT85" i="2"/>
  <c r="AS85" i="2"/>
  <c r="AR85" i="2"/>
  <c r="AQ85" i="2"/>
  <c r="AP85" i="2"/>
  <c r="AT84" i="2"/>
  <c r="AS84" i="2"/>
  <c r="AR84" i="2"/>
  <c r="AQ84" i="2"/>
  <c r="AP84" i="2"/>
  <c r="AT83" i="2"/>
  <c r="AT81" i="2" s="1"/>
  <c r="AS83" i="2"/>
  <c r="AR83" i="2"/>
  <c r="AQ83" i="2"/>
  <c r="AP83" i="2"/>
  <c r="AT82" i="2"/>
  <c r="AS82" i="2"/>
  <c r="AR82" i="2"/>
  <c r="AQ82" i="2"/>
  <c r="AQ81" i="2" s="1"/>
  <c r="AP82" i="2"/>
  <c r="AT80" i="2"/>
  <c r="AS80" i="2"/>
  <c r="AR80" i="2"/>
  <c r="AQ80" i="2"/>
  <c r="AP80" i="2"/>
  <c r="AT79" i="2"/>
  <c r="AS79" i="2"/>
  <c r="AR79" i="2"/>
  <c r="AQ79" i="2"/>
  <c r="AP79" i="2"/>
  <c r="AS78" i="2"/>
  <c r="AT77" i="2"/>
  <c r="AS77" i="2"/>
  <c r="AR77" i="2"/>
  <c r="AQ77" i="2"/>
  <c r="AP77" i="2"/>
  <c r="AT76" i="2"/>
  <c r="AS76" i="2"/>
  <c r="AR76" i="2"/>
  <c r="AQ76" i="2"/>
  <c r="AP76" i="2"/>
  <c r="AT75" i="2"/>
  <c r="AT74" i="2" s="1"/>
  <c r="AS75" i="2"/>
  <c r="AR75" i="2"/>
  <c r="AQ75" i="2"/>
  <c r="AP75" i="2"/>
  <c r="AT73" i="2"/>
  <c r="AS73" i="2"/>
  <c r="AR73" i="2"/>
  <c r="AQ73" i="2"/>
  <c r="AP73" i="2"/>
  <c r="AT72" i="2"/>
  <c r="AS72" i="2"/>
  <c r="AR72" i="2"/>
  <c r="AR71" i="2" s="1"/>
  <c r="AQ72" i="2"/>
  <c r="AQ71" i="2" s="1"/>
  <c r="AP72" i="2"/>
  <c r="AT67" i="2"/>
  <c r="AS67" i="2"/>
  <c r="AR67" i="2"/>
  <c r="AQ67" i="2"/>
  <c r="AP67" i="2"/>
  <c r="AT66" i="2"/>
  <c r="AS66" i="2"/>
  <c r="AR66" i="2"/>
  <c r="AQ66" i="2"/>
  <c r="AP66" i="2"/>
  <c r="AT65" i="2"/>
  <c r="AS65" i="2"/>
  <c r="AR65" i="2"/>
  <c r="AQ65" i="2"/>
  <c r="AP65" i="2"/>
  <c r="AT64" i="2"/>
  <c r="AS64" i="2"/>
  <c r="AR64" i="2"/>
  <c r="AQ64" i="2"/>
  <c r="AP64" i="2"/>
  <c r="AT63" i="2"/>
  <c r="AS63" i="2"/>
  <c r="AR63" i="2"/>
  <c r="AQ63" i="2"/>
  <c r="AP63" i="2"/>
  <c r="AT62" i="2"/>
  <c r="AS62" i="2"/>
  <c r="AR62" i="2"/>
  <c r="AQ62" i="2"/>
  <c r="AP62" i="2"/>
  <c r="AT60" i="2"/>
  <c r="AS60" i="2"/>
  <c r="AR60" i="2"/>
  <c r="AQ60" i="2"/>
  <c r="AP60" i="2"/>
  <c r="AT59" i="2"/>
  <c r="AS59" i="2"/>
  <c r="AR59" i="2"/>
  <c r="AQ59" i="2"/>
  <c r="AQ58" i="2" s="1"/>
  <c r="AP59" i="2"/>
  <c r="AT57" i="2"/>
  <c r="AS57" i="2"/>
  <c r="AR57" i="2"/>
  <c r="AQ57" i="2"/>
  <c r="AP57" i="2"/>
  <c r="AT56" i="2"/>
  <c r="AS56" i="2"/>
  <c r="AR56" i="2"/>
  <c r="AQ56" i="2"/>
  <c r="AP56" i="2"/>
  <c r="AT55" i="2"/>
  <c r="AS55" i="2"/>
  <c r="AR55" i="2"/>
  <c r="AQ55" i="2"/>
  <c r="AP55" i="2"/>
  <c r="AT53" i="2"/>
  <c r="AS53" i="2"/>
  <c r="AR53" i="2"/>
  <c r="AQ53" i="2"/>
  <c r="AP53" i="2"/>
  <c r="AT52" i="2"/>
  <c r="AS52" i="2"/>
  <c r="AR52" i="2"/>
  <c r="AQ52" i="2"/>
  <c r="AP52" i="2"/>
  <c r="AT51" i="2"/>
  <c r="AS51" i="2"/>
  <c r="AR51" i="2"/>
  <c r="AQ51" i="2"/>
  <c r="AP51" i="2"/>
  <c r="AT50" i="2"/>
  <c r="AS50" i="2"/>
  <c r="AR50" i="2"/>
  <c r="AQ50" i="2"/>
  <c r="AP50" i="2"/>
  <c r="AT49" i="2"/>
  <c r="AS49" i="2"/>
  <c r="AR49" i="2"/>
  <c r="AQ49" i="2"/>
  <c r="AP49" i="2"/>
  <c r="AT48" i="2"/>
  <c r="AS48" i="2"/>
  <c r="AR48" i="2"/>
  <c r="AQ48" i="2"/>
  <c r="AP48" i="2"/>
  <c r="AT46" i="2"/>
  <c r="AS46" i="2"/>
  <c r="AR46" i="2"/>
  <c r="AQ46" i="2"/>
  <c r="AP46" i="2"/>
  <c r="AT45" i="2"/>
  <c r="AS45" i="2"/>
  <c r="AR45" i="2"/>
  <c r="AQ45" i="2"/>
  <c r="AP45" i="2"/>
  <c r="AT44" i="2"/>
  <c r="AS44" i="2"/>
  <c r="AR44" i="2"/>
  <c r="AQ44" i="2"/>
  <c r="AP44" i="2"/>
  <c r="AT43" i="2"/>
  <c r="AS43" i="2"/>
  <c r="AR43" i="2"/>
  <c r="AQ43" i="2"/>
  <c r="AP43" i="2"/>
  <c r="AT42" i="2"/>
  <c r="AS42" i="2"/>
  <c r="AR42" i="2"/>
  <c r="AQ42" i="2"/>
  <c r="AP42" i="2"/>
  <c r="AT41" i="2"/>
  <c r="AS41" i="2"/>
  <c r="AR41" i="2"/>
  <c r="AQ41" i="2"/>
  <c r="AP41" i="2"/>
  <c r="AT40" i="2"/>
  <c r="AS40" i="2"/>
  <c r="AR40" i="2"/>
  <c r="AQ40" i="2"/>
  <c r="AP40" i="2"/>
  <c r="AT39" i="2"/>
  <c r="AS39" i="2"/>
  <c r="AR39" i="2"/>
  <c r="AQ39" i="2"/>
  <c r="AP39" i="2"/>
  <c r="AT38" i="2"/>
  <c r="AS38" i="2"/>
  <c r="AR38" i="2"/>
  <c r="AQ38" i="2"/>
  <c r="AP38" i="2"/>
  <c r="AT37" i="2"/>
  <c r="AS37" i="2"/>
  <c r="AR37" i="2"/>
  <c r="AQ37" i="2"/>
  <c r="AP37" i="2"/>
  <c r="AT36" i="2"/>
  <c r="AS36" i="2"/>
  <c r="AR36" i="2"/>
  <c r="AQ36" i="2"/>
  <c r="AP36" i="2"/>
  <c r="AT35" i="2"/>
  <c r="AS35" i="2"/>
  <c r="AR35" i="2"/>
  <c r="AQ35" i="2"/>
  <c r="AP35" i="2"/>
  <c r="AT34" i="2"/>
  <c r="AS34" i="2"/>
  <c r="AR34" i="2"/>
  <c r="AQ34" i="2"/>
  <c r="AP34" i="2"/>
  <c r="AT33" i="2"/>
  <c r="AS33" i="2"/>
  <c r="AR33" i="2"/>
  <c r="AQ33" i="2"/>
  <c r="AP33" i="2"/>
  <c r="AT32" i="2"/>
  <c r="AS32" i="2"/>
  <c r="AR32" i="2"/>
  <c r="AQ32" i="2"/>
  <c r="AP32" i="2"/>
  <c r="AT31" i="2"/>
  <c r="AS31" i="2"/>
  <c r="AR31" i="2"/>
  <c r="AQ31" i="2"/>
  <c r="AP31" i="2"/>
  <c r="AT30" i="2"/>
  <c r="AS30" i="2"/>
  <c r="AR30" i="2"/>
  <c r="AQ30" i="2"/>
  <c r="AP30" i="2"/>
  <c r="AT27" i="2"/>
  <c r="AT26" i="2" s="1"/>
  <c r="AS27" i="2"/>
  <c r="AS26" i="2" s="1"/>
  <c r="AR27" i="2"/>
  <c r="AR26" i="2" s="1"/>
  <c r="AQ27" i="2"/>
  <c r="AP27" i="2"/>
  <c r="AP26" i="2" s="1"/>
  <c r="AT25" i="2"/>
  <c r="AS25" i="2"/>
  <c r="AR25" i="2"/>
  <c r="AQ25" i="2"/>
  <c r="AP25" i="2"/>
  <c r="AT24" i="2"/>
  <c r="AS24" i="2"/>
  <c r="AR24" i="2"/>
  <c r="AQ24" i="2"/>
  <c r="AP24" i="2"/>
  <c r="AT23" i="2"/>
  <c r="AS23" i="2"/>
  <c r="AR23" i="2"/>
  <c r="AQ23" i="2"/>
  <c r="AP23" i="2"/>
  <c r="AT22" i="2"/>
  <c r="AS22" i="2"/>
  <c r="AR22" i="2"/>
  <c r="AQ22" i="2"/>
  <c r="AP22" i="2"/>
  <c r="AP19" i="2"/>
  <c r="AT20" i="2"/>
  <c r="AS20" i="2"/>
  <c r="AR20" i="2"/>
  <c r="AQ20" i="2"/>
  <c r="AP20" i="2"/>
  <c r="AT19" i="2"/>
  <c r="AS19" i="2"/>
  <c r="AR19" i="2"/>
  <c r="AQ19" i="2"/>
  <c r="AT78" i="2"/>
  <c r="AP71" i="2"/>
  <c r="AB101" i="2"/>
  <c r="AA101" i="2"/>
  <c r="Z101" i="2"/>
  <c r="Y101" i="2"/>
  <c r="X101" i="2"/>
  <c r="AB100" i="2"/>
  <c r="AA100" i="2"/>
  <c r="Z100" i="2"/>
  <c r="Y100" i="2"/>
  <c r="X100" i="2"/>
  <c r="AB99" i="2"/>
  <c r="AA99" i="2"/>
  <c r="Z99" i="2"/>
  <c r="Y99" i="2"/>
  <c r="X99" i="2"/>
  <c r="AB98" i="2"/>
  <c r="AA98" i="2"/>
  <c r="Z98" i="2"/>
  <c r="Y98" i="2"/>
  <c r="X98" i="2"/>
  <c r="AB97" i="2"/>
  <c r="AA97" i="2"/>
  <c r="Z97" i="2"/>
  <c r="Y97" i="2"/>
  <c r="X97" i="2"/>
  <c r="AB96" i="2"/>
  <c r="AA96" i="2"/>
  <c r="Z96" i="2"/>
  <c r="Y96" i="2"/>
  <c r="X96" i="2"/>
  <c r="AB95" i="2"/>
  <c r="AA95" i="2"/>
  <c r="Z95" i="2"/>
  <c r="Y95" i="2"/>
  <c r="X95" i="2"/>
  <c r="AB94" i="2"/>
  <c r="AA94" i="2"/>
  <c r="Z94" i="2"/>
  <c r="Y94" i="2"/>
  <c r="X94" i="2"/>
  <c r="AB93" i="2"/>
  <c r="AA93" i="2"/>
  <c r="Z93" i="2"/>
  <c r="Y93" i="2"/>
  <c r="X93" i="2"/>
  <c r="AB92" i="2"/>
  <c r="AA92" i="2"/>
  <c r="Z92" i="2"/>
  <c r="Y92" i="2"/>
  <c r="X92" i="2"/>
  <c r="AB91" i="2"/>
  <c r="AA91" i="2"/>
  <c r="Z91" i="2"/>
  <c r="Y91" i="2"/>
  <c r="X91" i="2"/>
  <c r="AB90" i="2"/>
  <c r="AA90" i="2"/>
  <c r="Z90" i="2"/>
  <c r="Y90" i="2"/>
  <c r="X90" i="2"/>
  <c r="AB89" i="2"/>
  <c r="AA89" i="2"/>
  <c r="Z89" i="2"/>
  <c r="Y89" i="2"/>
  <c r="X89" i="2"/>
  <c r="AC89" i="2" s="1"/>
  <c r="AB88" i="2"/>
  <c r="AA88" i="2"/>
  <c r="Z88" i="2"/>
  <c r="Y88" i="2"/>
  <c r="X88" i="2"/>
  <c r="AB87" i="2"/>
  <c r="AA87" i="2"/>
  <c r="Z87" i="2"/>
  <c r="Y87" i="2"/>
  <c r="X87" i="2"/>
  <c r="AA86" i="2"/>
  <c r="Z86" i="2"/>
  <c r="Y86" i="2"/>
  <c r="X86" i="2"/>
  <c r="AB85" i="2"/>
  <c r="AA85" i="2"/>
  <c r="Z85" i="2"/>
  <c r="X85" i="2"/>
  <c r="AB84" i="2"/>
  <c r="AA84" i="2"/>
  <c r="Z84" i="2"/>
  <c r="Y84" i="2"/>
  <c r="X84" i="2"/>
  <c r="AB83" i="2"/>
  <c r="AA83" i="2"/>
  <c r="Z83" i="2"/>
  <c r="Y83" i="2"/>
  <c r="X83" i="2"/>
  <c r="AC83" i="2" s="1"/>
  <c r="AB82" i="2"/>
  <c r="AA82" i="2"/>
  <c r="Z82" i="2"/>
  <c r="Y82" i="2"/>
  <c r="AC82" i="2" s="1"/>
  <c r="X82" i="2"/>
  <c r="AA80" i="2"/>
  <c r="Y80" i="2"/>
  <c r="X80" i="2"/>
  <c r="AB79" i="2"/>
  <c r="AA79" i="2"/>
  <c r="Z79" i="2"/>
  <c r="Y79" i="2"/>
  <c r="X79" i="2"/>
  <c r="AB73" i="2"/>
  <c r="AA73" i="2"/>
  <c r="Z73" i="2"/>
  <c r="Y73" i="2"/>
  <c r="X73" i="2"/>
  <c r="AC73" i="2" s="1"/>
  <c r="AB72" i="2"/>
  <c r="AA72" i="2"/>
  <c r="Z72" i="2"/>
  <c r="Y72" i="2"/>
  <c r="X72" i="2"/>
  <c r="AB67" i="2"/>
  <c r="AA67" i="2"/>
  <c r="Z67" i="2"/>
  <c r="Y67" i="2"/>
  <c r="X67" i="2"/>
  <c r="AB66" i="2"/>
  <c r="AA66" i="2"/>
  <c r="Z66" i="2"/>
  <c r="Y66" i="2"/>
  <c r="X66" i="2"/>
  <c r="AB65" i="2"/>
  <c r="AA65" i="2"/>
  <c r="Z65" i="2"/>
  <c r="Y65" i="2"/>
  <c r="X65" i="2"/>
  <c r="AB64" i="2"/>
  <c r="AA64" i="2"/>
  <c r="Z64" i="2"/>
  <c r="Y64" i="2"/>
  <c r="X64" i="2"/>
  <c r="AB63" i="2"/>
  <c r="AA63" i="2"/>
  <c r="Z63" i="2"/>
  <c r="Y63" i="2"/>
  <c r="X63" i="2"/>
  <c r="AB62" i="2"/>
  <c r="AA62" i="2"/>
  <c r="Z62" i="2"/>
  <c r="Y62" i="2"/>
  <c r="X62" i="2"/>
  <c r="AB60" i="2"/>
  <c r="AA60" i="2"/>
  <c r="Z60" i="2"/>
  <c r="Y60" i="2"/>
  <c r="X60" i="2"/>
  <c r="AB59" i="2"/>
  <c r="AA59" i="2"/>
  <c r="Z59" i="2"/>
  <c r="Y59" i="2"/>
  <c r="X59" i="2"/>
  <c r="AB57" i="2"/>
  <c r="AA57" i="2"/>
  <c r="Z57" i="2"/>
  <c r="Y57" i="2"/>
  <c r="X57" i="2"/>
  <c r="AB56" i="2"/>
  <c r="AA56" i="2"/>
  <c r="Z56" i="2"/>
  <c r="Y56" i="2"/>
  <c r="X56" i="2"/>
  <c r="AB55" i="2"/>
  <c r="AA55" i="2"/>
  <c r="Z55" i="2"/>
  <c r="Y55" i="2"/>
  <c r="X55" i="2"/>
  <c r="AB53" i="2"/>
  <c r="AA53" i="2"/>
  <c r="Z53" i="2"/>
  <c r="Y53" i="2"/>
  <c r="X53" i="2"/>
  <c r="AB52" i="2"/>
  <c r="AA52" i="2"/>
  <c r="Z52" i="2"/>
  <c r="Y52" i="2"/>
  <c r="X52" i="2"/>
  <c r="AB51" i="2"/>
  <c r="AA51" i="2"/>
  <c r="Z51" i="2"/>
  <c r="Y51" i="2"/>
  <c r="X51" i="2"/>
  <c r="AB50" i="2"/>
  <c r="AA50" i="2"/>
  <c r="Z50" i="2"/>
  <c r="Y50" i="2"/>
  <c r="X50" i="2"/>
  <c r="AB49" i="2"/>
  <c r="AA49" i="2"/>
  <c r="Z49" i="2"/>
  <c r="Y49" i="2"/>
  <c r="X49" i="2"/>
  <c r="AB48" i="2"/>
  <c r="AA48" i="2"/>
  <c r="Z48" i="2"/>
  <c r="Y48" i="2"/>
  <c r="X48" i="2"/>
  <c r="AB46" i="2"/>
  <c r="AA46" i="2"/>
  <c r="Z46" i="2"/>
  <c r="Y46" i="2"/>
  <c r="X46" i="2"/>
  <c r="AB45" i="2"/>
  <c r="AA45" i="2"/>
  <c r="Z45" i="2"/>
  <c r="Y45" i="2"/>
  <c r="X45" i="2"/>
  <c r="AB44" i="2"/>
  <c r="AA44" i="2"/>
  <c r="Z44" i="2"/>
  <c r="Y44" i="2"/>
  <c r="X44" i="2"/>
  <c r="AB43" i="2"/>
  <c r="AA43" i="2"/>
  <c r="Z43" i="2"/>
  <c r="Y43" i="2"/>
  <c r="X43" i="2"/>
  <c r="AB42" i="2"/>
  <c r="AA42" i="2"/>
  <c r="Z42" i="2"/>
  <c r="Y42" i="2"/>
  <c r="X42" i="2"/>
  <c r="AB41" i="2"/>
  <c r="AA41" i="2"/>
  <c r="Z41" i="2"/>
  <c r="Y41" i="2"/>
  <c r="X41" i="2"/>
  <c r="AB40" i="2"/>
  <c r="AA40" i="2"/>
  <c r="Z40" i="2"/>
  <c r="Y40" i="2"/>
  <c r="X40" i="2"/>
  <c r="AB39" i="2"/>
  <c r="AA39" i="2"/>
  <c r="Z39" i="2"/>
  <c r="Y39" i="2"/>
  <c r="X39" i="2"/>
  <c r="AB38" i="2"/>
  <c r="AA38" i="2"/>
  <c r="Z38" i="2"/>
  <c r="Y38" i="2"/>
  <c r="X38" i="2"/>
  <c r="AB37" i="2"/>
  <c r="AA37" i="2"/>
  <c r="Z37" i="2"/>
  <c r="Y37" i="2"/>
  <c r="X37" i="2"/>
  <c r="AB36" i="2"/>
  <c r="AA36" i="2"/>
  <c r="Z36" i="2"/>
  <c r="Y36" i="2"/>
  <c r="X36" i="2"/>
  <c r="AB35" i="2"/>
  <c r="AA35" i="2"/>
  <c r="Z35" i="2"/>
  <c r="Y35" i="2"/>
  <c r="X35" i="2"/>
  <c r="AB34" i="2"/>
  <c r="AA34" i="2"/>
  <c r="Z34" i="2"/>
  <c r="Y34" i="2"/>
  <c r="X34" i="2"/>
  <c r="AB33" i="2"/>
  <c r="AA33" i="2"/>
  <c r="Z33" i="2"/>
  <c r="Y33" i="2"/>
  <c r="X33" i="2"/>
  <c r="AB32" i="2"/>
  <c r="AA32" i="2"/>
  <c r="Z32" i="2"/>
  <c r="Y32" i="2"/>
  <c r="X32" i="2"/>
  <c r="AB31" i="2"/>
  <c r="AA31" i="2"/>
  <c r="Z31" i="2"/>
  <c r="Y31" i="2"/>
  <c r="X31" i="2"/>
  <c r="AB30" i="2"/>
  <c r="AA30" i="2"/>
  <c r="Z30" i="2"/>
  <c r="Y30" i="2"/>
  <c r="X30" i="2"/>
  <c r="AC87" i="2"/>
  <c r="AB27" i="2"/>
  <c r="AA27" i="2"/>
  <c r="Z27" i="2"/>
  <c r="Y27" i="2"/>
  <c r="X27" i="2"/>
  <c r="AB25" i="2"/>
  <c r="AA25" i="2"/>
  <c r="Z25" i="2"/>
  <c r="Y25" i="2"/>
  <c r="X25" i="2"/>
  <c r="AB24" i="2"/>
  <c r="AA24" i="2"/>
  <c r="Z24" i="2"/>
  <c r="Y24" i="2"/>
  <c r="X24" i="2"/>
  <c r="AB23" i="2"/>
  <c r="AA23" i="2"/>
  <c r="Z23" i="2"/>
  <c r="Y23" i="2"/>
  <c r="X23" i="2"/>
  <c r="AB22" i="2"/>
  <c r="AA22" i="2"/>
  <c r="Z22" i="2"/>
  <c r="Y22" i="2"/>
  <c r="X22" i="2"/>
  <c r="AB20" i="2"/>
  <c r="AA20" i="2"/>
  <c r="Z20" i="2"/>
  <c r="Y20" i="2"/>
  <c r="X20" i="2"/>
  <c r="AB19" i="2"/>
  <c r="AA19" i="2"/>
  <c r="Z19" i="2"/>
  <c r="Y19" i="2"/>
  <c r="X19" i="2"/>
  <c r="V101" i="2"/>
  <c r="V100" i="2"/>
  <c r="V99" i="2"/>
  <c r="V98" i="2"/>
  <c r="V97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0" i="2"/>
  <c r="V79" i="2"/>
  <c r="V73" i="2"/>
  <c r="V72" i="2"/>
  <c r="V67" i="2"/>
  <c r="V66" i="2"/>
  <c r="V65" i="2"/>
  <c r="V64" i="2"/>
  <c r="V63" i="2"/>
  <c r="V62" i="2"/>
  <c r="V60" i="2"/>
  <c r="V59" i="2"/>
  <c r="V57" i="2"/>
  <c r="V56" i="2"/>
  <c r="V55" i="2"/>
  <c r="V53" i="2"/>
  <c r="V52" i="2"/>
  <c r="V51" i="2"/>
  <c r="V50" i="2"/>
  <c r="V49" i="2"/>
  <c r="V48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7" i="2"/>
  <c r="V25" i="2"/>
  <c r="V24" i="2"/>
  <c r="V23" i="2"/>
  <c r="V22" i="2"/>
  <c r="V20" i="2"/>
  <c r="V19" i="2"/>
  <c r="M72" i="3"/>
  <c r="N97" i="3"/>
  <c r="N69" i="3" s="1"/>
  <c r="AB69" i="3"/>
  <c r="AN68" i="3"/>
  <c r="AL68" i="3"/>
  <c r="AK68" i="3"/>
  <c r="V68" i="3"/>
  <c r="CU69" i="3"/>
  <c r="CT69" i="3"/>
  <c r="CS69" i="3"/>
  <c r="CQ69" i="3"/>
  <c r="AT69" i="3"/>
  <c r="AS69" i="3"/>
  <c r="AR69" i="3"/>
  <c r="AQ69" i="3"/>
  <c r="AP69" i="3"/>
  <c r="V69" i="3"/>
  <c r="CU68" i="3"/>
  <c r="CT68" i="3"/>
  <c r="CS68" i="3"/>
  <c r="CQ68" i="3"/>
  <c r="AT68" i="3"/>
  <c r="AS68" i="3"/>
  <c r="AR68" i="3"/>
  <c r="AQ68" i="3"/>
  <c r="AP68" i="3"/>
  <c r="Z68" i="3"/>
  <c r="O80" i="2"/>
  <c r="M80" i="2"/>
  <c r="Z80" i="2" s="1"/>
  <c r="AM80" i="2"/>
  <c r="AK80" i="2"/>
  <c r="AX80" i="2" s="1"/>
  <c r="AJ80" i="2"/>
  <c r="AW80" i="2" s="1"/>
  <c r="AN79" i="2"/>
  <c r="AM79" i="2"/>
  <c r="AL79" i="2"/>
  <c r="AY79" i="2" s="1"/>
  <c r="AK79" i="2"/>
  <c r="AX79" i="2" s="1"/>
  <c r="AX78" i="2" s="1"/>
  <c r="AJ79" i="2"/>
  <c r="P79" i="2"/>
  <c r="AN73" i="2"/>
  <c r="AM73" i="2"/>
  <c r="AZ73" i="2" s="1"/>
  <c r="AL73" i="2"/>
  <c r="AY73" i="2" s="1"/>
  <c r="AK73" i="2"/>
  <c r="AJ73" i="2"/>
  <c r="P73" i="2"/>
  <c r="AN72" i="2"/>
  <c r="AM72" i="2"/>
  <c r="AL72" i="2"/>
  <c r="AK72" i="2"/>
  <c r="AJ72" i="2"/>
  <c r="P72" i="2"/>
  <c r="AX72" i="2" l="1"/>
  <c r="AD73" i="2"/>
  <c r="AW73" i="2"/>
  <c r="BA73" i="2"/>
  <c r="AC79" i="2"/>
  <c r="AD79" i="2" s="1"/>
  <c r="AC94" i="2"/>
  <c r="AC68" i="33"/>
  <c r="AC69" i="33"/>
  <c r="AC70" i="33"/>
  <c r="AC71" i="33"/>
  <c r="AC72" i="33"/>
  <c r="AC74" i="33"/>
  <c r="AC76" i="33"/>
  <c r="AC77" i="33"/>
  <c r="AU65" i="33"/>
  <c r="AV65" i="33" s="1"/>
  <c r="AU68" i="33"/>
  <c r="AV68" i="33" s="1"/>
  <c r="AU69" i="33"/>
  <c r="AV69" i="33" s="1"/>
  <c r="AU70" i="33"/>
  <c r="AV70" i="33" s="1"/>
  <c r="AU73" i="33"/>
  <c r="AV73" i="33" s="1"/>
  <c r="AU74" i="33"/>
  <c r="AV74" i="33" s="1"/>
  <c r="AU75" i="33"/>
  <c r="AV75" i="33" s="1"/>
  <c r="AU76" i="33"/>
  <c r="AV76" i="33" s="1"/>
  <c r="AU78" i="33"/>
  <c r="AV78" i="33" s="1"/>
  <c r="AI65" i="16"/>
  <c r="AZ72" i="2"/>
  <c r="AZ71" i="2" s="1"/>
  <c r="AX73" i="2"/>
  <c r="AZ79" i="2"/>
  <c r="AZ80" i="2"/>
  <c r="W73" i="2"/>
  <c r="AC99" i="2"/>
  <c r="AS59" i="33"/>
  <c r="AG93" i="16"/>
  <c r="AP58" i="2"/>
  <c r="AT71" i="2"/>
  <c r="AU28" i="33"/>
  <c r="AP59" i="33"/>
  <c r="AT59" i="33"/>
  <c r="AU62" i="33"/>
  <c r="AS64" i="33"/>
  <c r="W51" i="16"/>
  <c r="W83" i="16"/>
  <c r="W87" i="16"/>
  <c r="AI29" i="16"/>
  <c r="AI28" i="16" s="1"/>
  <c r="AI33" i="16"/>
  <c r="AI49" i="16"/>
  <c r="AH59" i="16"/>
  <c r="AW79" i="2"/>
  <c r="BB79" i="2" s="1"/>
  <c r="BA79" i="2"/>
  <c r="AC27" i="2"/>
  <c r="AC32" i="2"/>
  <c r="AP18" i="2"/>
  <c r="AP17" i="2" s="1"/>
  <c r="AP78" i="2"/>
  <c r="AC52" i="33"/>
  <c r="AU61" i="33"/>
  <c r="AP64" i="33"/>
  <c r="AP56" i="33" s="1"/>
  <c r="AM19" i="1" s="1"/>
  <c r="AU77" i="33"/>
  <c r="AV77" i="33" s="1"/>
  <c r="AI71" i="16"/>
  <c r="AH100" i="16"/>
  <c r="AI21" i="16"/>
  <c r="AI23" i="16"/>
  <c r="AI38" i="16"/>
  <c r="W54" i="16"/>
  <c r="W55" i="16"/>
  <c r="AF45" i="16"/>
  <c r="AF24" i="16"/>
  <c r="W35" i="16"/>
  <c r="W39" i="16"/>
  <c r="W44" i="16"/>
  <c r="W78" i="16"/>
  <c r="W82" i="16"/>
  <c r="W86" i="16"/>
  <c r="AG41" i="16"/>
  <c r="AI43" i="16"/>
  <c r="AI47" i="16"/>
  <c r="AI54" i="16"/>
  <c r="AF59" i="16"/>
  <c r="AI64" i="16"/>
  <c r="AI66" i="16"/>
  <c r="W21" i="16"/>
  <c r="W22" i="16"/>
  <c r="W25" i="16"/>
  <c r="W32" i="16"/>
  <c r="W36" i="16"/>
  <c r="W40" i="16"/>
  <c r="W99" i="16"/>
  <c r="AF20" i="16"/>
  <c r="AI22" i="16"/>
  <c r="AI20" i="16" s="1"/>
  <c r="AG31" i="16"/>
  <c r="AI35" i="16"/>
  <c r="AI39" i="16"/>
  <c r="AI51" i="16"/>
  <c r="AI52" i="16"/>
  <c r="AI55" i="16"/>
  <c r="AI60" i="16"/>
  <c r="AG59" i="16"/>
  <c r="AI61" i="16"/>
  <c r="AI80" i="16"/>
  <c r="AI84" i="16"/>
  <c r="AI88" i="16"/>
  <c r="AI102" i="16"/>
  <c r="W79" i="16"/>
  <c r="AF41" i="16"/>
  <c r="AI44" i="16"/>
  <c r="AI104" i="16"/>
  <c r="W33" i="16"/>
  <c r="W34" i="16"/>
  <c r="W37" i="16"/>
  <c r="W38" i="16"/>
  <c r="W23" i="16"/>
  <c r="W29" i="16"/>
  <c r="W47" i="16"/>
  <c r="W48" i="16"/>
  <c r="W52" i="16"/>
  <c r="W91" i="16"/>
  <c r="AF93" i="16"/>
  <c r="W49" i="16"/>
  <c r="W62" i="16"/>
  <c r="W80" i="16"/>
  <c r="W84" i="16"/>
  <c r="W85" i="16"/>
  <c r="W101" i="16"/>
  <c r="AH20" i="16"/>
  <c r="AI25" i="16"/>
  <c r="AH31" i="16"/>
  <c r="AH41" i="16"/>
  <c r="AI46" i="16"/>
  <c r="AI45" i="16" s="1"/>
  <c r="AG45" i="16"/>
  <c r="AH45" i="16"/>
  <c r="AI62" i="16"/>
  <c r="AH24" i="16"/>
  <c r="AI101" i="16"/>
  <c r="AI32" i="16"/>
  <c r="AI36" i="16"/>
  <c r="AI37" i="16"/>
  <c r="AI40" i="16"/>
  <c r="AI53" i="16"/>
  <c r="AI94" i="16"/>
  <c r="AI93" i="16" s="1"/>
  <c r="AG100" i="16"/>
  <c r="AC28" i="33"/>
  <c r="AC33" i="33"/>
  <c r="AU42" i="33"/>
  <c r="AU43" i="33"/>
  <c r="AU48" i="33"/>
  <c r="AU54" i="33"/>
  <c r="AC36" i="33"/>
  <c r="AC41" i="33"/>
  <c r="AC46" i="33"/>
  <c r="AR20" i="33"/>
  <c r="AR19" i="33" s="1"/>
  <c r="AU23" i="33"/>
  <c r="AU24" i="33"/>
  <c r="AU27" i="33"/>
  <c r="AU31" i="33"/>
  <c r="AC35" i="33"/>
  <c r="AC51" i="33"/>
  <c r="AS30" i="33"/>
  <c r="AP30" i="33"/>
  <c r="AU33" i="33"/>
  <c r="AC25" i="33"/>
  <c r="AC31" i="33"/>
  <c r="AC32" i="33"/>
  <c r="AC37" i="33"/>
  <c r="AC38" i="33"/>
  <c r="AC39" i="33"/>
  <c r="AC40" i="33"/>
  <c r="AC42" i="33"/>
  <c r="AC43" i="33"/>
  <c r="AC44" i="33"/>
  <c r="AC47" i="33"/>
  <c r="AC48" i="33"/>
  <c r="AC50" i="33"/>
  <c r="AC53" i="33"/>
  <c r="AC54" i="33"/>
  <c r="AC55" i="33"/>
  <c r="AP20" i="33"/>
  <c r="AP19" i="33" s="1"/>
  <c r="AC22" i="33"/>
  <c r="AC23" i="33"/>
  <c r="AC26" i="33"/>
  <c r="AC27" i="33"/>
  <c r="AC45" i="33"/>
  <c r="AC49" i="33"/>
  <c r="AT30" i="33"/>
  <c r="AU35" i="33"/>
  <c r="AQ20" i="33"/>
  <c r="AQ19" i="33" s="1"/>
  <c r="AU22" i="33"/>
  <c r="AT20" i="33"/>
  <c r="AT19" i="33" s="1"/>
  <c r="AS20" i="33"/>
  <c r="AS19" i="33" s="1"/>
  <c r="AU25" i="33"/>
  <c r="AU26" i="33"/>
  <c r="AQ34" i="33"/>
  <c r="AT34" i="33"/>
  <c r="AU37" i="33"/>
  <c r="AR34" i="33"/>
  <c r="AU39" i="33"/>
  <c r="AU40" i="33"/>
  <c r="AU41" i="33"/>
  <c r="AU44" i="33"/>
  <c r="AU45" i="33"/>
  <c r="AU46" i="33"/>
  <c r="AU47" i="33"/>
  <c r="AU49" i="33"/>
  <c r="AU50" i="33"/>
  <c r="AU51" i="33"/>
  <c r="AU52" i="33"/>
  <c r="AU53" i="33"/>
  <c r="AU55" i="33"/>
  <c r="AU32" i="33"/>
  <c r="AQ30" i="33"/>
  <c r="AP34" i="33"/>
  <c r="AP29" i="33" s="1"/>
  <c r="AC51" i="2"/>
  <c r="AS58" i="2"/>
  <c r="AC38" i="2"/>
  <c r="AC46" i="2"/>
  <c r="AT58" i="2"/>
  <c r="AC23" i="2"/>
  <c r="AP29" i="2"/>
  <c r="AT29" i="2"/>
  <c r="AU35" i="2"/>
  <c r="AU41" i="2"/>
  <c r="AU46" i="2"/>
  <c r="AU56" i="2"/>
  <c r="AR58" i="2"/>
  <c r="AR29" i="2"/>
  <c r="AU53" i="2"/>
  <c r="AS54" i="2"/>
  <c r="AR61" i="2"/>
  <c r="AU63" i="2"/>
  <c r="AT61" i="2"/>
  <c r="AU66" i="2"/>
  <c r="AU67" i="2"/>
  <c r="AC22" i="2"/>
  <c r="AC30" i="2"/>
  <c r="AC33" i="2"/>
  <c r="AC34" i="2"/>
  <c r="AC35" i="2"/>
  <c r="AC39" i="2"/>
  <c r="AC42" i="2"/>
  <c r="AC43" i="2"/>
  <c r="AC44" i="2"/>
  <c r="AC45" i="2"/>
  <c r="AC57" i="2"/>
  <c r="AC64" i="2"/>
  <c r="AT18" i="2"/>
  <c r="AR21" i="2"/>
  <c r="AU23" i="2"/>
  <c r="AP61" i="2"/>
  <c r="AC31" i="2"/>
  <c r="AU49" i="2"/>
  <c r="AP47" i="2"/>
  <c r="AP74" i="2"/>
  <c r="AU75" i="2"/>
  <c r="AO72" i="2"/>
  <c r="AW72" i="2"/>
  <c r="AW71" i="2" s="1"/>
  <c r="AN71" i="2"/>
  <c r="BA72" i="2"/>
  <c r="BA71" i="2" s="1"/>
  <c r="W79" i="2"/>
  <c r="AC19" i="2"/>
  <c r="AC36" i="2"/>
  <c r="AC40" i="2"/>
  <c r="AC62" i="2"/>
  <c r="AC63" i="2"/>
  <c r="AC65" i="2"/>
  <c r="AC66" i="2"/>
  <c r="AC67" i="2"/>
  <c r="BB73" i="2"/>
  <c r="AC37" i="2"/>
  <c r="AC41" i="2"/>
  <c r="AC56" i="2"/>
  <c r="AN80" i="2"/>
  <c r="BA80" i="2" s="1"/>
  <c r="BA78" i="2" s="1"/>
  <c r="AB80" i="2"/>
  <c r="AM71" i="2"/>
  <c r="AL71" i="2"/>
  <c r="AY72" i="2"/>
  <c r="AY71" i="2" s="1"/>
  <c r="W72" i="2"/>
  <c r="AC24" i="2"/>
  <c r="AC25" i="2"/>
  <c r="AC48" i="2"/>
  <c r="AQ29" i="2"/>
  <c r="AC84" i="2"/>
  <c r="AC90" i="2"/>
  <c r="AC91" i="2"/>
  <c r="AC92" i="2"/>
  <c r="AC95" i="2"/>
  <c r="AC97" i="2"/>
  <c r="AC98" i="2"/>
  <c r="AC100" i="2"/>
  <c r="AC101" i="2"/>
  <c r="AU19" i="2"/>
  <c r="AU31" i="2"/>
  <c r="AU33" i="2"/>
  <c r="AU34" i="2"/>
  <c r="AU37" i="2"/>
  <c r="AU38" i="2"/>
  <c r="AU39" i="2"/>
  <c r="AU40" i="2"/>
  <c r="AU42" i="2"/>
  <c r="AU43" i="2"/>
  <c r="AU45" i="2"/>
  <c r="AR47" i="2"/>
  <c r="AT47" i="2"/>
  <c r="AU51" i="2"/>
  <c r="AU52" i="2"/>
  <c r="AU55" i="2"/>
  <c r="AT54" i="2"/>
  <c r="AU57" i="2"/>
  <c r="AU65" i="2"/>
  <c r="AU84" i="2"/>
  <c r="AC88" i="2"/>
  <c r="AC96" i="2"/>
  <c r="AU32" i="2"/>
  <c r="AU36" i="2"/>
  <c r="AU44" i="2"/>
  <c r="AQ54" i="2"/>
  <c r="AU73" i="2"/>
  <c r="AR74" i="2"/>
  <c r="AU76" i="2"/>
  <c r="AU79" i="2"/>
  <c r="AU78" i="2" s="1"/>
  <c r="AC49" i="2"/>
  <c r="AC52" i="2"/>
  <c r="AC53" i="2"/>
  <c r="AC55" i="2"/>
  <c r="AC59" i="2"/>
  <c r="AC60" i="2"/>
  <c r="AC72" i="2"/>
  <c r="AD72" i="2" s="1"/>
  <c r="AC80" i="2"/>
  <c r="AC93" i="2"/>
  <c r="AQ21" i="2"/>
  <c r="AP21" i="2"/>
  <c r="AT21" i="2"/>
  <c r="AS21" i="2"/>
  <c r="AU25" i="2"/>
  <c r="AU27" i="2"/>
  <c r="AS71" i="2"/>
  <c r="AS68" i="2" s="1"/>
  <c r="AS74" i="2"/>
  <c r="AQ78" i="2"/>
  <c r="AU80" i="2"/>
  <c r="AU83" i="2"/>
  <c r="AR81" i="2"/>
  <c r="AU86" i="2"/>
  <c r="AU87" i="2"/>
  <c r="AU88" i="2"/>
  <c r="AU89" i="2"/>
  <c r="AU91" i="2"/>
  <c r="AU92" i="2"/>
  <c r="AU93" i="2"/>
  <c r="AU94" i="2"/>
  <c r="AU95" i="2"/>
  <c r="AU97" i="2"/>
  <c r="AU98" i="2"/>
  <c r="AU99" i="2"/>
  <c r="AU100" i="2"/>
  <c r="W27" i="16"/>
  <c r="W42" i="16"/>
  <c r="AH63" i="16"/>
  <c r="AI70" i="16"/>
  <c r="AF63" i="16"/>
  <c r="AI72" i="16"/>
  <c r="AI26" i="16"/>
  <c r="AI69" i="16"/>
  <c r="T69" i="16"/>
  <c r="W66" i="16"/>
  <c r="W61" i="16"/>
  <c r="W60" i="16"/>
  <c r="AG63" i="16"/>
  <c r="AI27" i="16"/>
  <c r="W26" i="16"/>
  <c r="AI76" i="16"/>
  <c r="AF100" i="16"/>
  <c r="AI103" i="16"/>
  <c r="AI99" i="16"/>
  <c r="AH93" i="16"/>
  <c r="W74" i="16"/>
  <c r="AI74" i="16"/>
  <c r="AI67" i="16"/>
  <c r="AH50" i="16"/>
  <c r="AH30" i="16" s="1"/>
  <c r="AF50" i="16"/>
  <c r="AG50" i="16"/>
  <c r="AG30" i="16" s="1"/>
  <c r="AI42" i="16"/>
  <c r="AF31" i="16"/>
  <c r="AI34" i="16"/>
  <c r="AH19" i="16"/>
  <c r="AG24" i="16"/>
  <c r="AG20" i="16"/>
  <c r="W53" i="16"/>
  <c r="W46" i="16"/>
  <c r="W43" i="16"/>
  <c r="AC21" i="33"/>
  <c r="AR64" i="33"/>
  <c r="AU67" i="33"/>
  <c r="AV67" i="33" s="1"/>
  <c r="AQ64" i="33"/>
  <c r="AQ56" i="33" s="1"/>
  <c r="AM25" i="1" s="1"/>
  <c r="AT56" i="33"/>
  <c r="AM42" i="1" s="1"/>
  <c r="AR59" i="33"/>
  <c r="AS56" i="33"/>
  <c r="AM37" i="1" s="1"/>
  <c r="AS34" i="33"/>
  <c r="AS29" i="33" s="1"/>
  <c r="AU38" i="33"/>
  <c r="AU36" i="33"/>
  <c r="AR30" i="33"/>
  <c r="AU21" i="33"/>
  <c r="AU64" i="33"/>
  <c r="AU60" i="33"/>
  <c r="AX71" i="2"/>
  <c r="AC20" i="2"/>
  <c r="AU20" i="2"/>
  <c r="AU18" i="2" s="1"/>
  <c r="AS18" i="2"/>
  <c r="AC50" i="2"/>
  <c r="AU50" i="2"/>
  <c r="AS47" i="2"/>
  <c r="AP81" i="2"/>
  <c r="AP68" i="2" s="1"/>
  <c r="AM17" i="1" s="1"/>
  <c r="AU85" i="2"/>
  <c r="AS81" i="2"/>
  <c r="AR78" i="2"/>
  <c r="AR68" i="2" s="1"/>
  <c r="AM30" i="1" s="1"/>
  <c r="AQ74" i="2"/>
  <c r="AU77" i="2"/>
  <c r="AQ61" i="2"/>
  <c r="AS61" i="2"/>
  <c r="AU64" i="2"/>
  <c r="AU59" i="2"/>
  <c r="AU60" i="2"/>
  <c r="AR54" i="2"/>
  <c r="AP54" i="2"/>
  <c r="AQ47" i="2"/>
  <c r="AS29" i="2"/>
  <c r="AU26" i="2"/>
  <c r="AU24" i="2"/>
  <c r="AR18" i="2"/>
  <c r="AT68" i="2"/>
  <c r="AM41" i="1" s="1"/>
  <c r="AQ18" i="2"/>
  <c r="AU22" i="2"/>
  <c r="AQ26" i="2"/>
  <c r="AU30" i="2"/>
  <c r="AU48" i="2"/>
  <c r="AU62" i="2"/>
  <c r="AU72" i="2"/>
  <c r="AU82" i="2"/>
  <c r="AO73" i="2"/>
  <c r="AO71" i="2" s="1"/>
  <c r="AK71" i="2"/>
  <c r="V75" i="2"/>
  <c r="V76" i="2"/>
  <c r="V77" i="2"/>
  <c r="AM68" i="3"/>
  <c r="AA68" i="3"/>
  <c r="AN69" i="3"/>
  <c r="BA69" i="3" s="1"/>
  <c r="X68" i="3"/>
  <c r="AX68" i="3"/>
  <c r="AB68" i="3"/>
  <c r="Y68" i="3"/>
  <c r="BI68" i="3"/>
  <c r="BA68" i="3"/>
  <c r="AU68" i="3"/>
  <c r="AU69" i="3"/>
  <c r="AY68" i="3"/>
  <c r="P80" i="2"/>
  <c r="W80" i="2" s="1"/>
  <c r="AL80" i="2"/>
  <c r="AK78" i="2"/>
  <c r="AM78" i="2"/>
  <c r="AO79" i="2"/>
  <c r="AJ78" i="2"/>
  <c r="AJ71" i="2"/>
  <c r="AN78" i="2" l="1"/>
  <c r="AU59" i="33"/>
  <c r="AR56" i="33"/>
  <c r="AM31" i="1" s="1"/>
  <c r="AF19" i="16"/>
  <c r="AZ78" i="2"/>
  <c r="AW78" i="2"/>
  <c r="AZ68" i="3"/>
  <c r="BB72" i="2"/>
  <c r="BC72" i="2" s="1"/>
  <c r="AU56" i="33"/>
  <c r="AT17" i="2"/>
  <c r="AD80" i="2"/>
  <c r="AP18" i="33"/>
  <c r="AH19" i="1" s="1"/>
  <c r="AQ68" i="2"/>
  <c r="AM24" i="1" s="1"/>
  <c r="AS17" i="2"/>
  <c r="AS16" i="2" s="1"/>
  <c r="AH36" i="1" s="1"/>
  <c r="AS18" i="33"/>
  <c r="AH37" i="1" s="1"/>
  <c r="AQ29" i="33"/>
  <c r="AQ18" i="33" s="1"/>
  <c r="AH25" i="1" s="1"/>
  <c r="AI50" i="16"/>
  <c r="AI31" i="16"/>
  <c r="AI41" i="16"/>
  <c r="AI59" i="16"/>
  <c r="AT29" i="33"/>
  <c r="AT18" i="33" s="1"/>
  <c r="AH42" i="1" s="1"/>
  <c r="AU20" i="33"/>
  <c r="AU19" i="33" s="1"/>
  <c r="AR29" i="33"/>
  <c r="AR18" i="33" s="1"/>
  <c r="AH31" i="1" s="1"/>
  <c r="AU30" i="33"/>
  <c r="AR17" i="2"/>
  <c r="AR16" i="2" s="1"/>
  <c r="AH30" i="1" s="1"/>
  <c r="AS28" i="2"/>
  <c r="AQ28" i="2"/>
  <c r="AP28" i="2"/>
  <c r="AT28" i="2"/>
  <c r="AT16" i="2" s="1"/>
  <c r="AH41" i="1" s="1"/>
  <c r="AL78" i="2"/>
  <c r="AY80" i="2"/>
  <c r="AU54" i="2"/>
  <c r="AV79" i="2"/>
  <c r="AR28" i="2"/>
  <c r="AU58" i="2"/>
  <c r="BC79" i="2"/>
  <c r="AV73" i="2"/>
  <c r="BC73" i="2"/>
  <c r="AI24" i="16"/>
  <c r="AI19" i="16" s="1"/>
  <c r="AG19" i="16"/>
  <c r="AG18" i="16" s="1"/>
  <c r="AH27" i="1" s="1"/>
  <c r="AI100" i="16"/>
  <c r="AI63" i="16"/>
  <c r="AF30" i="16"/>
  <c r="AF18" i="16" s="1"/>
  <c r="AH21" i="1" s="1"/>
  <c r="AH18" i="16"/>
  <c r="AH33" i="1" s="1"/>
  <c r="AU34" i="33"/>
  <c r="BB71" i="2"/>
  <c r="AU81" i="2"/>
  <c r="AU74" i="2"/>
  <c r="AU71" i="2"/>
  <c r="AV72" i="2"/>
  <c r="AU61" i="2"/>
  <c r="AP16" i="2"/>
  <c r="AH17" i="1" s="1"/>
  <c r="AU47" i="2"/>
  <c r="AU29" i="2"/>
  <c r="AU21" i="2"/>
  <c r="AU17" i="2" s="1"/>
  <c r="AQ17" i="2"/>
  <c r="AA69" i="3"/>
  <c r="AM69" i="3"/>
  <c r="AJ68" i="3"/>
  <c r="P68" i="3"/>
  <c r="W68" i="3" s="1"/>
  <c r="BK68" i="3"/>
  <c r="BM68" i="3"/>
  <c r="CW68" i="3"/>
  <c r="AC68" i="3"/>
  <c r="AO80" i="2"/>
  <c r="AO78" i="2" s="1"/>
  <c r="AU29" i="33" l="1"/>
  <c r="AU18" i="33" s="1"/>
  <c r="AI30" i="16"/>
  <c r="AI18" i="16" s="1"/>
  <c r="AQ16" i="2"/>
  <c r="AH24" i="1" s="1"/>
  <c r="AV80" i="2"/>
  <c r="BB80" i="2"/>
  <c r="AY78" i="2"/>
  <c r="AU28" i="2"/>
  <c r="AU16" i="2" s="1"/>
  <c r="AU68" i="2"/>
  <c r="AZ69" i="3"/>
  <c r="AD68" i="3"/>
  <c r="AW68" i="3"/>
  <c r="AO68" i="3"/>
  <c r="CR68" i="3"/>
  <c r="BC80" i="2" l="1"/>
  <c r="BB78" i="2"/>
  <c r="BB68" i="3"/>
  <c r="AV68" i="3"/>
  <c r="BC68" i="3" l="1"/>
  <c r="AO52" i="1" l="1"/>
  <c r="AO51" i="1"/>
  <c r="AM45" i="1"/>
  <c r="AM44" i="1"/>
  <c r="AH45" i="1"/>
  <c r="AH44" i="1" l="1"/>
  <c r="R103" i="16"/>
  <c r="R102" i="16"/>
  <c r="R101" i="16"/>
  <c r="R99" i="16"/>
  <c r="Q98" i="16"/>
  <c r="AH98" i="16" s="1"/>
  <c r="P98" i="16"/>
  <c r="AG98" i="16" s="1"/>
  <c r="O98" i="16"/>
  <c r="AF98" i="16" s="1"/>
  <c r="Q97" i="16"/>
  <c r="AH97" i="16" s="1"/>
  <c r="P97" i="16"/>
  <c r="AG97" i="16" s="1"/>
  <c r="O97" i="16"/>
  <c r="AF97" i="16" s="1"/>
  <c r="R95" i="16"/>
  <c r="R94" i="16"/>
  <c r="R92" i="16"/>
  <c r="R91" i="16"/>
  <c r="R90" i="16"/>
  <c r="R89" i="16"/>
  <c r="R88" i="16"/>
  <c r="R87" i="16"/>
  <c r="R86" i="16"/>
  <c r="R85" i="16"/>
  <c r="R84" i="16"/>
  <c r="R83" i="16"/>
  <c r="R82" i="16"/>
  <c r="R81" i="16"/>
  <c r="R80" i="16"/>
  <c r="R79" i="16"/>
  <c r="R78" i="16"/>
  <c r="R77" i="16"/>
  <c r="R76" i="16"/>
  <c r="R75" i="16"/>
  <c r="R74" i="16"/>
  <c r="R72" i="16"/>
  <c r="R71" i="16"/>
  <c r="R70" i="16"/>
  <c r="R69" i="16"/>
  <c r="R68" i="16"/>
  <c r="R67" i="16"/>
  <c r="R66" i="16"/>
  <c r="R65" i="16"/>
  <c r="R64" i="16"/>
  <c r="R62" i="16"/>
  <c r="R61" i="16"/>
  <c r="R60" i="16"/>
  <c r="R55" i="16"/>
  <c r="R54" i="16"/>
  <c r="R53" i="16"/>
  <c r="R52" i="16"/>
  <c r="R51" i="16"/>
  <c r="R49" i="16"/>
  <c r="R48" i="16"/>
  <c r="R47" i="16"/>
  <c r="R46" i="16"/>
  <c r="R44" i="16"/>
  <c r="R43" i="16"/>
  <c r="R42" i="16"/>
  <c r="R40" i="16"/>
  <c r="R39" i="16"/>
  <c r="R38" i="16"/>
  <c r="R37" i="16"/>
  <c r="R36" i="16"/>
  <c r="R35" i="16"/>
  <c r="R34" i="16"/>
  <c r="R33" i="16"/>
  <c r="R32" i="16"/>
  <c r="R29" i="16"/>
  <c r="R27" i="16"/>
  <c r="R26" i="16"/>
  <c r="R25" i="16"/>
  <c r="R23" i="16"/>
  <c r="R22" i="16"/>
  <c r="R21" i="16"/>
  <c r="U49" i="3"/>
  <c r="AB49" i="3" s="1"/>
  <c r="R42" i="3"/>
  <c r="Y42" i="3" s="1"/>
  <c r="R40" i="3"/>
  <c r="AQ40" i="3" s="1"/>
  <c r="S42" i="3"/>
  <c r="Z42" i="3" s="1"/>
  <c r="S40" i="3"/>
  <c r="S41" i="3" s="1"/>
  <c r="AB42" i="3"/>
  <c r="S49" i="3"/>
  <c r="R95" i="3"/>
  <c r="AQ95" i="3" s="1"/>
  <c r="R94" i="3"/>
  <c r="AQ94" i="3" s="1"/>
  <c r="L93" i="3"/>
  <c r="AK93" i="3" s="1"/>
  <c r="CW93" i="3"/>
  <c r="CU93" i="3"/>
  <c r="CT93" i="3"/>
  <c r="CS93" i="3"/>
  <c r="CQ93" i="3"/>
  <c r="BM93" i="3"/>
  <c r="BK93" i="3"/>
  <c r="BI93" i="3"/>
  <c r="AT93" i="3"/>
  <c r="AS93" i="3"/>
  <c r="AR93" i="3"/>
  <c r="AQ93" i="3"/>
  <c r="AP93" i="3"/>
  <c r="AN93" i="3"/>
  <c r="AM93" i="3"/>
  <c r="AL93" i="3"/>
  <c r="AJ93" i="3"/>
  <c r="CR93" i="3" s="1"/>
  <c r="AB93" i="3"/>
  <c r="AA93" i="3"/>
  <c r="Z93" i="3"/>
  <c r="X93" i="3"/>
  <c r="V93" i="3"/>
  <c r="U65" i="5"/>
  <c r="AT65" i="5" s="1"/>
  <c r="AB104" i="3"/>
  <c r="AA104" i="3"/>
  <c r="Z104" i="3"/>
  <c r="Y104" i="3"/>
  <c r="X104" i="3"/>
  <c r="AB103" i="3"/>
  <c r="AA103" i="3"/>
  <c r="Z103" i="3"/>
  <c r="Y103" i="3"/>
  <c r="X103" i="3"/>
  <c r="AB102" i="3"/>
  <c r="AA102" i="3"/>
  <c r="Z102" i="3"/>
  <c r="Y102" i="3"/>
  <c r="X102" i="3"/>
  <c r="AB100" i="3"/>
  <c r="AA100" i="3"/>
  <c r="Z100" i="3"/>
  <c r="Y100" i="3"/>
  <c r="X100" i="3"/>
  <c r="AB99" i="3"/>
  <c r="AA99" i="3"/>
  <c r="Z99" i="3"/>
  <c r="Y99" i="3"/>
  <c r="X99" i="3"/>
  <c r="AB97" i="3"/>
  <c r="Z97" i="3"/>
  <c r="Y97" i="3"/>
  <c r="X97" i="3"/>
  <c r="AB95" i="3"/>
  <c r="AB94" i="3"/>
  <c r="Y91" i="3"/>
  <c r="X91" i="3"/>
  <c r="Y90" i="3"/>
  <c r="X90" i="3"/>
  <c r="AB89" i="3"/>
  <c r="AA89" i="3"/>
  <c r="Y89" i="3"/>
  <c r="X89" i="3"/>
  <c r="Y88" i="3"/>
  <c r="X88" i="3"/>
  <c r="Y87" i="3"/>
  <c r="AB86" i="3"/>
  <c r="AA86" i="3"/>
  <c r="Z86" i="3"/>
  <c r="Y86" i="3"/>
  <c r="X86" i="3"/>
  <c r="AB85" i="3"/>
  <c r="AA85" i="3"/>
  <c r="Z85" i="3"/>
  <c r="Y85" i="3"/>
  <c r="X85" i="3"/>
  <c r="AB84" i="3"/>
  <c r="AA84" i="3"/>
  <c r="Z84" i="3"/>
  <c r="Y84" i="3"/>
  <c r="X84" i="3"/>
  <c r="AB83" i="3"/>
  <c r="AA83" i="3"/>
  <c r="Z83" i="3"/>
  <c r="Y83" i="3"/>
  <c r="X83" i="3"/>
  <c r="AB82" i="3"/>
  <c r="AA82" i="3"/>
  <c r="Y82" i="3"/>
  <c r="X82" i="3"/>
  <c r="AB81" i="3"/>
  <c r="AA81" i="3"/>
  <c r="Y81" i="3"/>
  <c r="X81" i="3"/>
  <c r="AB76" i="3"/>
  <c r="AA76" i="3"/>
  <c r="AB75" i="3"/>
  <c r="AA75" i="3"/>
  <c r="Z75" i="3"/>
  <c r="Y75" i="3"/>
  <c r="X75" i="3"/>
  <c r="AB74" i="3"/>
  <c r="AA74" i="3"/>
  <c r="Z74" i="3"/>
  <c r="Y74" i="3"/>
  <c r="X74" i="3"/>
  <c r="AB73" i="3"/>
  <c r="AA73" i="3"/>
  <c r="Z73" i="3"/>
  <c r="AB72" i="3"/>
  <c r="AA72" i="3"/>
  <c r="Y72" i="3"/>
  <c r="X72" i="3"/>
  <c r="AB63" i="3"/>
  <c r="AA63" i="3"/>
  <c r="Z63" i="3"/>
  <c r="Y63" i="3"/>
  <c r="X63" i="3"/>
  <c r="AB62" i="3"/>
  <c r="AA62" i="3"/>
  <c r="Z62" i="3"/>
  <c r="Y62" i="3"/>
  <c r="X62" i="3"/>
  <c r="AB61" i="3"/>
  <c r="AA61" i="3"/>
  <c r="Z61" i="3"/>
  <c r="Y61" i="3"/>
  <c r="X61" i="3"/>
  <c r="AB59" i="3"/>
  <c r="AA59" i="3"/>
  <c r="Z59" i="3"/>
  <c r="Y59" i="3"/>
  <c r="X59" i="3"/>
  <c r="AB58" i="3"/>
  <c r="AA58" i="3"/>
  <c r="Z58" i="3"/>
  <c r="Y58" i="3"/>
  <c r="X58" i="3"/>
  <c r="AB57" i="3"/>
  <c r="AA57" i="3"/>
  <c r="Z57" i="3"/>
  <c r="Y57" i="3"/>
  <c r="X57" i="3"/>
  <c r="AB56" i="3"/>
  <c r="AA56" i="3"/>
  <c r="Z56" i="3"/>
  <c r="Y56" i="3"/>
  <c r="X56" i="3"/>
  <c r="AB54" i="3"/>
  <c r="AA54" i="3"/>
  <c r="Z54" i="3"/>
  <c r="Y54" i="3"/>
  <c r="X54" i="3"/>
  <c r="AB53" i="3"/>
  <c r="AA53" i="3"/>
  <c r="Z53" i="3"/>
  <c r="Y53" i="3"/>
  <c r="X53" i="3"/>
  <c r="AB52" i="3"/>
  <c r="AA52" i="3"/>
  <c r="Z52" i="3"/>
  <c r="Y52" i="3"/>
  <c r="X52" i="3"/>
  <c r="AB50" i="3"/>
  <c r="AA50" i="3"/>
  <c r="Z50" i="3"/>
  <c r="Y50" i="3"/>
  <c r="X50" i="3"/>
  <c r="AA49" i="3"/>
  <c r="Y49" i="3"/>
  <c r="X49" i="3"/>
  <c r="AB48" i="3"/>
  <c r="AA48" i="3"/>
  <c r="Z48" i="3"/>
  <c r="Y48" i="3"/>
  <c r="X48" i="3"/>
  <c r="AB47" i="3"/>
  <c r="AA47" i="3"/>
  <c r="Z47" i="3"/>
  <c r="Y47" i="3"/>
  <c r="X47" i="3"/>
  <c r="AB44" i="3"/>
  <c r="AA44" i="3"/>
  <c r="Z44" i="3"/>
  <c r="Y44" i="3"/>
  <c r="X44" i="3"/>
  <c r="AA42" i="3"/>
  <c r="X42" i="3"/>
  <c r="AA41" i="3"/>
  <c r="X41" i="3"/>
  <c r="AB40" i="3"/>
  <c r="AA40" i="3"/>
  <c r="X40" i="3"/>
  <c r="AB39" i="3"/>
  <c r="AA39" i="3"/>
  <c r="Z39" i="3"/>
  <c r="Y39" i="3"/>
  <c r="X39" i="3"/>
  <c r="AB38" i="3"/>
  <c r="AA38" i="3"/>
  <c r="Z38" i="3"/>
  <c r="Y38" i="3"/>
  <c r="X38" i="3"/>
  <c r="AB37" i="3"/>
  <c r="AA37" i="3"/>
  <c r="Z37" i="3"/>
  <c r="Y37" i="3"/>
  <c r="X37" i="3"/>
  <c r="AB36" i="3"/>
  <c r="AA36" i="3"/>
  <c r="Z36" i="3"/>
  <c r="Y36" i="3"/>
  <c r="X36" i="3"/>
  <c r="AB35" i="3"/>
  <c r="AA35" i="3"/>
  <c r="Z35" i="3"/>
  <c r="Y35" i="3"/>
  <c r="X35" i="3"/>
  <c r="AB34" i="3"/>
  <c r="AA34" i="3"/>
  <c r="Z34" i="3"/>
  <c r="Y34" i="3"/>
  <c r="X34" i="3"/>
  <c r="AB33" i="3"/>
  <c r="AA33" i="3"/>
  <c r="Z33" i="3"/>
  <c r="Y33" i="3"/>
  <c r="X33" i="3"/>
  <c r="AB32" i="3"/>
  <c r="AA32" i="3"/>
  <c r="Z32" i="3"/>
  <c r="Y32" i="3"/>
  <c r="X32" i="3"/>
  <c r="AB31" i="3"/>
  <c r="AA31" i="3"/>
  <c r="Z31" i="3"/>
  <c r="Y31" i="3"/>
  <c r="X31" i="3"/>
  <c r="AB29" i="3"/>
  <c r="AA29" i="3"/>
  <c r="Z29" i="3"/>
  <c r="Y29" i="3"/>
  <c r="X29" i="3"/>
  <c r="AB28" i="3"/>
  <c r="AA28" i="3"/>
  <c r="Z28" i="3"/>
  <c r="Y28" i="3"/>
  <c r="X28" i="3"/>
  <c r="AB27" i="3"/>
  <c r="AA27" i="3"/>
  <c r="Z27" i="3"/>
  <c r="Y27" i="3"/>
  <c r="X27" i="3"/>
  <c r="AB26" i="3"/>
  <c r="AA26" i="3"/>
  <c r="Z26" i="3"/>
  <c r="Y26" i="3"/>
  <c r="X26" i="3"/>
  <c r="AB25" i="3"/>
  <c r="AA25" i="3"/>
  <c r="Z25" i="3"/>
  <c r="Y25" i="3"/>
  <c r="X25" i="3"/>
  <c r="AB24" i="3"/>
  <c r="AA24" i="3"/>
  <c r="Z24" i="3"/>
  <c r="Y24" i="3"/>
  <c r="X24" i="3"/>
  <c r="AB23" i="3"/>
  <c r="AA23" i="3"/>
  <c r="Z23" i="3"/>
  <c r="Y23" i="3"/>
  <c r="X23" i="3"/>
  <c r="AB22" i="3"/>
  <c r="AA22" i="3"/>
  <c r="Z22" i="3"/>
  <c r="Y22" i="3"/>
  <c r="X22" i="3"/>
  <c r="AB21" i="3"/>
  <c r="AA21" i="3"/>
  <c r="Z21" i="3"/>
  <c r="Y21" i="3"/>
  <c r="X21" i="3"/>
  <c r="AT104" i="3"/>
  <c r="AS104" i="3"/>
  <c r="AR104" i="3"/>
  <c r="AQ104" i="3"/>
  <c r="AP104" i="3"/>
  <c r="AT103" i="3"/>
  <c r="AS103" i="3"/>
  <c r="AR103" i="3"/>
  <c r="AQ103" i="3"/>
  <c r="AP103" i="3"/>
  <c r="AT102" i="3"/>
  <c r="AS102" i="3"/>
  <c r="AR102" i="3"/>
  <c r="AQ102" i="3"/>
  <c r="AP102" i="3"/>
  <c r="AT100" i="3"/>
  <c r="AS100" i="3"/>
  <c r="AR100" i="3"/>
  <c r="AQ100" i="3"/>
  <c r="AP100" i="3"/>
  <c r="AT99" i="3"/>
  <c r="AS99" i="3"/>
  <c r="AR99" i="3"/>
  <c r="AQ99" i="3"/>
  <c r="AP99" i="3"/>
  <c r="AT97" i="3"/>
  <c r="AS97" i="3"/>
  <c r="AR97" i="3"/>
  <c r="AQ97" i="3"/>
  <c r="AP97" i="3"/>
  <c r="AT95" i="3"/>
  <c r="AS95" i="3"/>
  <c r="AR95" i="3"/>
  <c r="AP95" i="3"/>
  <c r="AT94" i="3"/>
  <c r="AS94" i="3"/>
  <c r="AR94" i="3"/>
  <c r="AP94" i="3"/>
  <c r="AT91" i="3"/>
  <c r="AS91" i="3"/>
  <c r="AR91" i="3"/>
  <c r="AQ91" i="3"/>
  <c r="AP91" i="3"/>
  <c r="AT90" i="3"/>
  <c r="AS90" i="3"/>
  <c r="AR90" i="3"/>
  <c r="AQ90" i="3"/>
  <c r="AP90" i="3"/>
  <c r="AT89" i="3"/>
  <c r="AS89" i="3"/>
  <c r="AR89" i="3"/>
  <c r="AQ89" i="3"/>
  <c r="AP89" i="3"/>
  <c r="AT88" i="3"/>
  <c r="AS88" i="3"/>
  <c r="AR88" i="3"/>
  <c r="AQ88" i="3"/>
  <c r="AP88" i="3"/>
  <c r="AT87" i="3"/>
  <c r="AS87" i="3"/>
  <c r="AR87" i="3"/>
  <c r="AQ87" i="3"/>
  <c r="AP87" i="3"/>
  <c r="AT86" i="3"/>
  <c r="AS86" i="3"/>
  <c r="AR86" i="3"/>
  <c r="AQ86" i="3"/>
  <c r="AP86" i="3"/>
  <c r="AT85" i="3"/>
  <c r="AS85" i="3"/>
  <c r="AR85" i="3"/>
  <c r="AQ85" i="3"/>
  <c r="AP85" i="3"/>
  <c r="AT84" i="3"/>
  <c r="AS84" i="3"/>
  <c r="AR84" i="3"/>
  <c r="AQ84" i="3"/>
  <c r="AP84" i="3"/>
  <c r="AT83" i="3"/>
  <c r="AS83" i="3"/>
  <c r="AR83" i="3"/>
  <c r="AQ83" i="3"/>
  <c r="AP83" i="3"/>
  <c r="AT82" i="3"/>
  <c r="AS82" i="3"/>
  <c r="AR82" i="3"/>
  <c r="AQ82" i="3"/>
  <c r="AP82" i="3"/>
  <c r="AT81" i="3"/>
  <c r="AS81" i="3"/>
  <c r="AR81" i="3"/>
  <c r="AQ81" i="3"/>
  <c r="AP81" i="3"/>
  <c r="AT80" i="3"/>
  <c r="AS80" i="3"/>
  <c r="AR80" i="3"/>
  <c r="AQ80" i="3"/>
  <c r="AP80" i="3"/>
  <c r="AT79" i="3"/>
  <c r="AS79" i="3"/>
  <c r="AR79" i="3"/>
  <c r="AQ79" i="3"/>
  <c r="AP79" i="3"/>
  <c r="AT78" i="3"/>
  <c r="AS78" i="3"/>
  <c r="AR78" i="3"/>
  <c r="AQ78" i="3"/>
  <c r="AP78" i="3"/>
  <c r="AT76" i="3"/>
  <c r="AS76" i="3"/>
  <c r="AR76" i="3"/>
  <c r="AQ76" i="3"/>
  <c r="AP76" i="3"/>
  <c r="AT75" i="3"/>
  <c r="AS75" i="3"/>
  <c r="AR75" i="3"/>
  <c r="AQ75" i="3"/>
  <c r="AP75" i="3"/>
  <c r="AT74" i="3"/>
  <c r="AS74" i="3"/>
  <c r="AR74" i="3"/>
  <c r="AQ74" i="3"/>
  <c r="AP74" i="3"/>
  <c r="AT73" i="3"/>
  <c r="AS73" i="3"/>
  <c r="AR73" i="3"/>
  <c r="AQ73" i="3"/>
  <c r="AP73" i="3"/>
  <c r="AT72" i="3"/>
  <c r="AS72" i="3"/>
  <c r="AR72" i="3"/>
  <c r="AQ72" i="3"/>
  <c r="AP72" i="3"/>
  <c r="AT71" i="3"/>
  <c r="AS71" i="3"/>
  <c r="AR71" i="3"/>
  <c r="AQ71" i="3"/>
  <c r="AP71" i="3"/>
  <c r="AT70" i="3"/>
  <c r="AS70" i="3"/>
  <c r="AR70" i="3"/>
  <c r="AQ70" i="3"/>
  <c r="AP70" i="3"/>
  <c r="AT63" i="3"/>
  <c r="AS63" i="3"/>
  <c r="AR63" i="3"/>
  <c r="AQ63" i="3"/>
  <c r="AP63" i="3"/>
  <c r="AT62" i="3"/>
  <c r="AS62" i="3"/>
  <c r="AR62" i="3"/>
  <c r="AQ62" i="3"/>
  <c r="AP62" i="3"/>
  <c r="AT61" i="3"/>
  <c r="AS61" i="3"/>
  <c r="AR61" i="3"/>
  <c r="AQ61" i="3"/>
  <c r="AP61" i="3"/>
  <c r="AT59" i="3"/>
  <c r="AS59" i="3"/>
  <c r="AR59" i="3"/>
  <c r="AQ59" i="3"/>
  <c r="AP59" i="3"/>
  <c r="AT58" i="3"/>
  <c r="AS58" i="3"/>
  <c r="AR58" i="3"/>
  <c r="AQ58" i="3"/>
  <c r="AP58" i="3"/>
  <c r="AT57" i="3"/>
  <c r="AS57" i="3"/>
  <c r="AR57" i="3"/>
  <c r="AQ57" i="3"/>
  <c r="AP57" i="3"/>
  <c r="AT56" i="3"/>
  <c r="AS56" i="3"/>
  <c r="AR56" i="3"/>
  <c r="AQ56" i="3"/>
  <c r="AP56" i="3"/>
  <c r="AT54" i="3"/>
  <c r="AS54" i="3"/>
  <c r="AR54" i="3"/>
  <c r="AQ54" i="3"/>
  <c r="AP54" i="3"/>
  <c r="AT53" i="3"/>
  <c r="AS53" i="3"/>
  <c r="AR53" i="3"/>
  <c r="AQ53" i="3"/>
  <c r="AP53" i="3"/>
  <c r="AT52" i="3"/>
  <c r="AS52" i="3"/>
  <c r="AR52" i="3"/>
  <c r="AQ52" i="3"/>
  <c r="AP52" i="3"/>
  <c r="AT50" i="3"/>
  <c r="AS50" i="3"/>
  <c r="AR50" i="3"/>
  <c r="AQ50" i="3"/>
  <c r="AP50" i="3"/>
  <c r="AS49" i="3"/>
  <c r="AQ49" i="3"/>
  <c r="AP49" i="3"/>
  <c r="AT48" i="3"/>
  <c r="AS48" i="3"/>
  <c r="AR48" i="3"/>
  <c r="AQ48" i="3"/>
  <c r="AP48" i="3"/>
  <c r="AT47" i="3"/>
  <c r="AS47" i="3"/>
  <c r="AR47" i="3"/>
  <c r="AQ47" i="3"/>
  <c r="AP47" i="3"/>
  <c r="AT44" i="3"/>
  <c r="AT43" i="3" s="1"/>
  <c r="AS44" i="3"/>
  <c r="AS43" i="3" s="1"/>
  <c r="AR44" i="3"/>
  <c r="AR43" i="3" s="1"/>
  <c r="AQ44" i="3"/>
  <c r="AQ43" i="3" s="1"/>
  <c r="AP44" i="3"/>
  <c r="AP43" i="3" s="1"/>
  <c r="AS42" i="3"/>
  <c r="AP42" i="3"/>
  <c r="AS41" i="3"/>
  <c r="AP41" i="3"/>
  <c r="AT40" i="3"/>
  <c r="AS40" i="3"/>
  <c r="AP40" i="3"/>
  <c r="AT39" i="3"/>
  <c r="AS39" i="3"/>
  <c r="AR39" i="3"/>
  <c r="AQ39" i="3"/>
  <c r="AP39" i="3"/>
  <c r="AT38" i="3"/>
  <c r="AS38" i="3"/>
  <c r="AR38" i="3"/>
  <c r="AQ38" i="3"/>
  <c r="AP38" i="3"/>
  <c r="AT37" i="3"/>
  <c r="AS37" i="3"/>
  <c r="AR37" i="3"/>
  <c r="AQ37" i="3"/>
  <c r="AP37" i="3"/>
  <c r="AT36" i="3"/>
  <c r="AS36" i="3"/>
  <c r="AR36" i="3"/>
  <c r="AQ36" i="3"/>
  <c r="AP36" i="3"/>
  <c r="AT35" i="3"/>
  <c r="AS35" i="3"/>
  <c r="AR35" i="3"/>
  <c r="AQ35" i="3"/>
  <c r="AP35" i="3"/>
  <c r="AT34" i="3"/>
  <c r="AS34" i="3"/>
  <c r="AR34" i="3"/>
  <c r="AQ34" i="3"/>
  <c r="AP34" i="3"/>
  <c r="AT33" i="3"/>
  <c r="AS33" i="3"/>
  <c r="AR33" i="3"/>
  <c r="AQ33" i="3"/>
  <c r="AP33" i="3"/>
  <c r="AT32" i="3"/>
  <c r="AS32" i="3"/>
  <c r="AR32" i="3"/>
  <c r="AQ32" i="3"/>
  <c r="AP32" i="3"/>
  <c r="AT31" i="3"/>
  <c r="AS31" i="3"/>
  <c r="AR31" i="3"/>
  <c r="AQ31" i="3"/>
  <c r="AP31" i="3"/>
  <c r="AT29" i="3"/>
  <c r="AS29" i="3"/>
  <c r="AR29" i="3"/>
  <c r="AQ29" i="3"/>
  <c r="AP29" i="3"/>
  <c r="AT28" i="3"/>
  <c r="AS28" i="3"/>
  <c r="AR28" i="3"/>
  <c r="AQ28" i="3"/>
  <c r="AP28" i="3"/>
  <c r="AT27" i="3"/>
  <c r="AS27" i="3"/>
  <c r="AR27" i="3"/>
  <c r="AQ27" i="3"/>
  <c r="AP27" i="3"/>
  <c r="AT26" i="3"/>
  <c r="AS26" i="3"/>
  <c r="AR26" i="3"/>
  <c r="AQ26" i="3"/>
  <c r="AP26" i="3"/>
  <c r="AT25" i="3"/>
  <c r="AS25" i="3"/>
  <c r="AR25" i="3"/>
  <c r="AQ25" i="3"/>
  <c r="AP25" i="3"/>
  <c r="AT24" i="3"/>
  <c r="AS24" i="3"/>
  <c r="AR24" i="3"/>
  <c r="AQ24" i="3"/>
  <c r="AP24" i="3"/>
  <c r="AT23" i="3"/>
  <c r="AS23" i="3"/>
  <c r="AR23" i="3"/>
  <c r="AQ23" i="3"/>
  <c r="AP23" i="3"/>
  <c r="AT22" i="3"/>
  <c r="AS22" i="3"/>
  <c r="AR22" i="3"/>
  <c r="AQ22" i="3"/>
  <c r="AP22" i="3"/>
  <c r="AT21" i="3"/>
  <c r="AS21" i="3"/>
  <c r="AR21" i="3"/>
  <c r="AQ21" i="3"/>
  <c r="AP21" i="3"/>
  <c r="V81" i="3"/>
  <c r="V87" i="3"/>
  <c r="V91" i="3"/>
  <c r="V104" i="3"/>
  <c r="V103" i="3"/>
  <c r="V102" i="3"/>
  <c r="V100" i="3"/>
  <c r="V99" i="3"/>
  <c r="V97" i="3"/>
  <c r="V90" i="3"/>
  <c r="V86" i="3"/>
  <c r="V85" i="3"/>
  <c r="V84" i="3"/>
  <c r="V83" i="3"/>
  <c r="V75" i="3"/>
  <c r="V74" i="3"/>
  <c r="V63" i="3"/>
  <c r="V62" i="3"/>
  <c r="V61" i="3"/>
  <c r="V59" i="3"/>
  <c r="V58" i="3"/>
  <c r="V57" i="3"/>
  <c r="V56" i="3"/>
  <c r="V54" i="3"/>
  <c r="V53" i="3"/>
  <c r="V52" i="3"/>
  <c r="V50" i="3"/>
  <c r="V48" i="3"/>
  <c r="V47" i="3"/>
  <c r="V44" i="3"/>
  <c r="V39" i="3"/>
  <c r="V38" i="3"/>
  <c r="V37" i="3"/>
  <c r="V36" i="3"/>
  <c r="V35" i="3"/>
  <c r="V34" i="3"/>
  <c r="V33" i="3"/>
  <c r="V32" i="3"/>
  <c r="V31" i="3"/>
  <c r="V29" i="3"/>
  <c r="V28" i="3"/>
  <c r="V27" i="3"/>
  <c r="V26" i="3"/>
  <c r="V25" i="3"/>
  <c r="V24" i="3"/>
  <c r="V23" i="3"/>
  <c r="V22" i="3"/>
  <c r="V21" i="3"/>
  <c r="V79" i="33"/>
  <c r="V78" i="33"/>
  <c r="V77" i="33"/>
  <c r="V76" i="33"/>
  <c r="V75" i="33"/>
  <c r="V74" i="33"/>
  <c r="V73" i="33"/>
  <c r="V72" i="33"/>
  <c r="V71" i="33"/>
  <c r="V70" i="33"/>
  <c r="V69" i="33"/>
  <c r="V68" i="33"/>
  <c r="V63" i="33"/>
  <c r="V62" i="33"/>
  <c r="V60" i="33"/>
  <c r="V55" i="33"/>
  <c r="V54" i="33"/>
  <c r="V53" i="33"/>
  <c r="V52" i="33"/>
  <c r="V51" i="33"/>
  <c r="V50" i="33"/>
  <c r="V49" i="33"/>
  <c r="V48" i="33"/>
  <c r="V47" i="33"/>
  <c r="V46" i="33"/>
  <c r="V45" i="33"/>
  <c r="V44" i="33"/>
  <c r="V43" i="33"/>
  <c r="V42" i="33"/>
  <c r="V41" i="33"/>
  <c r="V40" i="33"/>
  <c r="V39" i="33"/>
  <c r="V38" i="33"/>
  <c r="V37" i="33"/>
  <c r="V36" i="33"/>
  <c r="V35" i="33"/>
  <c r="V33" i="33"/>
  <c r="V32" i="33"/>
  <c r="V31" i="33"/>
  <c r="V28" i="33"/>
  <c r="V27" i="33"/>
  <c r="V26" i="33"/>
  <c r="V25" i="33"/>
  <c r="V24" i="33"/>
  <c r="V23" i="33"/>
  <c r="V22" i="33"/>
  <c r="V21" i="33"/>
  <c r="AT73" i="5"/>
  <c r="AS73" i="5"/>
  <c r="AS72" i="5" s="1"/>
  <c r="AR73" i="5"/>
  <c r="AQ73" i="5"/>
  <c r="AQ72" i="5" s="1"/>
  <c r="AP73" i="5"/>
  <c r="AT71" i="5"/>
  <c r="AS71" i="5"/>
  <c r="AR71" i="5"/>
  <c r="AQ71" i="5"/>
  <c r="AP71" i="5"/>
  <c r="AR70" i="5"/>
  <c r="AR69" i="5"/>
  <c r="AT66" i="5"/>
  <c r="AS66" i="5"/>
  <c r="AR66" i="5"/>
  <c r="AQ66" i="5"/>
  <c r="AP66" i="5"/>
  <c r="AS65" i="5"/>
  <c r="AR65" i="5"/>
  <c r="AQ65" i="5"/>
  <c r="AP65" i="5"/>
  <c r="AT63" i="5"/>
  <c r="AS63" i="5"/>
  <c r="AR63" i="5"/>
  <c r="AQ63" i="5"/>
  <c r="AP63" i="5"/>
  <c r="AT62" i="5"/>
  <c r="AS62" i="5"/>
  <c r="AR62" i="5"/>
  <c r="AQ62" i="5"/>
  <c r="AP62" i="5"/>
  <c r="AT61" i="5"/>
  <c r="AS61" i="5"/>
  <c r="AR61" i="5"/>
  <c r="AQ61" i="5"/>
  <c r="AP61" i="5"/>
  <c r="AT60" i="5"/>
  <c r="AS60" i="5"/>
  <c r="AR60" i="5"/>
  <c r="AQ60" i="5"/>
  <c r="AP60" i="5"/>
  <c r="AU60" i="5" s="1"/>
  <c r="AT59" i="5"/>
  <c r="AS59" i="5"/>
  <c r="AR59" i="5"/>
  <c r="AQ59" i="5"/>
  <c r="AP59" i="5"/>
  <c r="AT58" i="5"/>
  <c r="AS58" i="5"/>
  <c r="AR58" i="5"/>
  <c r="AQ58" i="5"/>
  <c r="AP58" i="5"/>
  <c r="AT56" i="5"/>
  <c r="AS56" i="5"/>
  <c r="AR56" i="5"/>
  <c r="AQ56" i="5"/>
  <c r="AP56" i="5"/>
  <c r="AT55" i="5"/>
  <c r="AS55" i="5"/>
  <c r="AR55" i="5"/>
  <c r="AQ55" i="5"/>
  <c r="AP55" i="5"/>
  <c r="AT54" i="5"/>
  <c r="AS54" i="5"/>
  <c r="AR54" i="5"/>
  <c r="AQ54" i="5"/>
  <c r="AP54" i="5"/>
  <c r="AT53" i="5"/>
  <c r="AS53" i="5"/>
  <c r="AR53" i="5"/>
  <c r="AQ53" i="5"/>
  <c r="AP53" i="5"/>
  <c r="AT52" i="5"/>
  <c r="AS52" i="5"/>
  <c r="AR52" i="5"/>
  <c r="AQ52" i="5"/>
  <c r="AP52" i="5"/>
  <c r="AT50" i="5"/>
  <c r="AS50" i="5"/>
  <c r="AR50" i="5"/>
  <c r="AQ50" i="5"/>
  <c r="AP50" i="5"/>
  <c r="AT49" i="5"/>
  <c r="AS49" i="5"/>
  <c r="AR49" i="5"/>
  <c r="AQ49" i="5"/>
  <c r="AP49" i="5"/>
  <c r="AT48" i="5"/>
  <c r="AS48" i="5"/>
  <c r="AR48" i="5"/>
  <c r="AQ48" i="5"/>
  <c r="AP48" i="5"/>
  <c r="AT47" i="5"/>
  <c r="AS47" i="5"/>
  <c r="AR47" i="5"/>
  <c r="AQ47" i="5"/>
  <c r="AP47" i="5"/>
  <c r="AT46" i="5"/>
  <c r="AS46" i="5"/>
  <c r="AR46" i="5"/>
  <c r="AQ46" i="5"/>
  <c r="AP46" i="5"/>
  <c r="AU46" i="5" s="1"/>
  <c r="AT45" i="5"/>
  <c r="AS45" i="5"/>
  <c r="AR45" i="5"/>
  <c r="AQ45" i="5"/>
  <c r="AP45" i="5"/>
  <c r="AT44" i="5"/>
  <c r="AS44" i="5"/>
  <c r="AP44" i="5"/>
  <c r="AT43" i="5"/>
  <c r="AS43" i="5"/>
  <c r="AR43" i="5"/>
  <c r="AQ43" i="5"/>
  <c r="AU43" i="5" s="1"/>
  <c r="AP43" i="5"/>
  <c r="AT38" i="5"/>
  <c r="AS38" i="5"/>
  <c r="AR38" i="5"/>
  <c r="AR37" i="5" s="1"/>
  <c r="AQ38" i="5"/>
  <c r="AQ37" i="5" s="1"/>
  <c r="AP38" i="5"/>
  <c r="AP37" i="5" s="1"/>
  <c r="AT36" i="5"/>
  <c r="AS36" i="5"/>
  <c r="AR36" i="5"/>
  <c r="AQ36" i="5"/>
  <c r="AP36" i="5"/>
  <c r="AT35" i="5"/>
  <c r="AS35" i="5"/>
  <c r="AR35" i="5"/>
  <c r="AQ35" i="5"/>
  <c r="AP35" i="5"/>
  <c r="AT34" i="5"/>
  <c r="AS34" i="5"/>
  <c r="AR34" i="5"/>
  <c r="AQ34" i="5"/>
  <c r="AP34" i="5"/>
  <c r="AT33" i="5"/>
  <c r="AS33" i="5"/>
  <c r="AR33" i="5"/>
  <c r="AQ33" i="5"/>
  <c r="AP33" i="5"/>
  <c r="AT32" i="5"/>
  <c r="AS32" i="5"/>
  <c r="AR32" i="5"/>
  <c r="AQ32" i="5"/>
  <c r="AP32" i="5"/>
  <c r="AT31" i="5"/>
  <c r="AS31" i="5"/>
  <c r="AR31" i="5"/>
  <c r="AQ31" i="5"/>
  <c r="AT30" i="5"/>
  <c r="AS30" i="5"/>
  <c r="AR30" i="5"/>
  <c r="AQ30" i="5"/>
  <c r="AP30" i="5"/>
  <c r="AT29" i="5"/>
  <c r="AS29" i="5"/>
  <c r="AR29" i="5"/>
  <c r="AQ29" i="5"/>
  <c r="AP29" i="5"/>
  <c r="AT27" i="5"/>
  <c r="AS27" i="5"/>
  <c r="AR27" i="5"/>
  <c r="AQ27" i="5"/>
  <c r="AP27" i="5"/>
  <c r="AT26" i="5"/>
  <c r="AS26" i="5"/>
  <c r="AR26" i="5"/>
  <c r="AQ26" i="5"/>
  <c r="AP26" i="5"/>
  <c r="AT25" i="5"/>
  <c r="AS25" i="5"/>
  <c r="AR25" i="5"/>
  <c r="AQ25" i="5"/>
  <c r="AP25" i="5"/>
  <c r="AT24" i="5"/>
  <c r="AS24" i="5"/>
  <c r="AR24" i="5"/>
  <c r="AQ24" i="5"/>
  <c r="AP24" i="5"/>
  <c r="AT22" i="5"/>
  <c r="AS22" i="5"/>
  <c r="AR22" i="5"/>
  <c r="AQ22" i="5"/>
  <c r="AP22" i="5"/>
  <c r="AT21" i="5"/>
  <c r="AS21" i="5"/>
  <c r="AR21" i="5"/>
  <c r="AQ21" i="5"/>
  <c r="AP21" i="5"/>
  <c r="AT20" i="5"/>
  <c r="AS20" i="5"/>
  <c r="AR20" i="5"/>
  <c r="AQ20" i="5"/>
  <c r="AP20" i="5"/>
  <c r="U44" i="5"/>
  <c r="AP31" i="5"/>
  <c r="U69" i="5"/>
  <c r="AT69" i="5" s="1"/>
  <c r="T70" i="5"/>
  <c r="AS70" i="5" s="1"/>
  <c r="T69" i="5"/>
  <c r="AS69" i="5" s="1"/>
  <c r="T67" i="5"/>
  <c r="S70" i="5"/>
  <c r="S69" i="5"/>
  <c r="S67" i="5"/>
  <c r="S44" i="5"/>
  <c r="AR44" i="5" s="1"/>
  <c r="U64" i="5"/>
  <c r="AT64" i="5" s="1"/>
  <c r="T64" i="5"/>
  <c r="AS64" i="5" s="1"/>
  <c r="S64" i="5"/>
  <c r="AR64" i="5" s="1"/>
  <c r="R64" i="5"/>
  <c r="AQ64" i="5" s="1"/>
  <c r="Q64" i="5"/>
  <c r="AP64" i="5" s="1"/>
  <c r="AT72" i="5"/>
  <c r="AR72" i="5"/>
  <c r="AP72" i="5"/>
  <c r="AU71" i="5"/>
  <c r="AU63" i="5"/>
  <c r="AS51" i="5"/>
  <c r="AU49" i="5"/>
  <c r="AT37" i="5"/>
  <c r="AS37" i="5"/>
  <c r="R70" i="5"/>
  <c r="AQ70" i="5" s="1"/>
  <c r="R69" i="5"/>
  <c r="AQ69" i="5" s="1"/>
  <c r="R68" i="5"/>
  <c r="AQ68" i="5" s="1"/>
  <c r="R67" i="5"/>
  <c r="AQ67" i="5" s="1"/>
  <c r="S68" i="5" l="1"/>
  <c r="AR68" i="5" s="1"/>
  <c r="AR67" i="5"/>
  <c r="AR57" i="5" s="1"/>
  <c r="AS67" i="5"/>
  <c r="T68" i="5"/>
  <c r="AS68" i="5" s="1"/>
  <c r="U70" i="5"/>
  <c r="AT70" i="5" s="1"/>
  <c r="AP51" i="5"/>
  <c r="AU61" i="5"/>
  <c r="AQ19" i="5"/>
  <c r="AS42" i="5"/>
  <c r="AU48" i="5"/>
  <c r="AF96" i="16"/>
  <c r="AF56" i="16" s="1"/>
  <c r="AM21" i="1" s="1"/>
  <c r="AI97" i="16"/>
  <c r="AG96" i="16"/>
  <c r="AG56" i="16" s="1"/>
  <c r="AM27" i="1" s="1"/>
  <c r="AI98" i="16"/>
  <c r="AH96" i="16"/>
  <c r="AH56" i="16" s="1"/>
  <c r="AM33" i="1" s="1"/>
  <c r="AU30" i="5"/>
  <c r="AQ28" i="5"/>
  <c r="AT19" i="5"/>
  <c r="AT18" i="5" s="1"/>
  <c r="AT17" i="5" s="1"/>
  <c r="AH43" i="1" s="1"/>
  <c r="AQ23" i="5"/>
  <c r="AT23" i="5"/>
  <c r="AU22" i="5"/>
  <c r="AU20" i="5"/>
  <c r="AQ96" i="3"/>
  <c r="AP96" i="3"/>
  <c r="AT96" i="3"/>
  <c r="AR96" i="3"/>
  <c r="AS96" i="3"/>
  <c r="R104" i="16"/>
  <c r="R98" i="16"/>
  <c r="R97" i="16"/>
  <c r="V65" i="33"/>
  <c r="BA93" i="3"/>
  <c r="AC83" i="3"/>
  <c r="AR67" i="3"/>
  <c r="AR42" i="3"/>
  <c r="AT49" i="3"/>
  <c r="AT46" i="3" s="1"/>
  <c r="AQ42" i="3"/>
  <c r="AS67" i="3"/>
  <c r="AR98" i="3"/>
  <c r="AC35" i="3"/>
  <c r="AP67" i="3"/>
  <c r="AT67" i="3"/>
  <c r="AC62" i="3"/>
  <c r="AC104" i="3"/>
  <c r="Y93" i="3"/>
  <c r="AC93" i="3" s="1"/>
  <c r="AS92" i="3"/>
  <c r="V42" i="3"/>
  <c r="AQ67" i="3"/>
  <c r="AC44" i="3"/>
  <c r="P93" i="3"/>
  <c r="W93" i="3" s="1"/>
  <c r="AP92" i="3"/>
  <c r="AT92" i="3"/>
  <c r="AR40" i="3"/>
  <c r="AU40" i="3" s="1"/>
  <c r="AC99" i="3"/>
  <c r="AC100" i="3"/>
  <c r="AC102" i="3"/>
  <c r="AC84" i="3"/>
  <c r="AZ93" i="3"/>
  <c r="AR92" i="3"/>
  <c r="Z40" i="3"/>
  <c r="AC103" i="3"/>
  <c r="V49" i="3"/>
  <c r="AC25" i="3"/>
  <c r="AC28" i="3"/>
  <c r="Y40" i="3"/>
  <c r="AC56" i="3"/>
  <c r="AC59" i="3"/>
  <c r="AC63" i="3"/>
  <c r="AC86" i="3"/>
  <c r="R41" i="3"/>
  <c r="V41" i="3" s="1"/>
  <c r="V40" i="3"/>
  <c r="AR49" i="3"/>
  <c r="Z49" i="3"/>
  <c r="AC49" i="3" s="1"/>
  <c r="AC50" i="3"/>
  <c r="AC52" i="3"/>
  <c r="AC31" i="3"/>
  <c r="AC34" i="3"/>
  <c r="AC37" i="3"/>
  <c r="AC38" i="3"/>
  <c r="AC39" i="3"/>
  <c r="AC57" i="3"/>
  <c r="AC74" i="3"/>
  <c r="AC85" i="3"/>
  <c r="AY93" i="3"/>
  <c r="AU93" i="3"/>
  <c r="AU23" i="3"/>
  <c r="AU26" i="3"/>
  <c r="AU28" i="3"/>
  <c r="AU29" i="3"/>
  <c r="AC53" i="3"/>
  <c r="AC26" i="3"/>
  <c r="AC33" i="3"/>
  <c r="AC36" i="3"/>
  <c r="AC58" i="3"/>
  <c r="AC61" i="3"/>
  <c r="AC54" i="3"/>
  <c r="AT42" i="3"/>
  <c r="Z41" i="3"/>
  <c r="AR41" i="3"/>
  <c r="AT41" i="3"/>
  <c r="AB41" i="3"/>
  <c r="AC21" i="3"/>
  <c r="AC47" i="3"/>
  <c r="AC42" i="3"/>
  <c r="AC27" i="3"/>
  <c r="AQ92" i="3"/>
  <c r="AX93" i="3"/>
  <c r="AU53" i="3"/>
  <c r="AT51" i="3"/>
  <c r="AS51" i="3"/>
  <c r="AO93" i="3"/>
  <c r="AW93" i="3"/>
  <c r="AU27" i="3"/>
  <c r="AC22" i="3"/>
  <c r="AU22" i="3"/>
  <c r="U67" i="5"/>
  <c r="U68" i="5" s="1"/>
  <c r="AT68" i="5" s="1"/>
  <c r="AU68" i="5" s="1"/>
  <c r="AT67" i="5"/>
  <c r="AU25" i="3"/>
  <c r="AC75" i="3"/>
  <c r="AC48" i="3"/>
  <c r="AC32" i="3"/>
  <c r="AC29" i="3"/>
  <c r="AC23" i="3"/>
  <c r="AC24" i="3"/>
  <c r="AR51" i="3"/>
  <c r="AU24" i="3"/>
  <c r="AU26" i="5"/>
  <c r="AP101" i="3"/>
  <c r="AT101" i="3"/>
  <c r="AS101" i="3"/>
  <c r="AU104" i="3"/>
  <c r="AR101" i="3"/>
  <c r="AQ101" i="3"/>
  <c r="AU103" i="3"/>
  <c r="AU99" i="3"/>
  <c r="AT98" i="3"/>
  <c r="AP98" i="3"/>
  <c r="AS98" i="3"/>
  <c r="AQ98" i="3"/>
  <c r="AU100" i="3"/>
  <c r="AU97" i="3"/>
  <c r="AU87" i="3"/>
  <c r="AU85" i="3"/>
  <c r="AU83" i="3"/>
  <c r="AU84" i="3"/>
  <c r="V73" i="3"/>
  <c r="AU73" i="3"/>
  <c r="AU74" i="3"/>
  <c r="AU75" i="3"/>
  <c r="AT60" i="3"/>
  <c r="AU62" i="3"/>
  <c r="AU63" i="3"/>
  <c r="AR60" i="3"/>
  <c r="AP60" i="3"/>
  <c r="AQ60" i="3"/>
  <c r="AS60" i="3"/>
  <c r="AR55" i="3"/>
  <c r="AP55" i="3"/>
  <c r="AT55" i="3"/>
  <c r="AS55" i="3"/>
  <c r="AQ55" i="3"/>
  <c r="AU58" i="3"/>
  <c r="AU59" i="3"/>
  <c r="AU54" i="3"/>
  <c r="AP51" i="3"/>
  <c r="V94" i="3"/>
  <c r="V95" i="3"/>
  <c r="AP46" i="3"/>
  <c r="AQ46" i="3"/>
  <c r="AU48" i="3"/>
  <c r="AU47" i="3"/>
  <c r="AU50" i="3"/>
  <c r="AU80" i="3"/>
  <c r="AS77" i="3"/>
  <c r="AP30" i="3"/>
  <c r="AU34" i="3"/>
  <c r="AU35" i="3"/>
  <c r="AU38" i="3"/>
  <c r="AU39" i="3"/>
  <c r="AP77" i="3"/>
  <c r="AT77" i="3"/>
  <c r="AU88" i="3"/>
  <c r="V79" i="3"/>
  <c r="V82" i="3"/>
  <c r="V89" i="3"/>
  <c r="AU32" i="3"/>
  <c r="AU36" i="3"/>
  <c r="AU79" i="3"/>
  <c r="AU91" i="3"/>
  <c r="AT20" i="3"/>
  <c r="AU76" i="3"/>
  <c r="AP20" i="3"/>
  <c r="AQ20" i="3"/>
  <c r="AU71" i="3"/>
  <c r="V72" i="3"/>
  <c r="V76" i="3"/>
  <c r="AR20" i="3"/>
  <c r="AQ77" i="3"/>
  <c r="AU56" i="3"/>
  <c r="AU95" i="3"/>
  <c r="AU37" i="3"/>
  <c r="AU57" i="3"/>
  <c r="AU82" i="3"/>
  <c r="AU89" i="3"/>
  <c r="AS20" i="3"/>
  <c r="AU21" i="3"/>
  <c r="AS30" i="3"/>
  <c r="AU33" i="3"/>
  <c r="AU44" i="3"/>
  <c r="AS46" i="3"/>
  <c r="AQ51" i="3"/>
  <c r="AU52" i="3"/>
  <c r="AU72" i="3"/>
  <c r="AU86" i="3"/>
  <c r="AU102" i="3"/>
  <c r="AU31" i="3"/>
  <c r="AU61" i="3"/>
  <c r="V80" i="3"/>
  <c r="V88" i="3"/>
  <c r="V78" i="3"/>
  <c r="V66" i="33"/>
  <c r="V61" i="33"/>
  <c r="V67" i="33"/>
  <c r="AU73" i="5"/>
  <c r="AU62" i="5"/>
  <c r="AU54" i="5"/>
  <c r="AV54" i="5" s="1"/>
  <c r="AQ51" i="5"/>
  <c r="AU53" i="5"/>
  <c r="AV53" i="5" s="1"/>
  <c r="AU56" i="5"/>
  <c r="AV56" i="5"/>
  <c r="AR51" i="5"/>
  <c r="AT51" i="5"/>
  <c r="AU45" i="5"/>
  <c r="AR42" i="5"/>
  <c r="AU47" i="5"/>
  <c r="AP28" i="5"/>
  <c r="AU33" i="5"/>
  <c r="AU32" i="5"/>
  <c r="AU27" i="5"/>
  <c r="AU25" i="5"/>
  <c r="AP23" i="5"/>
  <c r="AU21" i="5"/>
  <c r="AS19" i="5"/>
  <c r="AT28" i="5"/>
  <c r="AT42" i="5"/>
  <c r="AS28" i="5"/>
  <c r="AU35" i="5"/>
  <c r="AU70" i="5"/>
  <c r="AU36" i="5"/>
  <c r="AR28" i="5"/>
  <c r="AU34" i="5"/>
  <c r="AU66" i="5"/>
  <c r="AU65" i="5"/>
  <c r="AU50" i="5"/>
  <c r="AU64" i="5"/>
  <c r="AQ57" i="5"/>
  <c r="AS57" i="5"/>
  <c r="AS39" i="5" s="1"/>
  <c r="AM38" i="1" s="1"/>
  <c r="AU59" i="5"/>
  <c r="AU55" i="5"/>
  <c r="AV55" i="5" s="1"/>
  <c r="AP42" i="5"/>
  <c r="AU29" i="5"/>
  <c r="AU31" i="5"/>
  <c r="AR23" i="5"/>
  <c r="AS23" i="5"/>
  <c r="AR19" i="5"/>
  <c r="AP19" i="5"/>
  <c r="AQ18" i="5"/>
  <c r="AQ17" i="5" s="1"/>
  <c r="AH26" i="1" s="1"/>
  <c r="AU24" i="5"/>
  <c r="AU38" i="5"/>
  <c r="AU52" i="5"/>
  <c r="AU51" i="5" s="1"/>
  <c r="AU58" i="5"/>
  <c r="R44" i="5"/>
  <c r="Z20" i="5"/>
  <c r="Q70" i="5"/>
  <c r="AP70" i="5" s="1"/>
  <c r="Q69" i="5"/>
  <c r="AP69" i="5" s="1"/>
  <c r="AU69" i="5" s="1"/>
  <c r="Q68" i="5"/>
  <c r="AP68" i="5" s="1"/>
  <c r="Q67" i="5"/>
  <c r="AP67" i="5" s="1"/>
  <c r="W52" i="5"/>
  <c r="AA59" i="5"/>
  <c r="AB30" i="5"/>
  <c r="AA30" i="5"/>
  <c r="Z30" i="5"/>
  <c r="Y30" i="5"/>
  <c r="X30" i="5"/>
  <c r="AB27" i="5"/>
  <c r="AA27" i="5"/>
  <c r="Z27" i="5"/>
  <c r="Y27" i="5"/>
  <c r="X27" i="5"/>
  <c r="AA73" i="5"/>
  <c r="Z71" i="5"/>
  <c r="AA66" i="5"/>
  <c r="Z66" i="5"/>
  <c r="Z65" i="5"/>
  <c r="AB63" i="5"/>
  <c r="AA63" i="5"/>
  <c r="Z63" i="5"/>
  <c r="Y63" i="5"/>
  <c r="X63" i="5"/>
  <c r="AB62" i="5"/>
  <c r="AA62" i="5"/>
  <c r="Z62" i="5"/>
  <c r="Y62" i="5"/>
  <c r="X62" i="5"/>
  <c r="AA61" i="5"/>
  <c r="Z61" i="5"/>
  <c r="AA60" i="5"/>
  <c r="Z60" i="5"/>
  <c r="AA58" i="5"/>
  <c r="Z56" i="5"/>
  <c r="Z50" i="5"/>
  <c r="Y50" i="5"/>
  <c r="X50" i="5"/>
  <c r="Z45" i="5"/>
  <c r="AB38" i="5"/>
  <c r="AA38" i="5"/>
  <c r="Z38" i="5"/>
  <c r="Y38" i="5"/>
  <c r="X38" i="5"/>
  <c r="AB36" i="5"/>
  <c r="AA36" i="5"/>
  <c r="Z36" i="5"/>
  <c r="Y36" i="5"/>
  <c r="X36" i="5"/>
  <c r="AB35" i="5"/>
  <c r="AA35" i="5"/>
  <c r="Z35" i="5"/>
  <c r="Y35" i="5"/>
  <c r="X35" i="5"/>
  <c r="AB34" i="5"/>
  <c r="AA34" i="5"/>
  <c r="Z34" i="5"/>
  <c r="Y34" i="5"/>
  <c r="X34" i="5"/>
  <c r="AB33" i="5"/>
  <c r="AA33" i="5"/>
  <c r="Z33" i="5"/>
  <c r="Y33" i="5"/>
  <c r="X33" i="5"/>
  <c r="AB32" i="5"/>
  <c r="AA32" i="5"/>
  <c r="Z32" i="5"/>
  <c r="Y32" i="5"/>
  <c r="X32" i="5"/>
  <c r="AB31" i="5"/>
  <c r="AA31" i="5"/>
  <c r="Z31" i="5"/>
  <c r="Y31" i="5"/>
  <c r="X31" i="5"/>
  <c r="AB29" i="5"/>
  <c r="AA29" i="5"/>
  <c r="Z29" i="5"/>
  <c r="Y29" i="5"/>
  <c r="X29" i="5"/>
  <c r="AB26" i="5"/>
  <c r="AA26" i="5"/>
  <c r="Z26" i="5"/>
  <c r="Y26" i="5"/>
  <c r="X26" i="5"/>
  <c r="AB25" i="5"/>
  <c r="AA25" i="5"/>
  <c r="Z25" i="5"/>
  <c r="Y25" i="5"/>
  <c r="X25" i="5"/>
  <c r="AB24" i="5"/>
  <c r="AA24" i="5"/>
  <c r="Z24" i="5"/>
  <c r="Y24" i="5"/>
  <c r="X24" i="5"/>
  <c r="AB22" i="5"/>
  <c r="AA22" i="5"/>
  <c r="Z22" i="5"/>
  <c r="Y22" i="5"/>
  <c r="X22" i="5"/>
  <c r="AB21" i="5"/>
  <c r="AA21" i="5"/>
  <c r="Z21" i="5"/>
  <c r="Y21" i="5"/>
  <c r="X21" i="5"/>
  <c r="AB20" i="5"/>
  <c r="AA20" i="5"/>
  <c r="Y20" i="5"/>
  <c r="X20" i="5"/>
  <c r="V66" i="5"/>
  <c r="V65" i="5"/>
  <c r="V63" i="5"/>
  <c r="V62" i="5"/>
  <c r="V61" i="5"/>
  <c r="V60" i="5"/>
  <c r="V56" i="5"/>
  <c r="W56" i="5" s="1"/>
  <c r="V50" i="5"/>
  <c r="V48" i="5"/>
  <c r="V47" i="5"/>
  <c r="V46" i="5"/>
  <c r="V45" i="5"/>
  <c r="V38" i="5"/>
  <c r="V36" i="5"/>
  <c r="V35" i="5"/>
  <c r="V34" i="5"/>
  <c r="V33" i="5"/>
  <c r="V32" i="5"/>
  <c r="V31" i="5"/>
  <c r="V30" i="5"/>
  <c r="V29" i="5"/>
  <c r="V27" i="5"/>
  <c r="V26" i="5"/>
  <c r="V25" i="5"/>
  <c r="V24" i="5"/>
  <c r="V22" i="5"/>
  <c r="V21" i="5"/>
  <c r="V20" i="5"/>
  <c r="V73" i="5"/>
  <c r="V71" i="5"/>
  <c r="V70" i="5"/>
  <c r="V64" i="5"/>
  <c r="V59" i="5"/>
  <c r="V55" i="5"/>
  <c r="W55" i="5" s="1"/>
  <c r="V54" i="5"/>
  <c r="W54" i="5" s="1"/>
  <c r="V53" i="5"/>
  <c r="W53" i="5" s="1"/>
  <c r="V52" i="5"/>
  <c r="V49" i="5"/>
  <c r="AU67" i="5" l="1"/>
  <c r="V44" i="5"/>
  <c r="AQ44" i="5"/>
  <c r="AT57" i="5"/>
  <c r="AP18" i="5"/>
  <c r="AP17" i="5" s="1"/>
  <c r="AH20" i="1" s="1"/>
  <c r="AP57" i="5"/>
  <c r="AP39" i="5"/>
  <c r="AM20" i="1" s="1"/>
  <c r="AI96" i="16"/>
  <c r="AI56" i="16" s="1"/>
  <c r="AU49" i="3"/>
  <c r="AU46" i="3" s="1"/>
  <c r="AT30" i="3"/>
  <c r="AT19" i="3" s="1"/>
  <c r="AD93" i="3"/>
  <c r="AU42" i="3"/>
  <c r="AC40" i="3"/>
  <c r="AR30" i="3"/>
  <c r="AR19" i="3" s="1"/>
  <c r="AR46" i="3"/>
  <c r="AR45" i="3" s="1"/>
  <c r="AQ41" i="3"/>
  <c r="AQ30" i="3" s="1"/>
  <c r="AQ19" i="3" s="1"/>
  <c r="Y41" i="3"/>
  <c r="AC41" i="3" s="1"/>
  <c r="AU43" i="3"/>
  <c r="BB93" i="3"/>
  <c r="AV93" i="3"/>
  <c r="V68" i="5"/>
  <c r="AU101" i="3"/>
  <c r="AP45" i="3"/>
  <c r="AP19" i="3"/>
  <c r="AU98" i="3"/>
  <c r="AR77" i="3"/>
  <c r="AT45" i="3"/>
  <c r="AU60" i="3"/>
  <c r="AS45" i="3"/>
  <c r="AU55" i="3"/>
  <c r="AU96" i="3"/>
  <c r="AU51" i="3"/>
  <c r="AQ45" i="3"/>
  <c r="AU94" i="3"/>
  <c r="AU90" i="3"/>
  <c r="AU81" i="3"/>
  <c r="AU78" i="3"/>
  <c r="AT64" i="3"/>
  <c r="AM40" i="1" s="1"/>
  <c r="AS64" i="3"/>
  <c r="AM35" i="1" s="1"/>
  <c r="AM34" i="1" s="1"/>
  <c r="AU70" i="3"/>
  <c r="AU67" i="3" s="1"/>
  <c r="V71" i="3"/>
  <c r="V70" i="3"/>
  <c r="AQ64" i="3"/>
  <c r="AM23" i="1" s="1"/>
  <c r="AU20" i="3"/>
  <c r="AS19" i="3"/>
  <c r="AU72" i="5"/>
  <c r="AV52" i="5"/>
  <c r="AR39" i="5"/>
  <c r="AM32" i="1" s="1"/>
  <c r="AU37" i="5"/>
  <c r="AU23" i="5"/>
  <c r="AT39" i="5"/>
  <c r="AM43" i="1" s="1"/>
  <c r="AS18" i="5"/>
  <c r="AS17" i="5" s="1"/>
  <c r="AH38" i="1" s="1"/>
  <c r="AU28" i="5"/>
  <c r="AU57" i="5"/>
  <c r="AU19" i="5"/>
  <c r="AR18" i="5"/>
  <c r="AR17" i="5" s="1"/>
  <c r="AH32" i="1" s="1"/>
  <c r="AC21" i="5"/>
  <c r="AC62" i="5"/>
  <c r="AC63" i="5"/>
  <c r="AC24" i="5"/>
  <c r="AC31" i="5"/>
  <c r="AC32" i="5"/>
  <c r="AC33" i="5"/>
  <c r="AC34" i="5"/>
  <c r="AC35" i="5"/>
  <c r="AC25" i="5"/>
  <c r="AC26" i="5"/>
  <c r="AC30" i="5"/>
  <c r="AC27" i="5"/>
  <c r="AC20" i="5"/>
  <c r="AC29" i="5"/>
  <c r="AC22" i="5"/>
  <c r="AC38" i="5"/>
  <c r="AC36" i="5"/>
  <c r="V67" i="5"/>
  <c r="V58" i="5"/>
  <c r="V43" i="5"/>
  <c r="V69" i="5"/>
  <c r="N99" i="16"/>
  <c r="CG99" i="16"/>
  <c r="CF99" i="16"/>
  <c r="CE99" i="16"/>
  <c r="CC99" i="16"/>
  <c r="AY99" i="16"/>
  <c r="AW99" i="16"/>
  <c r="AD99" i="16"/>
  <c r="AM99" i="16" s="1"/>
  <c r="AC99" i="16"/>
  <c r="AL99" i="16" s="1"/>
  <c r="CI99" i="16"/>
  <c r="K98" i="16"/>
  <c r="T98" i="16" s="1"/>
  <c r="L98" i="16"/>
  <c r="U98" i="16" s="1"/>
  <c r="M98" i="16"/>
  <c r="V98" i="16" s="1"/>
  <c r="M97" i="16"/>
  <c r="V97" i="16" s="1"/>
  <c r="L97" i="16"/>
  <c r="U97" i="16" s="1"/>
  <c r="K97" i="16"/>
  <c r="T97" i="16" s="1"/>
  <c r="O65" i="33"/>
  <c r="AB65" i="33" s="1"/>
  <c r="N65" i="33"/>
  <c r="AA65" i="33" s="1"/>
  <c r="M65" i="33"/>
  <c r="Z65" i="33" s="1"/>
  <c r="L65" i="33"/>
  <c r="Y65" i="33" s="1"/>
  <c r="K65" i="33"/>
  <c r="X65" i="33" s="1"/>
  <c r="AU39" i="5" l="1"/>
  <c r="AC65" i="33"/>
  <c r="W97" i="16"/>
  <c r="AM39" i="1"/>
  <c r="AU44" i="5"/>
  <c r="AU42" i="5" s="1"/>
  <c r="AQ42" i="5"/>
  <c r="AQ39" i="5" s="1"/>
  <c r="AM26" i="1" s="1"/>
  <c r="AM22" i="1" s="1"/>
  <c r="X99" i="16"/>
  <c r="S99" i="16"/>
  <c r="W98" i="16"/>
  <c r="BC93" i="3"/>
  <c r="AU41" i="3"/>
  <c r="AU30" i="3" s="1"/>
  <c r="AU19" i="3" s="1"/>
  <c r="AT18" i="3"/>
  <c r="AH40" i="1" s="1"/>
  <c r="AH39" i="1" s="1"/>
  <c r="AR64" i="3"/>
  <c r="AM29" i="1" s="1"/>
  <c r="AM28" i="1" s="1"/>
  <c r="AU92" i="3"/>
  <c r="AP18" i="3"/>
  <c r="AH18" i="1" s="1"/>
  <c r="AU77" i="3"/>
  <c r="AR18" i="3"/>
  <c r="AH29" i="1" s="1"/>
  <c r="AH28" i="1" s="1"/>
  <c r="AU45" i="3"/>
  <c r="AS18" i="3"/>
  <c r="AH35" i="1" s="1"/>
  <c r="AH34" i="1" s="1"/>
  <c r="AQ18" i="3"/>
  <c r="AH23" i="1" s="1"/>
  <c r="AH22" i="1" s="1"/>
  <c r="AP64" i="3"/>
  <c r="AM18" i="1" s="1"/>
  <c r="AM16" i="1" s="1"/>
  <c r="AU18" i="5"/>
  <c r="AU17" i="5" s="1"/>
  <c r="AB99" i="16"/>
  <c r="AK99" i="16" s="1"/>
  <c r="AU99" i="16"/>
  <c r="AN99" i="16" l="1"/>
  <c r="AM15" i="1"/>
  <c r="AH16" i="1"/>
  <c r="AH15" i="1" s="1"/>
  <c r="AU18" i="3"/>
  <c r="AU64" i="3"/>
  <c r="CD99" i="16"/>
  <c r="AE99" i="16"/>
  <c r="AJ99" i="16" s="1"/>
  <c r="AO99" i="16" l="1"/>
  <c r="BI85" i="3"/>
  <c r="CW85" i="3"/>
  <c r="CW97" i="3"/>
  <c r="CU97" i="3"/>
  <c r="CT97" i="3"/>
  <c r="CS97" i="3"/>
  <c r="CQ97" i="3"/>
  <c r="BM97" i="3"/>
  <c r="BK97" i="3"/>
  <c r="BI97" i="3"/>
  <c r="AN97" i="3"/>
  <c r="BA97" i="3" s="1"/>
  <c r="AL97" i="3"/>
  <c r="AY97" i="3" s="1"/>
  <c r="AK97" i="3"/>
  <c r="AX97" i="3" s="1"/>
  <c r="AJ97" i="3"/>
  <c r="N95" i="3"/>
  <c r="AA95" i="3" s="1"/>
  <c r="N94" i="3"/>
  <c r="AA94" i="3" s="1"/>
  <c r="N70" i="5"/>
  <c r="AA70" i="5" s="1"/>
  <c r="N69" i="5"/>
  <c r="AA69" i="5" s="1"/>
  <c r="N68" i="5"/>
  <c r="AA68" i="5" s="1"/>
  <c r="N67" i="5"/>
  <c r="AA67" i="5" s="1"/>
  <c r="N65" i="5"/>
  <c r="AA65" i="5" s="1"/>
  <c r="N64" i="5"/>
  <c r="AA64" i="5" s="1"/>
  <c r="N55" i="5"/>
  <c r="AA55" i="5" s="1"/>
  <c r="N56" i="5"/>
  <c r="AA56" i="5" s="1"/>
  <c r="N54" i="5"/>
  <c r="AA54" i="5" s="1"/>
  <c r="N53" i="5"/>
  <c r="AA53" i="5" s="1"/>
  <c r="N52" i="5"/>
  <c r="AA52" i="5" s="1"/>
  <c r="N50" i="5"/>
  <c r="N44" i="5"/>
  <c r="AA44" i="5" s="1"/>
  <c r="N43" i="5"/>
  <c r="AA43" i="5" s="1"/>
  <c r="CR97" i="3" l="1"/>
  <c r="AW97" i="3"/>
  <c r="AM97" i="3"/>
  <c r="AA97" i="3"/>
  <c r="AC97" i="3" s="1"/>
  <c r="N45" i="5"/>
  <c r="N47" i="5" s="1"/>
  <c r="AA47" i="5" s="1"/>
  <c r="AA50" i="5"/>
  <c r="N71" i="5"/>
  <c r="AA71" i="5" s="1"/>
  <c r="P97" i="3"/>
  <c r="W97" i="3" s="1"/>
  <c r="N49" i="5"/>
  <c r="AA49" i="5" s="1"/>
  <c r="O66" i="33"/>
  <c r="L95" i="3"/>
  <c r="Y95" i="3" s="1"/>
  <c r="L94" i="3"/>
  <c r="Y94" i="3" s="1"/>
  <c r="K95" i="3"/>
  <c r="X95" i="3" s="1"/>
  <c r="K94" i="3"/>
  <c r="X94" i="3" s="1"/>
  <c r="O63" i="33"/>
  <c r="AB63" i="33" s="1"/>
  <c r="AC63" i="33" s="1"/>
  <c r="M62" i="33"/>
  <c r="Z62" i="33" s="1"/>
  <c r="AC62" i="33" s="1"/>
  <c r="O67" i="33" l="1"/>
  <c r="AB67" i="33" s="1"/>
  <c r="AB66" i="33"/>
  <c r="AZ97" i="3"/>
  <c r="AD97" i="3"/>
  <c r="AO97" i="3"/>
  <c r="N48" i="5"/>
  <c r="AA48" i="5" s="1"/>
  <c r="AA45" i="5"/>
  <c r="N46" i="5"/>
  <c r="AA46" i="5" s="1"/>
  <c r="BU132" i="25"/>
  <c r="BS132" i="25"/>
  <c r="BR132" i="25"/>
  <c r="BQ132" i="25"/>
  <c r="BO132" i="25"/>
  <c r="AK132" i="25"/>
  <c r="AI132" i="25"/>
  <c r="AG132" i="25"/>
  <c r="Z132" i="25"/>
  <c r="Y132" i="25"/>
  <c r="X132" i="25"/>
  <c r="W132" i="25"/>
  <c r="V132" i="25"/>
  <c r="P132" i="25"/>
  <c r="BU131" i="25"/>
  <c r="BS131" i="25"/>
  <c r="BR131" i="25"/>
  <c r="BQ131" i="25"/>
  <c r="BO131" i="25"/>
  <c r="AK131" i="25"/>
  <c r="AI131" i="25"/>
  <c r="AG131" i="25"/>
  <c r="Z131" i="25"/>
  <c r="Y131" i="25"/>
  <c r="X131" i="25"/>
  <c r="W131" i="25"/>
  <c r="V131" i="25"/>
  <c r="BP131" i="25" s="1"/>
  <c r="P131" i="25"/>
  <c r="AV97" i="3" l="1"/>
  <c r="BB97" i="3"/>
  <c r="AA131" i="25"/>
  <c r="AA132" i="25"/>
  <c r="BP132" i="25"/>
  <c r="M46" i="5"/>
  <c r="Z46" i="5" s="1"/>
  <c r="L70" i="5"/>
  <c r="Y70" i="5" s="1"/>
  <c r="L69" i="5"/>
  <c r="Y69" i="5" s="1"/>
  <c r="L68" i="5"/>
  <c r="Y68" i="5" s="1"/>
  <c r="L67" i="5"/>
  <c r="Y67" i="5" s="1"/>
  <c r="K70" i="5"/>
  <c r="X70" i="5" s="1"/>
  <c r="K68" i="5"/>
  <c r="X68" i="5" s="1"/>
  <c r="K67" i="5"/>
  <c r="X67" i="5" s="1"/>
  <c r="M69" i="5"/>
  <c r="Z69" i="5" s="1"/>
  <c r="M70" i="16"/>
  <c r="V70" i="16" s="1"/>
  <c r="W70" i="16" s="1"/>
  <c r="CU63" i="5"/>
  <c r="CT63" i="5"/>
  <c r="CS63" i="5"/>
  <c r="CQ63" i="5"/>
  <c r="BU129" i="25"/>
  <c r="BS129" i="25"/>
  <c r="BR129" i="25"/>
  <c r="BQ129" i="25"/>
  <c r="BO129" i="25"/>
  <c r="AK129" i="25"/>
  <c r="AI129" i="25"/>
  <c r="AG129" i="25"/>
  <c r="Z129" i="25"/>
  <c r="Y129" i="25"/>
  <c r="X129" i="25"/>
  <c r="W129" i="25"/>
  <c r="V129" i="25"/>
  <c r="P129" i="25"/>
  <c r="BU130" i="25"/>
  <c r="BS130" i="25"/>
  <c r="BR130" i="25"/>
  <c r="BQ130" i="25"/>
  <c r="BO130" i="25"/>
  <c r="AK130" i="25"/>
  <c r="AI130" i="25"/>
  <c r="AG130" i="25"/>
  <c r="Z130" i="25"/>
  <c r="Y130" i="25"/>
  <c r="X130" i="25"/>
  <c r="W130" i="25"/>
  <c r="V130" i="25"/>
  <c r="BP130" i="25" s="1"/>
  <c r="P130" i="25"/>
  <c r="BU128" i="25"/>
  <c r="BS128" i="25"/>
  <c r="BR128" i="25"/>
  <c r="BQ128" i="25"/>
  <c r="BO128" i="25"/>
  <c r="AK128" i="25"/>
  <c r="AI128" i="25"/>
  <c r="AG128" i="25"/>
  <c r="Z128" i="25"/>
  <c r="Y128" i="25"/>
  <c r="X128" i="25"/>
  <c r="W128" i="25"/>
  <c r="V128" i="25"/>
  <c r="BP128" i="25" s="1"/>
  <c r="P128" i="25"/>
  <c r="BU127" i="25"/>
  <c r="BS127" i="25"/>
  <c r="BR127" i="25"/>
  <c r="BQ127" i="25"/>
  <c r="BO127" i="25"/>
  <c r="AK127" i="25"/>
  <c r="AI127" i="25"/>
  <c r="AG127" i="25"/>
  <c r="Z127" i="25"/>
  <c r="Y127" i="25"/>
  <c r="X127" i="25"/>
  <c r="W127" i="25"/>
  <c r="V127" i="25"/>
  <c r="P127" i="25"/>
  <c r="BU126" i="25"/>
  <c r="BS126" i="25"/>
  <c r="BR126" i="25"/>
  <c r="BQ126" i="25"/>
  <c r="BO126" i="25"/>
  <c r="AK126" i="25"/>
  <c r="AI126" i="25"/>
  <c r="AG126" i="25"/>
  <c r="Z126" i="25"/>
  <c r="Y126" i="25"/>
  <c r="X126" i="25"/>
  <c r="W126" i="25"/>
  <c r="V126" i="25"/>
  <c r="P126" i="25"/>
  <c r="AA127" i="25" l="1"/>
  <c r="BC97" i="3"/>
  <c r="AN63" i="5"/>
  <c r="BA63" i="5" s="1"/>
  <c r="AK63" i="5"/>
  <c r="AX63" i="5" s="1"/>
  <c r="AM63" i="5"/>
  <c r="AZ63" i="5" s="1"/>
  <c r="CW63" i="5"/>
  <c r="P63" i="5"/>
  <c r="BI63" i="5"/>
  <c r="BK63" i="5"/>
  <c r="AJ63" i="5"/>
  <c r="AW63" i="5" s="1"/>
  <c r="AL63" i="5"/>
  <c r="AY63" i="5" s="1"/>
  <c r="BM63" i="5"/>
  <c r="AA129" i="25"/>
  <c r="BP129" i="25"/>
  <c r="AA130" i="25"/>
  <c r="BP127" i="25"/>
  <c r="AA128" i="25"/>
  <c r="AA126" i="25"/>
  <c r="BP126" i="25"/>
  <c r="W63" i="5" l="1"/>
  <c r="AD63" i="5"/>
  <c r="BB63" i="5"/>
  <c r="BC63" i="5" s="1"/>
  <c r="CR63" i="5"/>
  <c r="AO63" i="5"/>
  <c r="AV63" i="5" s="1"/>
  <c r="M92" i="16"/>
  <c r="V92" i="16" s="1"/>
  <c r="L92" i="16"/>
  <c r="U92" i="16" s="1"/>
  <c r="K92" i="16"/>
  <c r="T92" i="16" s="1"/>
  <c r="M90" i="16"/>
  <c r="V90" i="16" s="1"/>
  <c r="L90" i="16"/>
  <c r="K90" i="16"/>
  <c r="N91" i="16"/>
  <c r="M89" i="16"/>
  <c r="V89" i="16" s="1"/>
  <c r="L89" i="16"/>
  <c r="U89" i="16" s="1"/>
  <c r="K89" i="16"/>
  <c r="T89" i="16" s="1"/>
  <c r="M88" i="16"/>
  <c r="V88" i="16" s="1"/>
  <c r="L88" i="16"/>
  <c r="U88" i="16" s="1"/>
  <c r="K88" i="16"/>
  <c r="N87" i="16"/>
  <c r="N86" i="16"/>
  <c r="AD85" i="16"/>
  <c r="AM85" i="16" s="1"/>
  <c r="N85" i="16"/>
  <c r="AC103" i="16"/>
  <c r="AL103" i="16" s="1"/>
  <c r="N84" i="16"/>
  <c r="N83" i="16"/>
  <c r="AC76" i="16"/>
  <c r="AL76" i="16" s="1"/>
  <c r="N82" i="16"/>
  <c r="M103" i="16"/>
  <c r="V103" i="16" s="1"/>
  <c r="W103" i="16" s="1"/>
  <c r="M102" i="16"/>
  <c r="AC102" i="16"/>
  <c r="AL102" i="16" s="1"/>
  <c r="AU102" i="16"/>
  <c r="CG103" i="16"/>
  <c r="CF103" i="16"/>
  <c r="CE103" i="16"/>
  <c r="CC103" i="16"/>
  <c r="AY103" i="16"/>
  <c r="AW103" i="16"/>
  <c r="AU103" i="16"/>
  <c r="CG102" i="16"/>
  <c r="CF102" i="16"/>
  <c r="CE102" i="16"/>
  <c r="CC102" i="16"/>
  <c r="AY102" i="16"/>
  <c r="AW102" i="16"/>
  <c r="CG89" i="16"/>
  <c r="CF89" i="16"/>
  <c r="CE89" i="16"/>
  <c r="CC89" i="16"/>
  <c r="CG88" i="16"/>
  <c r="CF88" i="16"/>
  <c r="CE88" i="16"/>
  <c r="CC88" i="16"/>
  <c r="AW88" i="16"/>
  <c r="CI87" i="16"/>
  <c r="CG87" i="16"/>
  <c r="CF87" i="16"/>
  <c r="CE87" i="16"/>
  <c r="CC87" i="16"/>
  <c r="AY87" i="16"/>
  <c r="AW87" i="16"/>
  <c r="AU87" i="16"/>
  <c r="AD87" i="16"/>
  <c r="AM87" i="16" s="1"/>
  <c r="AC87" i="16"/>
  <c r="AL87" i="16" s="1"/>
  <c r="AB87" i="16"/>
  <c r="CI86" i="16"/>
  <c r="CG86" i="16"/>
  <c r="CF86" i="16"/>
  <c r="CE86" i="16"/>
  <c r="CC86" i="16"/>
  <c r="AY86" i="16"/>
  <c r="AW86" i="16"/>
  <c r="AU86" i="16"/>
  <c r="AD86" i="16"/>
  <c r="AM86" i="16" s="1"/>
  <c r="AC86" i="16"/>
  <c r="AL86" i="16" s="1"/>
  <c r="AB86" i="16"/>
  <c r="CI85" i="16"/>
  <c r="CG85" i="16"/>
  <c r="CF85" i="16"/>
  <c r="CE85" i="16"/>
  <c r="CC85" i="16"/>
  <c r="AY85" i="16"/>
  <c r="AW85" i="16"/>
  <c r="AU85" i="16"/>
  <c r="AC85" i="16"/>
  <c r="AL85" i="16" s="1"/>
  <c r="AB85" i="16"/>
  <c r="CI84" i="16"/>
  <c r="CG84" i="16"/>
  <c r="CF84" i="16"/>
  <c r="CE84" i="16"/>
  <c r="CC84" i="16"/>
  <c r="AY84" i="16"/>
  <c r="AW84" i="16"/>
  <c r="AU84" i="16"/>
  <c r="AD84" i="16"/>
  <c r="AM84" i="16" s="1"/>
  <c r="AC84" i="16"/>
  <c r="AL84" i="16" s="1"/>
  <c r="AB84" i="16"/>
  <c r="CI83" i="16"/>
  <c r="CG83" i="16"/>
  <c r="CF83" i="16"/>
  <c r="CE83" i="16"/>
  <c r="CC83" i="16"/>
  <c r="AY83" i="16"/>
  <c r="AW83" i="16"/>
  <c r="AU83" i="16"/>
  <c r="AD83" i="16"/>
  <c r="AM83" i="16" s="1"/>
  <c r="AC83" i="16"/>
  <c r="AL83" i="16" s="1"/>
  <c r="AB83" i="16"/>
  <c r="CI82" i="16"/>
  <c r="CG82" i="16"/>
  <c r="CF82" i="16"/>
  <c r="CE82" i="16"/>
  <c r="CC82" i="16"/>
  <c r="AY82" i="16"/>
  <c r="AW82" i="16"/>
  <c r="AU82" i="16"/>
  <c r="AD82" i="16"/>
  <c r="AM82" i="16" s="1"/>
  <c r="AC82" i="16"/>
  <c r="AL82" i="16" s="1"/>
  <c r="AB82" i="16"/>
  <c r="CG92" i="16"/>
  <c r="CF92" i="16"/>
  <c r="CE92" i="16"/>
  <c r="CC92" i="16"/>
  <c r="AU92" i="16"/>
  <c r="CI91" i="16"/>
  <c r="CG91" i="16"/>
  <c r="CF91" i="16"/>
  <c r="CE91" i="16"/>
  <c r="CC91" i="16"/>
  <c r="AY91" i="16"/>
  <c r="AW91" i="16"/>
  <c r="AU91" i="16"/>
  <c r="AD91" i="16"/>
  <c r="AM91" i="16" s="1"/>
  <c r="AC91" i="16"/>
  <c r="AL91" i="16" s="1"/>
  <c r="AB91" i="16"/>
  <c r="CG90" i="16"/>
  <c r="CF90" i="16"/>
  <c r="CE90" i="16"/>
  <c r="CC90" i="16"/>
  <c r="L104" i="16"/>
  <c r="U104" i="16" s="1"/>
  <c r="M95" i="16"/>
  <c r="V95" i="16" s="1"/>
  <c r="W95" i="16" s="1"/>
  <c r="M94" i="16"/>
  <c r="V94" i="16" s="1"/>
  <c r="W94" i="16" s="1"/>
  <c r="M77" i="16"/>
  <c r="V77" i="16" s="1"/>
  <c r="W77" i="16" s="1"/>
  <c r="M75" i="16"/>
  <c r="V75" i="16" s="1"/>
  <c r="W75" i="16" s="1"/>
  <c r="M72" i="16"/>
  <c r="V72" i="16" s="1"/>
  <c r="W72" i="16" s="1"/>
  <c r="M71" i="16"/>
  <c r="V71" i="16" s="1"/>
  <c r="W71" i="16" s="1"/>
  <c r="M69" i="16"/>
  <c r="V69" i="16" s="1"/>
  <c r="W69" i="16" s="1"/>
  <c r="M68" i="16"/>
  <c r="V68" i="16" s="1"/>
  <c r="W68" i="16" s="1"/>
  <c r="M67" i="16"/>
  <c r="V67" i="16" s="1"/>
  <c r="W67" i="16" s="1"/>
  <c r="N103" i="16" l="1"/>
  <c r="S103" i="16" s="1"/>
  <c r="CD91" i="16"/>
  <c r="AK91" i="16"/>
  <c r="AN91" i="16" s="1"/>
  <c r="CD82" i="16"/>
  <c r="AK82" i="16"/>
  <c r="AN82" i="16" s="1"/>
  <c r="X82" i="16"/>
  <c r="S82" i="16"/>
  <c r="X87" i="16"/>
  <c r="S87" i="16"/>
  <c r="AB90" i="16"/>
  <c r="T90" i="16"/>
  <c r="CD85" i="16"/>
  <c r="AK85" i="16"/>
  <c r="X85" i="16"/>
  <c r="S85" i="16"/>
  <c r="AU88" i="16"/>
  <c r="T88" i="16"/>
  <c r="W88" i="16" s="1"/>
  <c r="AC90" i="16"/>
  <c r="AL90" i="16" s="1"/>
  <c r="U90" i="16"/>
  <c r="CD84" i="16"/>
  <c r="AK84" i="16"/>
  <c r="AN84" i="16" s="1"/>
  <c r="AN85" i="16"/>
  <c r="CD87" i="16"/>
  <c r="AK87" i="16"/>
  <c r="AN87" i="16" s="1"/>
  <c r="AD102" i="16"/>
  <c r="AM102" i="16" s="1"/>
  <c r="V102" i="16"/>
  <c r="W102" i="16" s="1"/>
  <c r="X83" i="16"/>
  <c r="S83" i="16"/>
  <c r="CD83" i="16"/>
  <c r="AK83" i="16"/>
  <c r="AN83" i="16" s="1"/>
  <c r="CD86" i="16"/>
  <c r="AK86" i="16"/>
  <c r="AN86" i="16" s="1"/>
  <c r="AO86" i="16" s="1"/>
  <c r="X103" i="16"/>
  <c r="X84" i="16"/>
  <c r="S84" i="16"/>
  <c r="X86" i="16"/>
  <c r="S86" i="16"/>
  <c r="X91" i="16"/>
  <c r="S91" i="16"/>
  <c r="W92" i="16"/>
  <c r="W89" i="16"/>
  <c r="AU90" i="16"/>
  <c r="N102" i="16"/>
  <c r="S102" i="16" s="1"/>
  <c r="AD69" i="16"/>
  <c r="AM69" i="16" s="1"/>
  <c r="AC69" i="16"/>
  <c r="AL69" i="16" s="1"/>
  <c r="AC89" i="16"/>
  <c r="AL89" i="16" s="1"/>
  <c r="AD103" i="16"/>
  <c r="AM103" i="16" s="1"/>
  <c r="AD89" i="16"/>
  <c r="AM89" i="16" s="1"/>
  <c r="AW90" i="16"/>
  <c r="CI88" i="16"/>
  <c r="AY90" i="16"/>
  <c r="AY92" i="16"/>
  <c r="N89" i="16"/>
  <c r="S89" i="16" s="1"/>
  <c r="CI90" i="16"/>
  <c r="AB89" i="16"/>
  <c r="AU89" i="16"/>
  <c r="AB103" i="16"/>
  <c r="AW92" i="16"/>
  <c r="N72" i="16"/>
  <c r="N68" i="16"/>
  <c r="AC70" i="16"/>
  <c r="AL70" i="16" s="1"/>
  <c r="AC72" i="16"/>
  <c r="AL72" i="16" s="1"/>
  <c r="AC88" i="16"/>
  <c r="AL88" i="16" s="1"/>
  <c r="AW89" i="16"/>
  <c r="N90" i="16"/>
  <c r="S90" i="16" s="1"/>
  <c r="AD70" i="16"/>
  <c r="AM70" i="16" s="1"/>
  <c r="AY89" i="16"/>
  <c r="N88" i="16"/>
  <c r="S88" i="16" s="1"/>
  <c r="AC71" i="16"/>
  <c r="AL71" i="16" s="1"/>
  <c r="AD68" i="16"/>
  <c r="AM68" i="16" s="1"/>
  <c r="AD72" i="16"/>
  <c r="AM72" i="16" s="1"/>
  <c r="AD90" i="16"/>
  <c r="AC68" i="16"/>
  <c r="AL68" i="16" s="1"/>
  <c r="CI89" i="16"/>
  <c r="CI92" i="16"/>
  <c r="AB92" i="16"/>
  <c r="AD92" i="16"/>
  <c r="AM92" i="16" s="1"/>
  <c r="AC92" i="16"/>
  <c r="AL92" i="16" s="1"/>
  <c r="N92" i="16"/>
  <c r="S92" i="16" s="1"/>
  <c r="AD88" i="16"/>
  <c r="AM88" i="16" s="1"/>
  <c r="AB88" i="16"/>
  <c r="AY88" i="16"/>
  <c r="AB102" i="16"/>
  <c r="CI103" i="16"/>
  <c r="CI102" i="16"/>
  <c r="AE84" i="16"/>
  <c r="AJ84" i="16" s="1"/>
  <c r="AE87" i="16"/>
  <c r="AJ87" i="16" s="1"/>
  <c r="AE83" i="16"/>
  <c r="AJ83" i="16" s="1"/>
  <c r="AE82" i="16"/>
  <c r="AJ82" i="16" s="1"/>
  <c r="AE86" i="16"/>
  <c r="AJ86" i="16" s="1"/>
  <c r="AE85" i="16"/>
  <c r="AJ85" i="16" s="1"/>
  <c r="AE91" i="16"/>
  <c r="AJ91" i="16" s="1"/>
  <c r="AD67" i="16"/>
  <c r="AM67" i="16" s="1"/>
  <c r="AD71" i="16"/>
  <c r="AM71" i="16" s="1"/>
  <c r="AC67" i="16"/>
  <c r="AL67" i="16" s="1"/>
  <c r="N71" i="16"/>
  <c r="N70" i="16"/>
  <c r="N67" i="16"/>
  <c r="N69" i="16"/>
  <c r="W90" i="16" l="1"/>
  <c r="X90" i="16" s="1"/>
  <c r="AO82" i="16"/>
  <c r="AO83" i="16"/>
  <c r="AO91" i="16"/>
  <c r="CD102" i="16"/>
  <c r="AK102" i="16"/>
  <c r="AN102" i="16" s="1"/>
  <c r="CD89" i="16"/>
  <c r="AK89" i="16"/>
  <c r="X102" i="16"/>
  <c r="AO85" i="16"/>
  <c r="AO84" i="16"/>
  <c r="CD90" i="16"/>
  <c r="AK90" i="16"/>
  <c r="CD88" i="16"/>
  <c r="AK88" i="16"/>
  <c r="AN88" i="16" s="1"/>
  <c r="CD103" i="16"/>
  <c r="AK103" i="16"/>
  <c r="AN103" i="16" s="1"/>
  <c r="AO87" i="16"/>
  <c r="CD92" i="16"/>
  <c r="AK92" i="16"/>
  <c r="AN92" i="16" s="1"/>
  <c r="AE90" i="16"/>
  <c r="AJ90" i="16" s="1"/>
  <c r="AM90" i="16"/>
  <c r="X92" i="16"/>
  <c r="X88" i="16"/>
  <c r="X72" i="16"/>
  <c r="S72" i="16"/>
  <c r="X71" i="16"/>
  <c r="S71" i="16"/>
  <c r="X70" i="16"/>
  <c r="S70" i="16"/>
  <c r="X69" i="16"/>
  <c r="S69" i="16"/>
  <c r="X68" i="16"/>
  <c r="S68" i="16"/>
  <c r="X67" i="16"/>
  <c r="S67" i="16"/>
  <c r="AG73" i="16"/>
  <c r="AF73" i="16"/>
  <c r="X89" i="16"/>
  <c r="AE89" i="16"/>
  <c r="AE103" i="16"/>
  <c r="AJ103" i="16" s="1"/>
  <c r="AE92" i="16"/>
  <c r="AJ92" i="16" s="1"/>
  <c r="AE88" i="16"/>
  <c r="AJ88" i="16" s="1"/>
  <c r="AE102" i="16"/>
  <c r="AJ102" i="16" s="1"/>
  <c r="AO92" i="16" l="1"/>
  <c r="AO103" i="16"/>
  <c r="AN90" i="16"/>
  <c r="AO90" i="16" s="1"/>
  <c r="AO88" i="16"/>
  <c r="AO102" i="16"/>
  <c r="AH73" i="16"/>
  <c r="AI89" i="16"/>
  <c r="CI68" i="16"/>
  <c r="CG68" i="16"/>
  <c r="CF68" i="16"/>
  <c r="CE68" i="16"/>
  <c r="CC68" i="16"/>
  <c r="AY68" i="16"/>
  <c r="AW68" i="16"/>
  <c r="AU68" i="16"/>
  <c r="AB68" i="16"/>
  <c r="CI67" i="16"/>
  <c r="CG67" i="16"/>
  <c r="CF67" i="16"/>
  <c r="CE67" i="16"/>
  <c r="CC67" i="16"/>
  <c r="AY67" i="16"/>
  <c r="AW67" i="16"/>
  <c r="AU67" i="16"/>
  <c r="AB67" i="16"/>
  <c r="CI70" i="16"/>
  <c r="CG70" i="16"/>
  <c r="CF70" i="16"/>
  <c r="CE70" i="16"/>
  <c r="CC70" i="16"/>
  <c r="AY70" i="16"/>
  <c r="AW70" i="16"/>
  <c r="AU70" i="16"/>
  <c r="AB70" i="16"/>
  <c r="CI69" i="16"/>
  <c r="CG69" i="16"/>
  <c r="CF69" i="16"/>
  <c r="CE69" i="16"/>
  <c r="CC69" i="16"/>
  <c r="AY69" i="16"/>
  <c r="AW69" i="16"/>
  <c r="AU69" i="16"/>
  <c r="AB69" i="16"/>
  <c r="CI71" i="16"/>
  <c r="CG71" i="16"/>
  <c r="CF71" i="16"/>
  <c r="CE71" i="16"/>
  <c r="CC71" i="16"/>
  <c r="AY71" i="16"/>
  <c r="AW71" i="16"/>
  <c r="AU71" i="16"/>
  <c r="AB71" i="16"/>
  <c r="CG72" i="16"/>
  <c r="CF72" i="16"/>
  <c r="CE72" i="16"/>
  <c r="CC72" i="16"/>
  <c r="AY72" i="16"/>
  <c r="AB72" i="16"/>
  <c r="CI72" i="16"/>
  <c r="CD72" i="16" l="1"/>
  <c r="AK72" i="16"/>
  <c r="AN72" i="16" s="1"/>
  <c r="CD68" i="16"/>
  <c r="AK68" i="16"/>
  <c r="AN68" i="16" s="1"/>
  <c r="CD69" i="16"/>
  <c r="AK69" i="16"/>
  <c r="AN69" i="16" s="1"/>
  <c r="AE70" i="16"/>
  <c r="AJ70" i="16" s="1"/>
  <c r="AK70" i="16"/>
  <c r="AN70" i="16" s="1"/>
  <c r="CD67" i="16"/>
  <c r="AK67" i="16"/>
  <c r="AN67" i="16" s="1"/>
  <c r="CD71" i="16"/>
  <c r="AK71" i="16"/>
  <c r="AN71" i="16" s="1"/>
  <c r="AN89" i="16"/>
  <c r="AO89" i="16" s="1"/>
  <c r="AI73" i="16"/>
  <c r="AJ89" i="16"/>
  <c r="CD70" i="16"/>
  <c r="AE67" i="16"/>
  <c r="AE68" i="16"/>
  <c r="AE69" i="16"/>
  <c r="AE71" i="16"/>
  <c r="AW72" i="16"/>
  <c r="AE72" i="16"/>
  <c r="AU72" i="16"/>
  <c r="M65" i="16"/>
  <c r="V65" i="16" s="1"/>
  <c r="W65" i="16" s="1"/>
  <c r="AO70" i="16" l="1"/>
  <c r="AJ72" i="16"/>
  <c r="AO72" i="16"/>
  <c r="AJ71" i="16"/>
  <c r="AO71" i="16"/>
  <c r="AJ69" i="16"/>
  <c r="AO69" i="16"/>
  <c r="AJ68" i="16"/>
  <c r="AO68" i="16"/>
  <c r="AJ67" i="16"/>
  <c r="AO67" i="16"/>
  <c r="CI81" i="16"/>
  <c r="CG81" i="16"/>
  <c r="CF81" i="16"/>
  <c r="CE81" i="16"/>
  <c r="CC81" i="16"/>
  <c r="AY81" i="16"/>
  <c r="AW81" i="16"/>
  <c r="AU81" i="16"/>
  <c r="AD81" i="16"/>
  <c r="AM81" i="16" s="1"/>
  <c r="AC81" i="16"/>
  <c r="AL81" i="16" s="1"/>
  <c r="AB81" i="16"/>
  <c r="N81" i="16"/>
  <c r="CI80" i="16"/>
  <c r="CG80" i="16"/>
  <c r="CF80" i="16"/>
  <c r="CE80" i="16"/>
  <c r="CC80" i="16"/>
  <c r="AY80" i="16"/>
  <c r="AW80" i="16"/>
  <c r="AU80" i="16"/>
  <c r="AD80" i="16"/>
  <c r="AM80" i="16" s="1"/>
  <c r="AC80" i="16"/>
  <c r="AL80" i="16" s="1"/>
  <c r="AB80" i="16"/>
  <c r="N80" i="16"/>
  <c r="CI79" i="16"/>
  <c r="CG79" i="16"/>
  <c r="CF79" i="16"/>
  <c r="CE79" i="16"/>
  <c r="CC79" i="16"/>
  <c r="AY79" i="16"/>
  <c r="AW79" i="16"/>
  <c r="AU79" i="16"/>
  <c r="AD79" i="16"/>
  <c r="AM79" i="16" s="1"/>
  <c r="AC79" i="16"/>
  <c r="AL79" i="16" s="1"/>
  <c r="AB79" i="16"/>
  <c r="N79" i="16"/>
  <c r="CI78" i="16"/>
  <c r="CG78" i="16"/>
  <c r="CF78" i="16"/>
  <c r="CE78" i="16"/>
  <c r="CC78" i="16"/>
  <c r="AY78" i="16"/>
  <c r="AW78" i="16"/>
  <c r="AU78" i="16"/>
  <c r="AD78" i="16"/>
  <c r="AM78" i="16" s="1"/>
  <c r="AC78" i="16"/>
  <c r="AL78" i="16" s="1"/>
  <c r="AB78" i="16"/>
  <c r="N78" i="16"/>
  <c r="CI77" i="16"/>
  <c r="CG77" i="16"/>
  <c r="CF77" i="16"/>
  <c r="CE77" i="16"/>
  <c r="CC77" i="16"/>
  <c r="AY77" i="16"/>
  <c r="AW77" i="16"/>
  <c r="AU77" i="16"/>
  <c r="AD77" i="16"/>
  <c r="AM77" i="16" s="1"/>
  <c r="AC77" i="16"/>
  <c r="AL77" i="16" s="1"/>
  <c r="AB77" i="16"/>
  <c r="N77" i="16"/>
  <c r="CI76" i="16"/>
  <c r="CG76" i="16"/>
  <c r="CF76" i="16"/>
  <c r="CE76" i="16"/>
  <c r="CC76" i="16"/>
  <c r="AY76" i="16"/>
  <c r="AW76" i="16"/>
  <c r="AU76" i="16"/>
  <c r="AD76" i="16"/>
  <c r="AM76" i="16" s="1"/>
  <c r="AB76" i="16"/>
  <c r="N76" i="16"/>
  <c r="CI75" i="16"/>
  <c r="CG75" i="16"/>
  <c r="CF75" i="16"/>
  <c r="CE75" i="16"/>
  <c r="CC75" i="16"/>
  <c r="AY75" i="16"/>
  <c r="AW75" i="16"/>
  <c r="AU75" i="16"/>
  <c r="AD75" i="16"/>
  <c r="AM75" i="16" s="1"/>
  <c r="AC75" i="16"/>
  <c r="AL75" i="16" s="1"/>
  <c r="AB75" i="16"/>
  <c r="N75" i="16"/>
  <c r="CI74" i="16"/>
  <c r="CG74" i="16"/>
  <c r="CF74" i="16"/>
  <c r="CE74" i="16"/>
  <c r="CC74" i="16"/>
  <c r="AY74" i="16"/>
  <c r="AW74" i="16"/>
  <c r="AU74" i="16"/>
  <c r="AD74" i="16"/>
  <c r="AM74" i="16" s="1"/>
  <c r="AM73" i="16" s="1"/>
  <c r="AC74" i="16"/>
  <c r="AL74" i="16" s="1"/>
  <c r="AL73" i="16" s="1"/>
  <c r="AB74" i="16"/>
  <c r="N74" i="16"/>
  <c r="CD79" i="16" l="1"/>
  <c r="AK79" i="16"/>
  <c r="AN79" i="16" s="1"/>
  <c r="CD80" i="16"/>
  <c r="AK80" i="16"/>
  <c r="AN80" i="16" s="1"/>
  <c r="S77" i="16"/>
  <c r="X77" i="16"/>
  <c r="X78" i="16"/>
  <c r="S78" i="16"/>
  <c r="X79" i="16"/>
  <c r="S79" i="16"/>
  <c r="X80" i="16"/>
  <c r="S80" i="16"/>
  <c r="X81" i="16"/>
  <c r="S81" i="16"/>
  <c r="CD78" i="16"/>
  <c r="AK78" i="16"/>
  <c r="AN78" i="16" s="1"/>
  <c r="AO78" i="16" s="1"/>
  <c r="CD81" i="16"/>
  <c r="AK81" i="16"/>
  <c r="AN81" i="16" s="1"/>
  <c r="CD76" i="16"/>
  <c r="AK76" i="16"/>
  <c r="AN76" i="16" s="1"/>
  <c r="X74" i="16"/>
  <c r="S74" i="16"/>
  <c r="S75" i="16"/>
  <c r="X75" i="16"/>
  <c r="X76" i="16"/>
  <c r="S76" i="16"/>
  <c r="CD77" i="16"/>
  <c r="AK77" i="16"/>
  <c r="AN77" i="16" s="1"/>
  <c r="AO77" i="16" s="1"/>
  <c r="AB73" i="16"/>
  <c r="AK74" i="16"/>
  <c r="CD75" i="16"/>
  <c r="AK75" i="16"/>
  <c r="AN75" i="16" s="1"/>
  <c r="AO75" i="16" s="1"/>
  <c r="AD73" i="16"/>
  <c r="AC73" i="16"/>
  <c r="CD74" i="16"/>
  <c r="AE81" i="16"/>
  <c r="AJ81" i="16" s="1"/>
  <c r="AE75" i="16"/>
  <c r="AJ75" i="16" s="1"/>
  <c r="AE78" i="16"/>
  <c r="AJ78" i="16" s="1"/>
  <c r="AE74" i="16"/>
  <c r="AJ74" i="16" s="1"/>
  <c r="AU73" i="16"/>
  <c r="AW73" i="16"/>
  <c r="CI73" i="16"/>
  <c r="AY73" i="16"/>
  <c r="AE79" i="16"/>
  <c r="AJ79" i="16" s="1"/>
  <c r="AE76" i="16"/>
  <c r="AJ76" i="16" s="1"/>
  <c r="AE80" i="16"/>
  <c r="AJ80" i="16" s="1"/>
  <c r="AE77" i="16"/>
  <c r="AJ77" i="16" s="1"/>
  <c r="AO76" i="16" l="1"/>
  <c r="AO80" i="16"/>
  <c r="AN74" i="16"/>
  <c r="AK73" i="16"/>
  <c r="AO81" i="16"/>
  <c r="AO79" i="16"/>
  <c r="AE73" i="16"/>
  <c r="AC21" i="16"/>
  <c r="AL21" i="16" s="1"/>
  <c r="AO74" i="16" l="1"/>
  <c r="AN73" i="16"/>
  <c r="P100" i="3"/>
  <c r="P99" i="3"/>
  <c r="AM96" i="3"/>
  <c r="AJ96" i="3"/>
  <c r="M95" i="3"/>
  <c r="Z95" i="3" s="1"/>
  <c r="AC95" i="3" s="1"/>
  <c r="M94" i="3"/>
  <c r="Z94" i="3" s="1"/>
  <c r="AC94" i="3" s="1"/>
  <c r="CW95" i="3"/>
  <c r="CU95" i="3"/>
  <c r="CT95" i="3"/>
  <c r="CS95" i="3"/>
  <c r="CQ95" i="3"/>
  <c r="BM95" i="3"/>
  <c r="BK95" i="3"/>
  <c r="BI95" i="3"/>
  <c r="AN95" i="3"/>
  <c r="BA95" i="3" s="1"/>
  <c r="AM95" i="3"/>
  <c r="AZ95" i="3" s="1"/>
  <c r="AK95" i="3"/>
  <c r="AX95" i="3" s="1"/>
  <c r="AJ95" i="3"/>
  <c r="CW94" i="3"/>
  <c r="CU94" i="3"/>
  <c r="CT94" i="3"/>
  <c r="CS94" i="3"/>
  <c r="CQ94" i="3"/>
  <c r="BM94" i="3"/>
  <c r="BK94" i="3"/>
  <c r="BI94" i="3"/>
  <c r="AN94" i="3"/>
  <c r="AM94" i="3"/>
  <c r="AK94" i="3"/>
  <c r="AJ94" i="3"/>
  <c r="X87" i="3"/>
  <c r="M91" i="3"/>
  <c r="Z91" i="3" s="1"/>
  <c r="M90" i="3"/>
  <c r="Z90" i="3" s="1"/>
  <c r="M89" i="3"/>
  <c r="Z89" i="3" s="1"/>
  <c r="AC89" i="3" s="1"/>
  <c r="M88" i="3"/>
  <c r="Z88" i="3" s="1"/>
  <c r="P86" i="3"/>
  <c r="P85" i="3"/>
  <c r="M82" i="3"/>
  <c r="Z82" i="3" s="1"/>
  <c r="AC82" i="3" s="1"/>
  <c r="M81" i="3"/>
  <c r="Z81" i="3" s="1"/>
  <c r="AC81" i="3" s="1"/>
  <c r="CW84" i="3"/>
  <c r="CU84" i="3"/>
  <c r="CT84" i="3"/>
  <c r="CS84" i="3"/>
  <c r="CQ84" i="3"/>
  <c r="BM84" i="3"/>
  <c r="BK84" i="3"/>
  <c r="BI84" i="3"/>
  <c r="AN84" i="3"/>
  <c r="BA84" i="3" s="1"/>
  <c r="AM84" i="3"/>
  <c r="AZ84" i="3" s="1"/>
  <c r="AL84" i="3"/>
  <c r="AY84" i="3" s="1"/>
  <c r="AK84" i="3"/>
  <c r="AX84" i="3" s="1"/>
  <c r="AJ84" i="3"/>
  <c r="P84" i="3"/>
  <c r="CW83" i="3"/>
  <c r="CU83" i="3"/>
  <c r="CT83" i="3"/>
  <c r="CS83" i="3"/>
  <c r="CQ83" i="3"/>
  <c r="BM83" i="3"/>
  <c r="BK83" i="3"/>
  <c r="BI83" i="3"/>
  <c r="AN83" i="3"/>
  <c r="BA83" i="3" s="1"/>
  <c r="AM83" i="3"/>
  <c r="AZ83" i="3" s="1"/>
  <c r="AL83" i="3"/>
  <c r="AY83" i="3" s="1"/>
  <c r="AK83" i="3"/>
  <c r="AX83" i="3" s="1"/>
  <c r="AJ83" i="3"/>
  <c r="P83" i="3"/>
  <c r="CW82" i="3"/>
  <c r="CU82" i="3"/>
  <c r="CT82" i="3"/>
  <c r="CS82" i="3"/>
  <c r="CQ82" i="3"/>
  <c r="BM82" i="3"/>
  <c r="BK82" i="3"/>
  <c r="BI82" i="3"/>
  <c r="AN82" i="3"/>
  <c r="BA82" i="3" s="1"/>
  <c r="AM82" i="3"/>
  <c r="AZ82" i="3" s="1"/>
  <c r="AK82" i="3"/>
  <c r="AX82" i="3" s="1"/>
  <c r="AJ82" i="3"/>
  <c r="CW81" i="3"/>
  <c r="CU81" i="3"/>
  <c r="CT81" i="3"/>
  <c r="CS81" i="3"/>
  <c r="CQ81" i="3"/>
  <c r="BM81" i="3"/>
  <c r="BK81" i="3"/>
  <c r="BI81" i="3"/>
  <c r="AN81" i="3"/>
  <c r="BA81" i="3" s="1"/>
  <c r="AM81" i="3"/>
  <c r="AZ81" i="3" s="1"/>
  <c r="AK81" i="3"/>
  <c r="AX81" i="3" s="1"/>
  <c r="AJ81" i="3"/>
  <c r="M79" i="3"/>
  <c r="Z79" i="3" s="1"/>
  <c r="M78" i="3"/>
  <c r="Z72" i="3"/>
  <c r="AC72" i="3" s="1"/>
  <c r="M70" i="3"/>
  <c r="AN104" i="3"/>
  <c r="BA104" i="3" s="1"/>
  <c r="AN103" i="3"/>
  <c r="BA103" i="3" s="1"/>
  <c r="AN102" i="3"/>
  <c r="BA102" i="3" s="1"/>
  <c r="AN89" i="3"/>
  <c r="BA89" i="3" s="1"/>
  <c r="AN76" i="3"/>
  <c r="BA76" i="3" s="1"/>
  <c r="AN75" i="3"/>
  <c r="BA75" i="3" s="1"/>
  <c r="AN74" i="3"/>
  <c r="BA74" i="3" s="1"/>
  <c r="AN73" i="3"/>
  <c r="BA73" i="3" s="1"/>
  <c r="AN72" i="3"/>
  <c r="BA72" i="3" s="1"/>
  <c r="AN63" i="3"/>
  <c r="BA63" i="3" s="1"/>
  <c r="AN62" i="3"/>
  <c r="BA62" i="3" s="1"/>
  <c r="AN61" i="3"/>
  <c r="BA61" i="3" s="1"/>
  <c r="AN59" i="3"/>
  <c r="BA59" i="3" s="1"/>
  <c r="AN58" i="3"/>
  <c r="BA58" i="3" s="1"/>
  <c r="AN57" i="3"/>
  <c r="BA57" i="3" s="1"/>
  <c r="AN56" i="3"/>
  <c r="BA56" i="3" s="1"/>
  <c r="AN54" i="3"/>
  <c r="BA54" i="3" s="1"/>
  <c r="AN53" i="3"/>
  <c r="BA53" i="3" s="1"/>
  <c r="AN52" i="3"/>
  <c r="BA52" i="3" s="1"/>
  <c r="AN50" i="3"/>
  <c r="BA50" i="3" s="1"/>
  <c r="AN49" i="3"/>
  <c r="BA49" i="3" s="1"/>
  <c r="AN48" i="3"/>
  <c r="BA48" i="3" s="1"/>
  <c r="AN47" i="3"/>
  <c r="BA47" i="3" s="1"/>
  <c r="AN44" i="3"/>
  <c r="BA44" i="3" s="1"/>
  <c r="BA43" i="3" s="1"/>
  <c r="AN42" i="3"/>
  <c r="BA42" i="3" s="1"/>
  <c r="AN41" i="3"/>
  <c r="BA41" i="3" s="1"/>
  <c r="AN40" i="3"/>
  <c r="BA40" i="3" s="1"/>
  <c r="AN39" i="3"/>
  <c r="BA39" i="3" s="1"/>
  <c r="AN38" i="3"/>
  <c r="BA38" i="3" s="1"/>
  <c r="AN37" i="3"/>
  <c r="BA37" i="3" s="1"/>
  <c r="AN36" i="3"/>
  <c r="BA36" i="3" s="1"/>
  <c r="AN35" i="3"/>
  <c r="BA35" i="3" s="1"/>
  <c r="AN34" i="3"/>
  <c r="BA34" i="3" s="1"/>
  <c r="AN33" i="3"/>
  <c r="BA33" i="3" s="1"/>
  <c r="AN32" i="3"/>
  <c r="BA32" i="3" s="1"/>
  <c r="AN31" i="3"/>
  <c r="BA31" i="3" s="1"/>
  <c r="AN29" i="3"/>
  <c r="BA29" i="3" s="1"/>
  <c r="AN28" i="3"/>
  <c r="BA28" i="3" s="1"/>
  <c r="AN27" i="3"/>
  <c r="BA27" i="3" s="1"/>
  <c r="AN26" i="3"/>
  <c r="BA26" i="3" s="1"/>
  <c r="AN25" i="3"/>
  <c r="BA25" i="3" s="1"/>
  <c r="AN24" i="3"/>
  <c r="BA24" i="3" s="1"/>
  <c r="AN23" i="3"/>
  <c r="BA23" i="3" s="1"/>
  <c r="AN22" i="3"/>
  <c r="BA22" i="3" s="1"/>
  <c r="AN21" i="3"/>
  <c r="BA21" i="3" s="1"/>
  <c r="AM104" i="3"/>
  <c r="AZ104" i="3" s="1"/>
  <c r="AM103" i="3"/>
  <c r="AZ103" i="3" s="1"/>
  <c r="AM102" i="3"/>
  <c r="AZ102" i="3" s="1"/>
  <c r="AM89" i="3"/>
  <c r="AZ89" i="3" s="1"/>
  <c r="AM76" i="3"/>
  <c r="AZ76" i="3" s="1"/>
  <c r="AM75" i="3"/>
  <c r="AZ75" i="3" s="1"/>
  <c r="AM74" i="3"/>
  <c r="AZ74" i="3" s="1"/>
  <c r="AM73" i="3"/>
  <c r="AZ73" i="3" s="1"/>
  <c r="AM72" i="3"/>
  <c r="AZ72" i="3" s="1"/>
  <c r="AM63" i="3"/>
  <c r="AZ63" i="3" s="1"/>
  <c r="AM62" i="3"/>
  <c r="AZ62" i="3" s="1"/>
  <c r="AM61" i="3"/>
  <c r="AZ61" i="3" s="1"/>
  <c r="AM59" i="3"/>
  <c r="AZ59" i="3" s="1"/>
  <c r="AM58" i="3"/>
  <c r="AZ58" i="3" s="1"/>
  <c r="AM57" i="3"/>
  <c r="AZ57" i="3" s="1"/>
  <c r="AM56" i="3"/>
  <c r="AZ56" i="3" s="1"/>
  <c r="AM54" i="3"/>
  <c r="AZ54" i="3" s="1"/>
  <c r="AM53" i="3"/>
  <c r="AZ53" i="3" s="1"/>
  <c r="AM52" i="3"/>
  <c r="AZ52" i="3" s="1"/>
  <c r="AM50" i="3"/>
  <c r="AZ50" i="3" s="1"/>
  <c r="AM49" i="3"/>
  <c r="AZ49" i="3" s="1"/>
  <c r="AM48" i="3"/>
  <c r="AZ48" i="3" s="1"/>
  <c r="AM47" i="3"/>
  <c r="AZ47" i="3" s="1"/>
  <c r="AM44" i="3"/>
  <c r="AZ44" i="3" s="1"/>
  <c r="AZ43" i="3" s="1"/>
  <c r="AM42" i="3"/>
  <c r="AZ42" i="3" s="1"/>
  <c r="AM41" i="3"/>
  <c r="AZ41" i="3" s="1"/>
  <c r="AM40" i="3"/>
  <c r="AZ40" i="3" s="1"/>
  <c r="AM39" i="3"/>
  <c r="AZ39" i="3" s="1"/>
  <c r="AM38" i="3"/>
  <c r="AZ38" i="3" s="1"/>
  <c r="AM37" i="3"/>
  <c r="AZ37" i="3" s="1"/>
  <c r="AM36" i="3"/>
  <c r="AZ36" i="3" s="1"/>
  <c r="AM35" i="3"/>
  <c r="AZ35" i="3" s="1"/>
  <c r="AM34" i="3"/>
  <c r="AZ34" i="3" s="1"/>
  <c r="AM33" i="3"/>
  <c r="AZ33" i="3" s="1"/>
  <c r="AM32" i="3"/>
  <c r="AZ32" i="3" s="1"/>
  <c r="AM31" i="3"/>
  <c r="AZ31" i="3" s="1"/>
  <c r="AM29" i="3"/>
  <c r="AZ29" i="3" s="1"/>
  <c r="AM28" i="3"/>
  <c r="AZ28" i="3" s="1"/>
  <c r="AM27" i="3"/>
  <c r="AZ27" i="3" s="1"/>
  <c r="AM26" i="3"/>
  <c r="AZ26" i="3" s="1"/>
  <c r="AM25" i="3"/>
  <c r="AZ25" i="3" s="1"/>
  <c r="AM24" i="3"/>
  <c r="AZ24" i="3" s="1"/>
  <c r="AM23" i="3"/>
  <c r="AZ23" i="3" s="1"/>
  <c r="AM22" i="3"/>
  <c r="AZ22" i="3" s="1"/>
  <c r="AM21" i="3"/>
  <c r="AZ21" i="3" s="1"/>
  <c r="AL104" i="3"/>
  <c r="AY104" i="3" s="1"/>
  <c r="AL103" i="3"/>
  <c r="AY103" i="3" s="1"/>
  <c r="AL102" i="3"/>
  <c r="AY102" i="3" s="1"/>
  <c r="AL75" i="3"/>
  <c r="AY75" i="3" s="1"/>
  <c r="AL74" i="3"/>
  <c r="AY74" i="3" s="1"/>
  <c r="AL73" i="3"/>
  <c r="AY73" i="3" s="1"/>
  <c r="AL63" i="3"/>
  <c r="AY63" i="3" s="1"/>
  <c r="AL62" i="3"/>
  <c r="AY62" i="3" s="1"/>
  <c r="AL61" i="3"/>
  <c r="AY61" i="3" s="1"/>
  <c r="AL59" i="3"/>
  <c r="AY59" i="3" s="1"/>
  <c r="AL58" i="3"/>
  <c r="AY58" i="3" s="1"/>
  <c r="AL57" i="3"/>
  <c r="AY57" i="3" s="1"/>
  <c r="AL56" i="3"/>
  <c r="AY56" i="3" s="1"/>
  <c r="AL54" i="3"/>
  <c r="AY54" i="3" s="1"/>
  <c r="AL53" i="3"/>
  <c r="AY53" i="3" s="1"/>
  <c r="AL52" i="3"/>
  <c r="AY52" i="3" s="1"/>
  <c r="AL50" i="3"/>
  <c r="AY50" i="3" s="1"/>
  <c r="AL49" i="3"/>
  <c r="AY49" i="3" s="1"/>
  <c r="AL48" i="3"/>
  <c r="AY48" i="3" s="1"/>
  <c r="AL47" i="3"/>
  <c r="AY47" i="3" s="1"/>
  <c r="AL44" i="3"/>
  <c r="AY44" i="3" s="1"/>
  <c r="AY43" i="3" s="1"/>
  <c r="AL42" i="3"/>
  <c r="AY42" i="3" s="1"/>
  <c r="AL41" i="3"/>
  <c r="AY41" i="3" s="1"/>
  <c r="AL40" i="3"/>
  <c r="AY40" i="3" s="1"/>
  <c r="AL39" i="3"/>
  <c r="AY39" i="3" s="1"/>
  <c r="AL38" i="3"/>
  <c r="AY38" i="3" s="1"/>
  <c r="AL37" i="3"/>
  <c r="AY37" i="3" s="1"/>
  <c r="AL36" i="3"/>
  <c r="AY36" i="3" s="1"/>
  <c r="AL35" i="3"/>
  <c r="AY35" i="3" s="1"/>
  <c r="AL34" i="3"/>
  <c r="AY34" i="3" s="1"/>
  <c r="AL33" i="3"/>
  <c r="AY33" i="3" s="1"/>
  <c r="AL32" i="3"/>
  <c r="AY32" i="3" s="1"/>
  <c r="AL31" i="3"/>
  <c r="AY31" i="3" s="1"/>
  <c r="AL29" i="3"/>
  <c r="AY29" i="3" s="1"/>
  <c r="AL28" i="3"/>
  <c r="AY28" i="3" s="1"/>
  <c r="AL27" i="3"/>
  <c r="AY27" i="3" s="1"/>
  <c r="AL26" i="3"/>
  <c r="AY26" i="3" s="1"/>
  <c r="AL25" i="3"/>
  <c r="AY25" i="3" s="1"/>
  <c r="AL24" i="3"/>
  <c r="AY24" i="3" s="1"/>
  <c r="AL23" i="3"/>
  <c r="AY23" i="3" s="1"/>
  <c r="AL22" i="3"/>
  <c r="AY22" i="3" s="1"/>
  <c r="AL21" i="3"/>
  <c r="AY21" i="3" s="1"/>
  <c r="AK104" i="3"/>
  <c r="AX104" i="3" s="1"/>
  <c r="AK103" i="3"/>
  <c r="AX103" i="3" s="1"/>
  <c r="AK102" i="3"/>
  <c r="AX102" i="3" s="1"/>
  <c r="AK89" i="3"/>
  <c r="AX89" i="3" s="1"/>
  <c r="AK87" i="3"/>
  <c r="AX87" i="3" s="1"/>
  <c r="AK75" i="3"/>
  <c r="AX75" i="3" s="1"/>
  <c r="AK74" i="3"/>
  <c r="AX74" i="3" s="1"/>
  <c r="AK72" i="3"/>
  <c r="AX72" i="3" s="1"/>
  <c r="AK63" i="3"/>
  <c r="AX63" i="3" s="1"/>
  <c r="AK62" i="3"/>
  <c r="AX62" i="3" s="1"/>
  <c r="AK61" i="3"/>
  <c r="AX61" i="3" s="1"/>
  <c r="AK59" i="3"/>
  <c r="AX59" i="3" s="1"/>
  <c r="AK58" i="3"/>
  <c r="AX58" i="3" s="1"/>
  <c r="AK57" i="3"/>
  <c r="AX57" i="3" s="1"/>
  <c r="AK56" i="3"/>
  <c r="AX56" i="3" s="1"/>
  <c r="AK54" i="3"/>
  <c r="AX54" i="3" s="1"/>
  <c r="AK53" i="3"/>
  <c r="AX53" i="3" s="1"/>
  <c r="AK52" i="3"/>
  <c r="AX52" i="3" s="1"/>
  <c r="AK50" i="3"/>
  <c r="AX50" i="3" s="1"/>
  <c r="AK49" i="3"/>
  <c r="AX49" i="3" s="1"/>
  <c r="AK48" i="3"/>
  <c r="AX48" i="3" s="1"/>
  <c r="AK47" i="3"/>
  <c r="AX47" i="3" s="1"/>
  <c r="AK44" i="3"/>
  <c r="AX44" i="3" s="1"/>
  <c r="AX43" i="3" s="1"/>
  <c r="AK42" i="3"/>
  <c r="AX42" i="3" s="1"/>
  <c r="AK41" i="3"/>
  <c r="AX41" i="3" s="1"/>
  <c r="AK40" i="3"/>
  <c r="AX40" i="3" s="1"/>
  <c r="AK39" i="3"/>
  <c r="AX39" i="3" s="1"/>
  <c r="AK38" i="3"/>
  <c r="AX38" i="3" s="1"/>
  <c r="AK37" i="3"/>
  <c r="AX37" i="3" s="1"/>
  <c r="AK36" i="3"/>
  <c r="AX36" i="3" s="1"/>
  <c r="AK35" i="3"/>
  <c r="AX35" i="3" s="1"/>
  <c r="AK34" i="3"/>
  <c r="AX34" i="3" s="1"/>
  <c r="AK33" i="3"/>
  <c r="AX33" i="3" s="1"/>
  <c r="AK32" i="3"/>
  <c r="AX32" i="3" s="1"/>
  <c r="AK31" i="3"/>
  <c r="AX31" i="3" s="1"/>
  <c r="AK29" i="3"/>
  <c r="AX29" i="3" s="1"/>
  <c r="AK28" i="3"/>
  <c r="AX28" i="3" s="1"/>
  <c r="AK27" i="3"/>
  <c r="AX27" i="3" s="1"/>
  <c r="AK26" i="3"/>
  <c r="AX26" i="3" s="1"/>
  <c r="AK25" i="3"/>
  <c r="AX25" i="3" s="1"/>
  <c r="AK24" i="3"/>
  <c r="AX24" i="3" s="1"/>
  <c r="AK23" i="3"/>
  <c r="AX23" i="3" s="1"/>
  <c r="AK22" i="3"/>
  <c r="AX22" i="3" s="1"/>
  <c r="AK21" i="3"/>
  <c r="AX21" i="3" s="1"/>
  <c r="O73" i="5"/>
  <c r="AB73" i="5" s="1"/>
  <c r="O66" i="5"/>
  <c r="AB66" i="5" s="1"/>
  <c r="O65" i="5"/>
  <c r="AB65" i="5" s="1"/>
  <c r="O64" i="5"/>
  <c r="AB64" i="5" s="1"/>
  <c r="O61" i="5"/>
  <c r="AB61" i="5" s="1"/>
  <c r="O60" i="5"/>
  <c r="AB60" i="5" s="1"/>
  <c r="O58" i="5"/>
  <c r="O56" i="5"/>
  <c r="AB56" i="5" s="1"/>
  <c r="O55" i="5"/>
  <c r="AB55" i="5" s="1"/>
  <c r="O54" i="5"/>
  <c r="AB54" i="5" s="1"/>
  <c r="O52" i="5"/>
  <c r="AB52" i="5" s="1"/>
  <c r="K52" i="5"/>
  <c r="X52" i="5" s="1"/>
  <c r="L52" i="5"/>
  <c r="Y52" i="5" s="1"/>
  <c r="O53" i="5"/>
  <c r="AB53" i="5" s="1"/>
  <c r="O49" i="5"/>
  <c r="AB49" i="5" s="1"/>
  <c r="O50" i="5"/>
  <c r="AB50" i="5" s="1"/>
  <c r="AC50" i="5" s="1"/>
  <c r="AB43" i="5"/>
  <c r="K73" i="5"/>
  <c r="BI73" i="5" s="1"/>
  <c r="BI72" i="5" s="1"/>
  <c r="L73" i="5"/>
  <c r="Y73" i="5" s="1"/>
  <c r="L71" i="5"/>
  <c r="Y71" i="5" s="1"/>
  <c r="K71" i="5"/>
  <c r="L66" i="5"/>
  <c r="Y66" i="5" s="1"/>
  <c r="K66" i="5"/>
  <c r="X66" i="5" s="1"/>
  <c r="L65" i="5"/>
  <c r="Y65" i="5" s="1"/>
  <c r="K65" i="5"/>
  <c r="BM65" i="5" s="1"/>
  <c r="K64" i="5"/>
  <c r="X64" i="5" s="1"/>
  <c r="L64" i="5"/>
  <c r="Y64" i="5" s="1"/>
  <c r="L61" i="5"/>
  <c r="Y61" i="5" s="1"/>
  <c r="K61" i="5"/>
  <c r="L60" i="5"/>
  <c r="Y60" i="5" s="1"/>
  <c r="K60" i="5"/>
  <c r="L58" i="5"/>
  <c r="K58" i="5"/>
  <c r="X58" i="5" s="1"/>
  <c r="L56" i="5"/>
  <c r="Y56" i="5" s="1"/>
  <c r="L55" i="5"/>
  <c r="Y55" i="5" s="1"/>
  <c r="L54" i="5"/>
  <c r="Y54" i="5" s="1"/>
  <c r="L53" i="5"/>
  <c r="Y53" i="5" s="1"/>
  <c r="K56" i="5"/>
  <c r="K55" i="5"/>
  <c r="K54" i="5"/>
  <c r="K53" i="5"/>
  <c r="X53" i="5" s="1"/>
  <c r="L45" i="5"/>
  <c r="Y45" i="5" s="1"/>
  <c r="L49" i="5"/>
  <c r="Y44" i="5"/>
  <c r="L43" i="5"/>
  <c r="Y43" i="5" s="1"/>
  <c r="K45" i="5"/>
  <c r="X45" i="5" s="1"/>
  <c r="K49" i="5"/>
  <c r="X49" i="5" s="1"/>
  <c r="X44" i="5"/>
  <c r="K43" i="5"/>
  <c r="X43" i="5" s="1"/>
  <c r="CU71" i="5"/>
  <c r="CT71" i="5"/>
  <c r="CS71" i="5"/>
  <c r="CQ71" i="5"/>
  <c r="M73" i="5"/>
  <c r="Z73" i="5" s="1"/>
  <c r="CU73" i="5"/>
  <c r="CT73" i="5"/>
  <c r="CS73" i="5"/>
  <c r="CQ73" i="5"/>
  <c r="M70" i="5"/>
  <c r="Z70" i="5" s="1"/>
  <c r="AL69" i="5"/>
  <c r="AY69" i="5" s="1"/>
  <c r="M68" i="5"/>
  <c r="Z68" i="5" s="1"/>
  <c r="M67" i="5"/>
  <c r="Z67" i="5" s="1"/>
  <c r="CU66" i="5"/>
  <c r="CT66" i="5"/>
  <c r="CS66" i="5"/>
  <c r="CQ66" i="5"/>
  <c r="BM66" i="5"/>
  <c r="BK66" i="5"/>
  <c r="BI66" i="5"/>
  <c r="CU65" i="5"/>
  <c r="CT65" i="5"/>
  <c r="CS65" i="5"/>
  <c r="CQ65" i="5"/>
  <c r="M64" i="5"/>
  <c r="Z64" i="5" s="1"/>
  <c r="CU61" i="5"/>
  <c r="CT61" i="5"/>
  <c r="CS61" i="5"/>
  <c r="CQ61" i="5"/>
  <c r="CU60" i="5"/>
  <c r="CT60" i="5"/>
  <c r="CS60" i="5"/>
  <c r="CQ60" i="5"/>
  <c r="M59" i="5"/>
  <c r="Z59" i="5" s="1"/>
  <c r="M58" i="5"/>
  <c r="Z58" i="5" s="1"/>
  <c r="CU56" i="5"/>
  <c r="CT56" i="5"/>
  <c r="CS56" i="5"/>
  <c r="CQ56" i="5"/>
  <c r="M53" i="5"/>
  <c r="Z53" i="5" s="1"/>
  <c r="M55" i="5"/>
  <c r="Z55" i="5" s="1"/>
  <c r="M54" i="5"/>
  <c r="Z54" i="5" s="1"/>
  <c r="CU55" i="5"/>
  <c r="CT55" i="5"/>
  <c r="CS55" i="5"/>
  <c r="CQ55" i="5"/>
  <c r="AM55" i="5"/>
  <c r="AZ55" i="5" s="1"/>
  <c r="CU54" i="5"/>
  <c r="CT54" i="5"/>
  <c r="CS54" i="5"/>
  <c r="CQ54" i="5"/>
  <c r="AM54" i="5"/>
  <c r="AZ54" i="5" s="1"/>
  <c r="M52" i="5"/>
  <c r="Z52" i="5" s="1"/>
  <c r="CU50" i="5"/>
  <c r="CT50" i="5"/>
  <c r="CS50" i="5"/>
  <c r="CQ50" i="5"/>
  <c r="BM50" i="5"/>
  <c r="BK50" i="5"/>
  <c r="BI50" i="5"/>
  <c r="M49" i="5"/>
  <c r="Z49" i="5" s="1"/>
  <c r="CU49" i="5"/>
  <c r="CT49" i="5"/>
  <c r="CS49" i="5"/>
  <c r="CQ49" i="5"/>
  <c r="AM49" i="5"/>
  <c r="AZ49" i="5" s="1"/>
  <c r="M48" i="5"/>
  <c r="Z48" i="5" s="1"/>
  <c r="CU48" i="5"/>
  <c r="CT48" i="5"/>
  <c r="CS48" i="5"/>
  <c r="CQ48" i="5"/>
  <c r="M47" i="5"/>
  <c r="Z47" i="5" s="1"/>
  <c r="CU47" i="5"/>
  <c r="CT47" i="5"/>
  <c r="CS47" i="5"/>
  <c r="CQ47" i="5"/>
  <c r="CU46" i="5"/>
  <c r="CT46" i="5"/>
  <c r="CS46" i="5"/>
  <c r="CQ46" i="5"/>
  <c r="AN38" i="5"/>
  <c r="BA38" i="5" s="1"/>
  <c r="BA37" i="5" s="1"/>
  <c r="AN36" i="5"/>
  <c r="BA36" i="5" s="1"/>
  <c r="AN35" i="5"/>
  <c r="BA35" i="5" s="1"/>
  <c r="AN34" i="5"/>
  <c r="BA34" i="5" s="1"/>
  <c r="AN33" i="5"/>
  <c r="BA33" i="5" s="1"/>
  <c r="AN32" i="5"/>
  <c r="BA32" i="5" s="1"/>
  <c r="AN31" i="5"/>
  <c r="BA31" i="5" s="1"/>
  <c r="AN29" i="5"/>
  <c r="BA29" i="5" s="1"/>
  <c r="AN30" i="5"/>
  <c r="BA30" i="5" s="1"/>
  <c r="AN27" i="5"/>
  <c r="BA27" i="5" s="1"/>
  <c r="AN26" i="5"/>
  <c r="BA26" i="5" s="1"/>
  <c r="AN25" i="5"/>
  <c r="BA25" i="5" s="1"/>
  <c r="AN24" i="5"/>
  <c r="BA24" i="5" s="1"/>
  <c r="AN22" i="5"/>
  <c r="BA22" i="5" s="1"/>
  <c r="AN21" i="5"/>
  <c r="BA21" i="5" s="1"/>
  <c r="AN20" i="5"/>
  <c r="BA20" i="5" s="1"/>
  <c r="AM59" i="5"/>
  <c r="AZ59" i="5" s="1"/>
  <c r="AM70" i="5"/>
  <c r="AZ70" i="5" s="1"/>
  <c r="AM69" i="5"/>
  <c r="AZ69" i="5" s="1"/>
  <c r="AM68" i="5"/>
  <c r="AZ68" i="5" s="1"/>
  <c r="AM67" i="5"/>
  <c r="AZ67" i="5" s="1"/>
  <c r="AM64" i="5"/>
  <c r="AZ64" i="5" s="1"/>
  <c r="AM58" i="5"/>
  <c r="AZ58" i="5" s="1"/>
  <c r="AM53" i="5"/>
  <c r="AZ53" i="5" s="1"/>
  <c r="AM52" i="5"/>
  <c r="AZ52" i="5" s="1"/>
  <c r="AM44" i="5"/>
  <c r="AZ44" i="5" s="1"/>
  <c r="AM43" i="5"/>
  <c r="AM38" i="5"/>
  <c r="AZ38" i="5" s="1"/>
  <c r="AZ37" i="5" s="1"/>
  <c r="AM36" i="5"/>
  <c r="AZ36" i="5" s="1"/>
  <c r="AM35" i="5"/>
  <c r="AZ35" i="5" s="1"/>
  <c r="AM34" i="5"/>
  <c r="AZ34" i="5" s="1"/>
  <c r="AM33" i="5"/>
  <c r="AZ33" i="5" s="1"/>
  <c r="AM32" i="5"/>
  <c r="AZ32" i="5" s="1"/>
  <c r="AM31" i="5"/>
  <c r="AZ31" i="5" s="1"/>
  <c r="AM30" i="5"/>
  <c r="AZ30" i="5" s="1"/>
  <c r="AM29" i="5"/>
  <c r="AZ29" i="5" s="1"/>
  <c r="AM27" i="5"/>
  <c r="AZ27" i="5" s="1"/>
  <c r="AM26" i="5"/>
  <c r="AZ26" i="5" s="1"/>
  <c r="AM25" i="5"/>
  <c r="AZ25" i="5" s="1"/>
  <c r="AM24" i="5"/>
  <c r="AZ24" i="5" s="1"/>
  <c r="AM22" i="5"/>
  <c r="AZ22" i="5" s="1"/>
  <c r="AM21" i="5"/>
  <c r="AZ21" i="5" s="1"/>
  <c r="AM20" i="5"/>
  <c r="AZ20" i="5" s="1"/>
  <c r="AZ19" i="5" s="1"/>
  <c r="AL38" i="5"/>
  <c r="AY38" i="5" s="1"/>
  <c r="AY37" i="5" s="1"/>
  <c r="AL30" i="5"/>
  <c r="AY30" i="5" s="1"/>
  <c r="AL36" i="5"/>
  <c r="AY36" i="5" s="1"/>
  <c r="AL35" i="5"/>
  <c r="AY35" i="5" s="1"/>
  <c r="AL34" i="5"/>
  <c r="AY34" i="5" s="1"/>
  <c r="AL33" i="5"/>
  <c r="AY33" i="5" s="1"/>
  <c r="AL32" i="5"/>
  <c r="AY32" i="5" s="1"/>
  <c r="AL31" i="5"/>
  <c r="AY31" i="5" s="1"/>
  <c r="AL29" i="5"/>
  <c r="AY29" i="5" s="1"/>
  <c r="AL27" i="5"/>
  <c r="AY27" i="5" s="1"/>
  <c r="AL26" i="5"/>
  <c r="AY26" i="5" s="1"/>
  <c r="AL25" i="5"/>
  <c r="AY25" i="5" s="1"/>
  <c r="AL24" i="5"/>
  <c r="AY24" i="5" s="1"/>
  <c r="AL22" i="5"/>
  <c r="AY22" i="5" s="1"/>
  <c r="AL21" i="5"/>
  <c r="AY21" i="5" s="1"/>
  <c r="AL20" i="5"/>
  <c r="AY20" i="5" s="1"/>
  <c r="AY19" i="5" s="1"/>
  <c r="AK70" i="5"/>
  <c r="AX70" i="5" s="1"/>
  <c r="AK67" i="5"/>
  <c r="AX67" i="5" s="1"/>
  <c r="AK38" i="5"/>
  <c r="AX38" i="5" s="1"/>
  <c r="AX37" i="5" s="1"/>
  <c r="AK36" i="5"/>
  <c r="AX36" i="5" s="1"/>
  <c r="AK35" i="5"/>
  <c r="AX35" i="5" s="1"/>
  <c r="AK34" i="5"/>
  <c r="AX34" i="5" s="1"/>
  <c r="AK33" i="5"/>
  <c r="AX33" i="5" s="1"/>
  <c r="AK32" i="5"/>
  <c r="AX32" i="5" s="1"/>
  <c r="AK31" i="5"/>
  <c r="AX31" i="5" s="1"/>
  <c r="AK30" i="5"/>
  <c r="AX30" i="5" s="1"/>
  <c r="AK29" i="5"/>
  <c r="AX29" i="5" s="1"/>
  <c r="AK27" i="5"/>
  <c r="AX27" i="5" s="1"/>
  <c r="AK26" i="5"/>
  <c r="AX26" i="5" s="1"/>
  <c r="AK25" i="5"/>
  <c r="AX25" i="5" s="1"/>
  <c r="AK24" i="5"/>
  <c r="AX24" i="5" s="1"/>
  <c r="AX23" i="5" s="1"/>
  <c r="AK22" i="5"/>
  <c r="AX22" i="5" s="1"/>
  <c r="AK21" i="5"/>
  <c r="AX21" i="5" s="1"/>
  <c r="AK20" i="5"/>
  <c r="AX20" i="5" s="1"/>
  <c r="AX19" i="5" s="1"/>
  <c r="M44" i="5"/>
  <c r="Z44" i="5" s="1"/>
  <c r="M43" i="5"/>
  <c r="Z43" i="5" s="1"/>
  <c r="AK43" i="5" l="1"/>
  <c r="BA23" i="5"/>
  <c r="AZ43" i="5"/>
  <c r="AY23" i="5"/>
  <c r="AZ23" i="5"/>
  <c r="BA19" i="5"/>
  <c r="AX28" i="5"/>
  <c r="AX18" i="5" s="1"/>
  <c r="AX17" i="5" s="1"/>
  <c r="AY28" i="5"/>
  <c r="AY18" i="5" s="1"/>
  <c r="AY17" i="5" s="1"/>
  <c r="AZ28" i="5"/>
  <c r="AZ18" i="5" s="1"/>
  <c r="AZ17" i="5" s="1"/>
  <c r="BA28" i="5"/>
  <c r="BA18" i="5" s="1"/>
  <c r="BA17" i="5" s="1"/>
  <c r="Z78" i="3"/>
  <c r="M80" i="3"/>
  <c r="Z80" i="3" s="1"/>
  <c r="Z70" i="3"/>
  <c r="M71" i="3"/>
  <c r="Z71" i="3" s="1"/>
  <c r="AX96" i="3"/>
  <c r="AK96" i="3"/>
  <c r="BA96" i="3"/>
  <c r="AN96" i="3"/>
  <c r="AY101" i="3"/>
  <c r="AZ55" i="3"/>
  <c r="AZ60" i="3"/>
  <c r="AZ51" i="3"/>
  <c r="AZ46" i="3"/>
  <c r="AZ101" i="3"/>
  <c r="BA55" i="3"/>
  <c r="BA60" i="3"/>
  <c r="AK92" i="3"/>
  <c r="AX94" i="3"/>
  <c r="AX92" i="3" s="1"/>
  <c r="AD99" i="3"/>
  <c r="W99" i="3"/>
  <c r="AW94" i="3"/>
  <c r="AJ92" i="3"/>
  <c r="CR95" i="3"/>
  <c r="AW95" i="3"/>
  <c r="AZ96" i="3"/>
  <c r="AX55" i="3"/>
  <c r="AX60" i="3"/>
  <c r="AX101" i="3"/>
  <c r="AY55" i="3"/>
  <c r="AY60" i="3"/>
  <c r="BA46" i="3"/>
  <c r="BA51" i="3"/>
  <c r="BA101" i="3"/>
  <c r="AZ94" i="3"/>
  <c r="AZ92" i="3" s="1"/>
  <c r="AM92" i="3"/>
  <c r="W100" i="3"/>
  <c r="AD100" i="3"/>
  <c r="AX46" i="3"/>
  <c r="AX51" i="3"/>
  <c r="AY46" i="3"/>
  <c r="AY51" i="3"/>
  <c r="AN92" i="3"/>
  <c r="BA94" i="3"/>
  <c r="BA92" i="3" s="1"/>
  <c r="AZ30" i="3"/>
  <c r="BA20" i="3"/>
  <c r="AX30" i="3"/>
  <c r="AY30" i="3"/>
  <c r="CR84" i="3"/>
  <c r="AW84" i="3"/>
  <c r="BB84" i="3" s="1"/>
  <c r="AD86" i="3"/>
  <c r="W86" i="3"/>
  <c r="CR83" i="3"/>
  <c r="AW83" i="3"/>
  <c r="BB83" i="3" s="1"/>
  <c r="AZ20" i="3"/>
  <c r="CR81" i="3"/>
  <c r="AW81" i="3"/>
  <c r="CR82" i="3"/>
  <c r="AW82" i="3"/>
  <c r="AD83" i="3"/>
  <c r="W83" i="3"/>
  <c r="AX20" i="3"/>
  <c r="AY20" i="3"/>
  <c r="BA30" i="3"/>
  <c r="AD84" i="3"/>
  <c r="W84" i="3"/>
  <c r="AD85" i="3"/>
  <c r="W85" i="3"/>
  <c r="AL58" i="5"/>
  <c r="AY58" i="5" s="1"/>
  <c r="AC64" i="5"/>
  <c r="AC43" i="5"/>
  <c r="AC53" i="5"/>
  <c r="BK73" i="5"/>
  <c r="BK72" i="5" s="1"/>
  <c r="X73" i="5"/>
  <c r="AC73" i="5" s="1"/>
  <c r="AD73" i="5" s="1"/>
  <c r="O59" i="5"/>
  <c r="AB59" i="5" s="1"/>
  <c r="AB58" i="5"/>
  <c r="AJ54" i="5"/>
  <c r="X54" i="5"/>
  <c r="AC54" i="5" s="1"/>
  <c r="K59" i="5"/>
  <c r="X59" i="5" s="1"/>
  <c r="BI61" i="5"/>
  <c r="X61" i="5"/>
  <c r="AC61" i="5" s="1"/>
  <c r="AD61" i="5" s="1"/>
  <c r="BI65" i="5"/>
  <c r="X65" i="5"/>
  <c r="AC65" i="5" s="1"/>
  <c r="BK71" i="5"/>
  <c r="X71" i="5"/>
  <c r="AK49" i="5"/>
  <c r="AX49" i="5" s="1"/>
  <c r="Y49" i="5"/>
  <c r="AC49" i="5" s="1"/>
  <c r="CW55" i="5"/>
  <c r="X55" i="5"/>
  <c r="AC55" i="5" s="1"/>
  <c r="AD55" i="5" s="1"/>
  <c r="AK58" i="5"/>
  <c r="AX58" i="5" s="1"/>
  <c r="Y58" i="5"/>
  <c r="AN44" i="5"/>
  <c r="BA44" i="5" s="1"/>
  <c r="AB44" i="5"/>
  <c r="AC44" i="5" s="1"/>
  <c r="AK53" i="5"/>
  <c r="AX53" i="5" s="1"/>
  <c r="BM56" i="5"/>
  <c r="X56" i="5"/>
  <c r="AC56" i="5" s="1"/>
  <c r="BM60" i="5"/>
  <c r="X60" i="5"/>
  <c r="AC60" i="5" s="1"/>
  <c r="AD60" i="5" s="1"/>
  <c r="AC66" i="5"/>
  <c r="AC52" i="5"/>
  <c r="BK55" i="5"/>
  <c r="BM55" i="5"/>
  <c r="AJ55" i="5"/>
  <c r="BK65" i="5"/>
  <c r="P66" i="5"/>
  <c r="W66" i="5" s="1"/>
  <c r="CR94" i="3"/>
  <c r="BK54" i="5"/>
  <c r="AK66" i="5"/>
  <c r="AX66" i="5" s="1"/>
  <c r="P94" i="3"/>
  <c r="W94" i="3" s="1"/>
  <c r="AL81" i="3"/>
  <c r="AL95" i="3"/>
  <c r="P81" i="3"/>
  <c r="AM99" i="3"/>
  <c r="AZ99" i="3" s="1"/>
  <c r="AM86" i="3"/>
  <c r="AZ86" i="3" s="1"/>
  <c r="AL55" i="5"/>
  <c r="AY55" i="5" s="1"/>
  <c r="L46" i="5"/>
  <c r="Y46" i="5" s="1"/>
  <c r="BK56" i="5"/>
  <c r="BK60" i="5"/>
  <c r="AK73" i="5"/>
  <c r="O45" i="5"/>
  <c r="AB45" i="5" s="1"/>
  <c r="AC45" i="5" s="1"/>
  <c r="AK52" i="5"/>
  <c r="AX52" i="5" s="1"/>
  <c r="O69" i="5"/>
  <c r="AB69" i="5" s="1"/>
  <c r="AK64" i="5"/>
  <c r="AX64" i="5" s="1"/>
  <c r="AL68" i="5"/>
  <c r="AY68" i="5" s="1"/>
  <c r="AM45" i="5"/>
  <c r="AZ45" i="5" s="1"/>
  <c r="AL48" i="5"/>
  <c r="AY48" i="5" s="1"/>
  <c r="AL49" i="5"/>
  <c r="AY49" i="5" s="1"/>
  <c r="CW50" i="5"/>
  <c r="AL52" i="5"/>
  <c r="AY52" i="5" s="1"/>
  <c r="AL53" i="5"/>
  <c r="AY53" i="5" s="1"/>
  <c r="CW65" i="5"/>
  <c r="CW66" i="5"/>
  <c r="AL73" i="5"/>
  <c r="BM71" i="5"/>
  <c r="CW73" i="5"/>
  <c r="CW72" i="5" s="1"/>
  <c r="AN73" i="5"/>
  <c r="AL70" i="5"/>
  <c r="AY70" i="5" s="1"/>
  <c r="BK49" i="5"/>
  <c r="AK44" i="5"/>
  <c r="AX44" i="5" s="1"/>
  <c r="CW54" i="5"/>
  <c r="AK54" i="5"/>
  <c r="AX54" i="5" s="1"/>
  <c r="BM61" i="5"/>
  <c r="AN43" i="5"/>
  <c r="AN49" i="5"/>
  <c r="BA49" i="5" s="1"/>
  <c r="AN52" i="5"/>
  <c r="BA52" i="5" s="1"/>
  <c r="AN58" i="5"/>
  <c r="BA58" i="5" s="1"/>
  <c r="AJ49" i="5"/>
  <c r="BM49" i="5"/>
  <c r="AN55" i="5"/>
  <c r="BA55" i="5" s="1"/>
  <c r="AL54" i="5"/>
  <c r="AY54" i="5" s="1"/>
  <c r="BI56" i="5"/>
  <c r="CW60" i="5"/>
  <c r="AM62" i="5"/>
  <c r="AZ62" i="5" s="1"/>
  <c r="AL67" i="5"/>
  <c r="AY67" i="5" s="1"/>
  <c r="K46" i="5"/>
  <c r="BI55" i="5"/>
  <c r="AK55" i="5"/>
  <c r="AX55" i="5" s="1"/>
  <c r="L59" i="5"/>
  <c r="K69" i="5"/>
  <c r="X69" i="5" s="1"/>
  <c r="BM73" i="5"/>
  <c r="BM72" i="5" s="1"/>
  <c r="AN53" i="5"/>
  <c r="BA53" i="5" s="1"/>
  <c r="AN54" i="5"/>
  <c r="BA54" i="5" s="1"/>
  <c r="AN64" i="5"/>
  <c r="BA64" i="5" s="1"/>
  <c r="O67" i="5"/>
  <c r="AB67" i="5" s="1"/>
  <c r="AC67" i="5" s="1"/>
  <c r="CW56" i="5"/>
  <c r="BI60" i="5"/>
  <c r="AK65" i="5"/>
  <c r="AX65" i="5" s="1"/>
  <c r="O70" i="5"/>
  <c r="AB70" i="5" s="1"/>
  <c r="AC70" i="5" s="1"/>
  <c r="O71" i="5"/>
  <c r="CW49" i="5"/>
  <c r="BM54" i="5"/>
  <c r="P60" i="5"/>
  <c r="W60" i="5" s="1"/>
  <c r="CW61" i="5"/>
  <c r="K47" i="5"/>
  <c r="O68" i="5"/>
  <c r="AB68" i="5" s="1"/>
  <c r="AC68" i="5" s="1"/>
  <c r="AM101" i="3"/>
  <c r="P95" i="3"/>
  <c r="W95" i="3" s="1"/>
  <c r="AN100" i="3"/>
  <c r="BA100" i="3" s="1"/>
  <c r="AL101" i="3"/>
  <c r="AK101" i="3"/>
  <c r="AL100" i="3"/>
  <c r="AY100" i="3" s="1"/>
  <c r="CW71" i="5"/>
  <c r="BI71" i="5"/>
  <c r="AN101" i="3"/>
  <c r="AL89" i="3"/>
  <c r="AY89" i="3" s="1"/>
  <c r="AM100" i="3"/>
  <c r="AZ100" i="3" s="1"/>
  <c r="AK100" i="3"/>
  <c r="AX100" i="3" s="1"/>
  <c r="AL94" i="3"/>
  <c r="AN99" i="3"/>
  <c r="BA99" i="3" s="1"/>
  <c r="AL99" i="3"/>
  <c r="AY99" i="3" s="1"/>
  <c r="AJ99" i="3"/>
  <c r="AW99" i="3" s="1"/>
  <c r="AJ100" i="3"/>
  <c r="AW100" i="3" s="1"/>
  <c r="AK99" i="3"/>
  <c r="AX99" i="3" s="1"/>
  <c r="P82" i="3"/>
  <c r="AL82" i="3"/>
  <c r="AJ86" i="3"/>
  <c r="AW86" i="3" s="1"/>
  <c r="AN86" i="3"/>
  <c r="BA86" i="3" s="1"/>
  <c r="AL86" i="3"/>
  <c r="AY86" i="3" s="1"/>
  <c r="AK86" i="3"/>
  <c r="AX86" i="3" s="1"/>
  <c r="AK85" i="3"/>
  <c r="AX85" i="3" s="1"/>
  <c r="AM85" i="3"/>
  <c r="AZ85" i="3" s="1"/>
  <c r="AJ85" i="3"/>
  <c r="AW85" i="3" s="1"/>
  <c r="AL85" i="3"/>
  <c r="AY85" i="3" s="1"/>
  <c r="AN85" i="3"/>
  <c r="BA85" i="3" s="1"/>
  <c r="AO83" i="3"/>
  <c r="AV83" i="3" s="1"/>
  <c r="AO84" i="3"/>
  <c r="AV84" i="3" s="1"/>
  <c r="P56" i="5"/>
  <c r="AJ73" i="5"/>
  <c r="AW73" i="5" s="1"/>
  <c r="AW72" i="5" s="1"/>
  <c r="AM73" i="5"/>
  <c r="AK68" i="5"/>
  <c r="AX68" i="5" s="1"/>
  <c r="P65" i="5"/>
  <c r="W65" i="5" s="1"/>
  <c r="P61" i="5"/>
  <c r="W61" i="5" s="1"/>
  <c r="BK61" i="5"/>
  <c r="P54" i="5"/>
  <c r="BI54" i="5"/>
  <c r="L47" i="5"/>
  <c r="Y47" i="5" s="1"/>
  <c r="BI49" i="5"/>
  <c r="P49" i="5"/>
  <c r="W49" i="5" s="1"/>
  <c r="AK71" i="5"/>
  <c r="AX71" i="5" s="1"/>
  <c r="AJ71" i="5"/>
  <c r="AW71" i="5" s="1"/>
  <c r="AM71" i="5"/>
  <c r="AZ71" i="5" s="1"/>
  <c r="AL71" i="5"/>
  <c r="AY71" i="5" s="1"/>
  <c r="P73" i="5"/>
  <c r="W73" i="5" s="1"/>
  <c r="AM66" i="5"/>
  <c r="AZ66" i="5" s="1"/>
  <c r="AJ66" i="5"/>
  <c r="AW66" i="5" s="1"/>
  <c r="AN66" i="5"/>
  <c r="BA66" i="5" s="1"/>
  <c r="AL66" i="5"/>
  <c r="AY66" i="5" s="1"/>
  <c r="AJ65" i="5"/>
  <c r="AW65" i="5" s="1"/>
  <c r="AN65" i="5"/>
  <c r="BA65" i="5" s="1"/>
  <c r="AM65" i="5"/>
  <c r="AZ65" i="5" s="1"/>
  <c r="AL65" i="5"/>
  <c r="AY65" i="5" s="1"/>
  <c r="AL64" i="5"/>
  <c r="AY64" i="5" s="1"/>
  <c r="AN62" i="5"/>
  <c r="BA62" i="5" s="1"/>
  <c r="AK62" i="5"/>
  <c r="AX62" i="5" s="1"/>
  <c r="AL62" i="5"/>
  <c r="AY62" i="5" s="1"/>
  <c r="AK61" i="5"/>
  <c r="AX61" i="5" s="1"/>
  <c r="AN61" i="5"/>
  <c r="BA61" i="5" s="1"/>
  <c r="AJ61" i="5"/>
  <c r="AW61" i="5" s="1"/>
  <c r="AM61" i="5"/>
  <c r="AZ61" i="5" s="1"/>
  <c r="AL61" i="5"/>
  <c r="AY61" i="5" s="1"/>
  <c r="AK60" i="5"/>
  <c r="AX60" i="5" s="1"/>
  <c r="AM60" i="5"/>
  <c r="AZ60" i="5" s="1"/>
  <c r="AZ57" i="5" s="1"/>
  <c r="AJ60" i="5"/>
  <c r="AW60" i="5" s="1"/>
  <c r="AN60" i="5"/>
  <c r="BA60" i="5" s="1"/>
  <c r="AL60" i="5"/>
  <c r="AY60" i="5" s="1"/>
  <c r="AL59" i="5"/>
  <c r="AY59" i="5" s="1"/>
  <c r="AM56" i="5"/>
  <c r="AJ56" i="5"/>
  <c r="AW56" i="5" s="1"/>
  <c r="AK56" i="5"/>
  <c r="AX56" i="5" s="1"/>
  <c r="AN56" i="5"/>
  <c r="BA56" i="5" s="1"/>
  <c r="AL56" i="5"/>
  <c r="AY56" i="5" s="1"/>
  <c r="P55" i="5"/>
  <c r="AK45" i="5"/>
  <c r="AX45" i="5" s="1"/>
  <c r="AL44" i="5"/>
  <c r="AY44" i="5" s="1"/>
  <c r="AM46" i="5"/>
  <c r="AZ46" i="5" s="1"/>
  <c r="AJ50" i="5"/>
  <c r="AW50" i="5" s="1"/>
  <c r="AL45" i="5"/>
  <c r="AY45" i="5" s="1"/>
  <c r="AK50" i="5"/>
  <c r="AX50" i="5" s="1"/>
  <c r="AM50" i="5"/>
  <c r="AZ50" i="5" s="1"/>
  <c r="AN50" i="5"/>
  <c r="BA50" i="5" s="1"/>
  <c r="AL50" i="5"/>
  <c r="AY50" i="5" s="1"/>
  <c r="P50" i="5"/>
  <c r="W50" i="5" s="1"/>
  <c r="AM48" i="5"/>
  <c r="AZ48" i="5" s="1"/>
  <c r="AM47" i="5"/>
  <c r="AZ47" i="5" s="1"/>
  <c r="AL47" i="5"/>
  <c r="AY47" i="5" s="1"/>
  <c r="AL46" i="5"/>
  <c r="AY46" i="5" s="1"/>
  <c r="AL43" i="5"/>
  <c r="AD54" i="5" l="1"/>
  <c r="BB66" i="5"/>
  <c r="AM72" i="5"/>
  <c r="AZ73" i="5"/>
  <c r="AY51" i="5"/>
  <c r="AX51" i="5"/>
  <c r="CR54" i="5"/>
  <c r="AW54" i="5"/>
  <c r="BB54" i="5" s="1"/>
  <c r="AY57" i="5"/>
  <c r="AD50" i="5"/>
  <c r="BB65" i="5"/>
  <c r="AN72" i="5"/>
  <c r="BA73" i="5"/>
  <c r="BA72" i="5" s="1"/>
  <c r="AD56" i="5"/>
  <c r="AM40" i="5"/>
  <c r="AQ38" i="1" s="1"/>
  <c r="AX43" i="5"/>
  <c r="BA51" i="5"/>
  <c r="AL72" i="5"/>
  <c r="AY73" i="5"/>
  <c r="AY72" i="5" s="1"/>
  <c r="AM41" i="5"/>
  <c r="AR38" i="1" s="1"/>
  <c r="BB50" i="5"/>
  <c r="AL41" i="5"/>
  <c r="AR32" i="1" s="1"/>
  <c r="AL40" i="5"/>
  <c r="AQ32" i="1" s="1"/>
  <c r="AY43" i="5"/>
  <c r="AY42" i="5" s="1"/>
  <c r="AZ42" i="5"/>
  <c r="AM51" i="5"/>
  <c r="AZ56" i="5"/>
  <c r="AZ51" i="5" s="1"/>
  <c r="BB60" i="5"/>
  <c r="BB61" i="5"/>
  <c r="BC61" i="5" s="1"/>
  <c r="CR49" i="5"/>
  <c r="AW49" i="5"/>
  <c r="BB49" i="5" s="1"/>
  <c r="BA43" i="5"/>
  <c r="AK72" i="5"/>
  <c r="AX73" i="5"/>
  <c r="AX72" i="5" s="1"/>
  <c r="CR55" i="5"/>
  <c r="AW55" i="5"/>
  <c r="BB55" i="5" s="1"/>
  <c r="AD66" i="5"/>
  <c r="AD49" i="5"/>
  <c r="AD65" i="5"/>
  <c r="AL96" i="3"/>
  <c r="AW96" i="3"/>
  <c r="AZ45" i="3"/>
  <c r="AX98" i="3"/>
  <c r="AY45" i="3"/>
  <c r="BB100" i="3"/>
  <c r="AX45" i="3"/>
  <c r="AD95" i="3"/>
  <c r="BA98" i="3"/>
  <c r="AZ98" i="3"/>
  <c r="BA45" i="3"/>
  <c r="AD94" i="3"/>
  <c r="AW92" i="3"/>
  <c r="BB85" i="3"/>
  <c r="AY94" i="3"/>
  <c r="AL92" i="3"/>
  <c r="AY98" i="3"/>
  <c r="BB99" i="3"/>
  <c r="BB98" i="3" s="1"/>
  <c r="AW98" i="3"/>
  <c r="AO95" i="3"/>
  <c r="AV95" i="3" s="1"/>
  <c r="AY95" i="3"/>
  <c r="BB95" i="3" s="1"/>
  <c r="AZ19" i="3"/>
  <c r="BA19" i="3"/>
  <c r="AY19" i="3"/>
  <c r="AD82" i="3"/>
  <c r="W82" i="3"/>
  <c r="BB86" i="3"/>
  <c r="AO81" i="3"/>
  <c r="AV81" i="3" s="1"/>
  <c r="AY81" i="3"/>
  <c r="BB81" i="3" s="1"/>
  <c r="W81" i="3"/>
  <c r="AD81" i="3"/>
  <c r="AO82" i="3"/>
  <c r="AV82" i="3" s="1"/>
  <c r="AY82" i="3"/>
  <c r="BB82" i="3" s="1"/>
  <c r="AX19" i="3"/>
  <c r="BC83" i="3"/>
  <c r="BC84" i="3"/>
  <c r="AC69" i="5"/>
  <c r="AC58" i="5"/>
  <c r="CW47" i="5"/>
  <c r="X47" i="5"/>
  <c r="AN59" i="5"/>
  <c r="BA59" i="5" s="1"/>
  <c r="AJ46" i="5"/>
  <c r="X46" i="5"/>
  <c r="P71" i="5"/>
  <c r="W71" i="5" s="1"/>
  <c r="AB71" i="5"/>
  <c r="AC71" i="5" s="1"/>
  <c r="AK59" i="5"/>
  <c r="AX59" i="5" s="1"/>
  <c r="Y59" i="5"/>
  <c r="AC59" i="5" s="1"/>
  <c r="BI46" i="5"/>
  <c r="AO55" i="5"/>
  <c r="AJ47" i="5"/>
  <c r="AW47" i="5" s="1"/>
  <c r="CW46" i="5"/>
  <c r="BK46" i="5"/>
  <c r="AO54" i="5"/>
  <c r="AO49" i="5"/>
  <c r="AV49" i="5" s="1"/>
  <c r="AN51" i="5"/>
  <c r="AN98" i="3"/>
  <c r="AN68" i="5"/>
  <c r="BA68" i="5" s="1"/>
  <c r="AN70" i="5"/>
  <c r="BA70" i="5" s="1"/>
  <c r="AN67" i="5"/>
  <c r="BA67" i="5" s="1"/>
  <c r="AN69" i="5"/>
  <c r="BA69" i="5" s="1"/>
  <c r="O46" i="5"/>
  <c r="AB46" i="5" s="1"/>
  <c r="O47" i="5"/>
  <c r="AB47" i="5" s="1"/>
  <c r="AN45" i="5"/>
  <c r="BA45" i="5" s="1"/>
  <c r="AK51" i="5"/>
  <c r="AL51" i="5"/>
  <c r="AN71" i="5"/>
  <c r="BM46" i="5"/>
  <c r="BM47" i="5"/>
  <c r="BK47" i="5"/>
  <c r="K48" i="5"/>
  <c r="X48" i="5" s="1"/>
  <c r="BI47" i="5"/>
  <c r="AO94" i="3"/>
  <c r="AM57" i="5"/>
  <c r="AM42" i="5"/>
  <c r="AL57" i="5"/>
  <c r="AL42" i="5"/>
  <c r="AO100" i="3"/>
  <c r="AV100" i="3" s="1"/>
  <c r="AM98" i="3"/>
  <c r="AL98" i="3"/>
  <c r="AJ98" i="3"/>
  <c r="AO99" i="3"/>
  <c r="AV99" i="3" s="1"/>
  <c r="AK98" i="3"/>
  <c r="AO86" i="3"/>
  <c r="AV86" i="3" s="1"/>
  <c r="AO85" i="3"/>
  <c r="AV85" i="3" s="1"/>
  <c r="CR73" i="5"/>
  <c r="AJ72" i="5"/>
  <c r="AO73" i="5"/>
  <c r="AV73" i="5" s="1"/>
  <c r="AK69" i="5"/>
  <c r="AX69" i="5" s="1"/>
  <c r="CR66" i="5"/>
  <c r="AO66" i="5"/>
  <c r="AV66" i="5" s="1"/>
  <c r="CR65" i="5"/>
  <c r="AO65" i="5"/>
  <c r="AV65" i="5" s="1"/>
  <c r="AO61" i="5"/>
  <c r="AV61" i="5" s="1"/>
  <c r="CR60" i="5"/>
  <c r="AO60" i="5"/>
  <c r="AV60" i="5" s="1"/>
  <c r="CR56" i="5"/>
  <c r="AO56" i="5"/>
  <c r="L48" i="5"/>
  <c r="Y48" i="5" s="1"/>
  <c r="AK47" i="5"/>
  <c r="AX47" i="5" s="1"/>
  <c r="AK46" i="5"/>
  <c r="AX46" i="5" s="1"/>
  <c r="CR47" i="5"/>
  <c r="CR50" i="5"/>
  <c r="AO50" i="5"/>
  <c r="AV50" i="5" s="1"/>
  <c r="CR71" i="5"/>
  <c r="CR61" i="5"/>
  <c r="BC50" i="5" l="1"/>
  <c r="BB73" i="5"/>
  <c r="AZ72" i="5"/>
  <c r="AZ39" i="5" s="1"/>
  <c r="P47" i="5"/>
  <c r="W47" i="5" s="1"/>
  <c r="BC55" i="5"/>
  <c r="BC49" i="5"/>
  <c r="BC60" i="5"/>
  <c r="AY39" i="5"/>
  <c r="AO71" i="5"/>
  <c r="AV71" i="5" s="1"/>
  <c r="BA71" i="5"/>
  <c r="BB71" i="5" s="1"/>
  <c r="BC71" i="5" s="1"/>
  <c r="CR46" i="5"/>
  <c r="AW46" i="5"/>
  <c r="BC65" i="5"/>
  <c r="BC66" i="5"/>
  <c r="AX57" i="5"/>
  <c r="AD71" i="5"/>
  <c r="BB56" i="5"/>
  <c r="BC56" i="5" s="1"/>
  <c r="BC54" i="5"/>
  <c r="BB96" i="3"/>
  <c r="AO96" i="3"/>
  <c r="AY96" i="3"/>
  <c r="AZ18" i="3"/>
  <c r="AY18" i="3"/>
  <c r="BC95" i="3"/>
  <c r="BC82" i="3"/>
  <c r="BC81" i="3"/>
  <c r="AX18" i="3"/>
  <c r="AO92" i="3"/>
  <c r="AV94" i="3"/>
  <c r="BA18" i="3"/>
  <c r="AY92" i="3"/>
  <c r="BB94" i="3"/>
  <c r="BB92" i="3" s="1"/>
  <c r="BC99" i="3"/>
  <c r="BC100" i="3"/>
  <c r="BC85" i="3"/>
  <c r="BC86" i="3"/>
  <c r="AK57" i="5"/>
  <c r="AC47" i="5"/>
  <c r="AD47" i="5" s="1"/>
  <c r="P46" i="5"/>
  <c r="W46" i="5" s="1"/>
  <c r="AC46" i="5"/>
  <c r="AN57" i="5"/>
  <c r="O48" i="5"/>
  <c r="AB48" i="5" s="1"/>
  <c r="AC48" i="5" s="1"/>
  <c r="AN47" i="5"/>
  <c r="AN46" i="5"/>
  <c r="BM48" i="5"/>
  <c r="BI48" i="5"/>
  <c r="CW48" i="5"/>
  <c r="AJ48" i="5"/>
  <c r="BK48" i="5"/>
  <c r="AO98" i="3"/>
  <c r="AO72" i="5"/>
  <c r="AK48" i="5"/>
  <c r="AX48" i="5" s="1"/>
  <c r="AX42" i="5" s="1"/>
  <c r="AX39" i="5" s="1"/>
  <c r="AO47" i="5" l="1"/>
  <c r="AV47" i="5" s="1"/>
  <c r="BA47" i="5"/>
  <c r="BB47" i="5" s="1"/>
  <c r="BC47" i="5" s="1"/>
  <c r="AD48" i="5"/>
  <c r="BC73" i="5"/>
  <c r="BB72" i="5"/>
  <c r="CR48" i="5"/>
  <c r="AW48" i="5"/>
  <c r="BA46" i="5"/>
  <c r="AD46" i="5"/>
  <c r="AK41" i="5"/>
  <c r="AR26" i="1" s="1"/>
  <c r="AK40" i="5"/>
  <c r="AQ26" i="1" s="1"/>
  <c r="BA57" i="5"/>
  <c r="BC94" i="3"/>
  <c r="P48" i="5"/>
  <c r="W48" i="5" s="1"/>
  <c r="AO46" i="5"/>
  <c r="AV46" i="5" s="1"/>
  <c r="AN48" i="5"/>
  <c r="AK42" i="5"/>
  <c r="AN42" i="5" l="1"/>
  <c r="BA48" i="5"/>
  <c r="BB48" i="5" s="1"/>
  <c r="BC48" i="5" s="1"/>
  <c r="AN40" i="5"/>
  <c r="AQ43" i="1" s="1"/>
  <c r="BA42" i="5"/>
  <c r="BA39" i="5" s="1"/>
  <c r="AN41" i="5"/>
  <c r="AR43" i="1" s="1"/>
  <c r="BB46" i="5"/>
  <c r="BC46" i="5" s="1"/>
  <c r="AO48" i="5"/>
  <c r="AV48" i="5" s="1"/>
  <c r="L79" i="33" l="1"/>
  <c r="Y79" i="33" s="1"/>
  <c r="AC79" i="33" s="1"/>
  <c r="M79" i="33"/>
  <c r="Z79" i="33" s="1"/>
  <c r="V125" i="25" l="1"/>
  <c r="U125" i="25"/>
  <c r="Z125" i="25" s="1"/>
  <c r="T125" i="25"/>
  <c r="Y125" i="25" s="1"/>
  <c r="S125" i="25"/>
  <c r="X125" i="25" s="1"/>
  <c r="R125" i="25"/>
  <c r="W125" i="25" s="1"/>
  <c r="Q125" i="25"/>
  <c r="P125" i="25"/>
  <c r="Z124" i="25"/>
  <c r="Y124" i="25"/>
  <c r="X124" i="25"/>
  <c r="W124" i="25"/>
  <c r="V124" i="25"/>
  <c r="P124" i="25"/>
  <c r="O123" i="25"/>
  <c r="Z123" i="25" s="1"/>
  <c r="N123" i="25"/>
  <c r="Y123" i="25" s="1"/>
  <c r="M123" i="25"/>
  <c r="X123" i="25" s="1"/>
  <c r="L123" i="25"/>
  <c r="W123" i="25" s="1"/>
  <c r="K123" i="25"/>
  <c r="V123" i="25" s="1"/>
  <c r="U122" i="25"/>
  <c r="Z122" i="25" s="1"/>
  <c r="T122" i="25"/>
  <c r="Y122" i="25" s="1"/>
  <c r="S122" i="25"/>
  <c r="X122" i="25" s="1"/>
  <c r="R122" i="25"/>
  <c r="W122" i="25" s="1"/>
  <c r="Q122" i="25"/>
  <c r="V122" i="25" s="1"/>
  <c r="P122" i="25"/>
  <c r="U121" i="25"/>
  <c r="Z121" i="25" s="1"/>
  <c r="T121" i="25"/>
  <c r="Y121" i="25" s="1"/>
  <c r="S121" i="25"/>
  <c r="X121" i="25" s="1"/>
  <c r="R121" i="25"/>
  <c r="W121" i="25" s="1"/>
  <c r="Q121" i="25"/>
  <c r="V121" i="25" s="1"/>
  <c r="P121" i="25"/>
  <c r="Z120" i="25"/>
  <c r="Y120" i="25"/>
  <c r="X120" i="25"/>
  <c r="W120" i="25"/>
  <c r="V120" i="25"/>
  <c r="P120" i="25"/>
  <c r="P123" i="25" l="1"/>
  <c r="AA124" i="25"/>
  <c r="AA120" i="25"/>
  <c r="AA123" i="25"/>
  <c r="AA125" i="25"/>
  <c r="AA122" i="25"/>
  <c r="AA121" i="25"/>
  <c r="M104" i="16" l="1"/>
  <c r="V104" i="16" s="1"/>
  <c r="CI101" i="16"/>
  <c r="CG104" i="16"/>
  <c r="CF104" i="16"/>
  <c r="CE104" i="16"/>
  <c r="CC104" i="16"/>
  <c r="CG101" i="16"/>
  <c r="CF101" i="16"/>
  <c r="CE101" i="16"/>
  <c r="CC101" i="16"/>
  <c r="AD101" i="16"/>
  <c r="AM101" i="16" s="1"/>
  <c r="AD66" i="16"/>
  <c r="AM66" i="16" s="1"/>
  <c r="L64" i="16"/>
  <c r="U64" i="16" s="1"/>
  <c r="K64" i="16"/>
  <c r="T64" i="16" s="1"/>
  <c r="W64" i="16" s="1"/>
  <c r="AU65" i="16"/>
  <c r="CG66" i="16"/>
  <c r="CF66" i="16"/>
  <c r="CE66" i="16"/>
  <c r="CC66" i="16"/>
  <c r="CG65" i="16"/>
  <c r="CF65" i="16"/>
  <c r="CE65" i="16"/>
  <c r="CC65" i="16"/>
  <c r="AD65" i="16"/>
  <c r="AM65" i="16" s="1"/>
  <c r="CG64" i="16"/>
  <c r="CF64" i="16"/>
  <c r="CE64" i="16"/>
  <c r="CC64" i="16"/>
  <c r="AD64" i="16"/>
  <c r="AM64" i="16" s="1"/>
  <c r="CG62" i="16"/>
  <c r="CF62" i="16"/>
  <c r="CE62" i="16"/>
  <c r="CC62" i="16"/>
  <c r="AD62" i="16"/>
  <c r="AM62" i="16" s="1"/>
  <c r="CG61" i="16"/>
  <c r="CF61" i="16"/>
  <c r="CE61" i="16"/>
  <c r="CC61" i="16"/>
  <c r="AY61" i="16"/>
  <c r="AD61" i="16"/>
  <c r="AM61" i="16" s="1"/>
  <c r="CG60" i="16"/>
  <c r="CF60" i="16"/>
  <c r="CE60" i="16"/>
  <c r="CC60" i="16"/>
  <c r="AD60" i="16"/>
  <c r="AM60" i="16" l="1"/>
  <c r="AM59" i="16" s="1"/>
  <c r="AD59" i="16"/>
  <c r="AM63" i="16"/>
  <c r="AY64" i="16"/>
  <c r="AD63" i="16"/>
  <c r="AD104" i="16"/>
  <c r="AU101" i="16"/>
  <c r="AC66" i="16"/>
  <c r="AL66" i="16" s="1"/>
  <c r="AC64" i="16"/>
  <c r="AL64" i="16" s="1"/>
  <c r="AY65" i="16"/>
  <c r="N101" i="16"/>
  <c r="CI66" i="16"/>
  <c r="AC65" i="16"/>
  <c r="AL65" i="16" s="1"/>
  <c r="AU64" i="16"/>
  <c r="AY101" i="16"/>
  <c r="AU61" i="16"/>
  <c r="AC61" i="16"/>
  <c r="AL61" i="16" s="1"/>
  <c r="AW60" i="16"/>
  <c r="AY62" i="16"/>
  <c r="AC62" i="16"/>
  <c r="AL62" i="16" s="1"/>
  <c r="AW61" i="16"/>
  <c r="AW65" i="16"/>
  <c r="AU66" i="16"/>
  <c r="AC101" i="16"/>
  <c r="AL101" i="16" s="1"/>
  <c r="AW66" i="16"/>
  <c r="K104" i="16"/>
  <c r="T104" i="16" s="1"/>
  <c r="W104" i="16" s="1"/>
  <c r="AB101" i="16"/>
  <c r="AK101" i="16" s="1"/>
  <c r="AW101" i="16"/>
  <c r="AB61" i="16"/>
  <c r="AK61" i="16" s="1"/>
  <c r="AN61" i="16" s="1"/>
  <c r="AW64" i="16"/>
  <c r="AB65" i="16"/>
  <c r="AK65" i="16" s="1"/>
  <c r="AU60" i="16"/>
  <c r="AY66" i="16"/>
  <c r="AB64" i="16"/>
  <c r="AB66" i="16"/>
  <c r="AK66" i="16" s="1"/>
  <c r="CI64" i="16"/>
  <c r="N64" i="16"/>
  <c r="S64" i="16" s="1"/>
  <c r="AY60" i="16"/>
  <c r="N60" i="16"/>
  <c r="AC60" i="16"/>
  <c r="CI60" i="16"/>
  <c r="AU62" i="16"/>
  <c r="N62" i="16"/>
  <c r="CI62" i="16"/>
  <c r="N66" i="16"/>
  <c r="CI65" i="16"/>
  <c r="N65" i="16"/>
  <c r="AB62" i="16"/>
  <c r="AK62" i="16" s="1"/>
  <c r="AN62" i="16" s="1"/>
  <c r="AW62" i="16"/>
  <c r="CI61" i="16"/>
  <c r="N61" i="16"/>
  <c r="AB60" i="16"/>
  <c r="AD94" i="16"/>
  <c r="AM94" i="16" s="1"/>
  <c r="CI95" i="16"/>
  <c r="CG95" i="16"/>
  <c r="CF95" i="16"/>
  <c r="CE95" i="16"/>
  <c r="CC95" i="16"/>
  <c r="AY95" i="16"/>
  <c r="AW95" i="16"/>
  <c r="AU95" i="16"/>
  <c r="AD95" i="16"/>
  <c r="AM95" i="16" s="1"/>
  <c r="AC95" i="16"/>
  <c r="AL95" i="16" s="1"/>
  <c r="AB95" i="16"/>
  <c r="AK95" i="16" s="1"/>
  <c r="N95" i="16"/>
  <c r="CI94" i="16"/>
  <c r="CI93" i="16" s="1"/>
  <c r="CG94" i="16"/>
  <c r="CF94" i="16"/>
  <c r="CE94" i="16"/>
  <c r="CC94" i="16"/>
  <c r="AY94" i="16"/>
  <c r="AY93" i="16" s="1"/>
  <c r="AW94" i="16"/>
  <c r="AW93" i="16" s="1"/>
  <c r="AU94" i="16"/>
  <c r="AC94" i="16"/>
  <c r="AL94" i="16" s="1"/>
  <c r="AB94" i="16"/>
  <c r="AK94" i="16" s="1"/>
  <c r="N94" i="16"/>
  <c r="AD97" i="16"/>
  <c r="AM97" i="16" s="1"/>
  <c r="CC97" i="16"/>
  <c r="CE97" i="16"/>
  <c r="CF97" i="16"/>
  <c r="CG97" i="16"/>
  <c r="O70" i="3"/>
  <c r="N70" i="3"/>
  <c r="O91" i="3"/>
  <c r="AB91" i="3" s="1"/>
  <c r="O90" i="3"/>
  <c r="AB90" i="3" s="1"/>
  <c r="N91" i="3"/>
  <c r="AA91" i="3" s="1"/>
  <c r="N90" i="3"/>
  <c r="AA90" i="3" s="1"/>
  <c r="N79" i="3"/>
  <c r="AA79" i="3" s="1"/>
  <c r="N78" i="3"/>
  <c r="O79" i="3"/>
  <c r="AB79" i="3" s="1"/>
  <c r="O78" i="3"/>
  <c r="L79" i="3"/>
  <c r="Y79" i="3" s="1"/>
  <c r="L78" i="3"/>
  <c r="K79" i="3"/>
  <c r="X79" i="3" s="1"/>
  <c r="K78" i="3"/>
  <c r="L73" i="3"/>
  <c r="K73" i="3"/>
  <c r="L76" i="3"/>
  <c r="Y76" i="3" s="1"/>
  <c r="K76" i="3"/>
  <c r="X76" i="3" s="1"/>
  <c r="CI59" i="16" l="1"/>
  <c r="X64" i="16"/>
  <c r="AY59" i="16"/>
  <c r="AW59" i="16"/>
  <c r="AK60" i="16"/>
  <c r="AK59" i="16" s="1"/>
  <c r="AB59" i="16"/>
  <c r="AL60" i="16"/>
  <c r="AL59" i="16" s="1"/>
  <c r="AC59" i="16"/>
  <c r="AU59" i="16"/>
  <c r="S94" i="16"/>
  <c r="X94" i="16"/>
  <c r="AN95" i="16"/>
  <c r="AN94" i="16"/>
  <c r="AK93" i="16"/>
  <c r="AB63" i="16"/>
  <c r="AK64" i="16"/>
  <c r="AN64" i="16" s="1"/>
  <c r="AD100" i="16"/>
  <c r="AM104" i="16"/>
  <c r="AM100" i="16" s="1"/>
  <c r="X62" i="16"/>
  <c r="S62" i="16"/>
  <c r="AN101" i="16"/>
  <c r="X101" i="16"/>
  <c r="S101" i="16"/>
  <c r="AL93" i="16"/>
  <c r="S95" i="16"/>
  <c r="X95" i="16"/>
  <c r="AM93" i="16"/>
  <c r="X73" i="3"/>
  <c r="K69" i="3"/>
  <c r="Y73" i="3"/>
  <c r="L69" i="3"/>
  <c r="AB70" i="3"/>
  <c r="O71" i="3"/>
  <c r="AB71" i="3" s="1"/>
  <c r="X78" i="3"/>
  <c r="K80" i="3"/>
  <c r="X80" i="3" s="1"/>
  <c r="AA70" i="3"/>
  <c r="N71" i="3"/>
  <c r="AA71" i="3" s="1"/>
  <c r="AB78" i="3"/>
  <c r="O80" i="3"/>
  <c r="AB80" i="3" s="1"/>
  <c r="Y78" i="3"/>
  <c r="L80" i="3"/>
  <c r="Y80" i="3" s="1"/>
  <c r="AA78" i="3"/>
  <c r="N80" i="3"/>
  <c r="AA80" i="3" s="1"/>
  <c r="AN65" i="16"/>
  <c r="X65" i="16"/>
  <c r="S65" i="16"/>
  <c r="AL63" i="16"/>
  <c r="AN66" i="16"/>
  <c r="X66" i="16"/>
  <c r="S66" i="16"/>
  <c r="X61" i="16"/>
  <c r="S61" i="16"/>
  <c r="X60" i="16"/>
  <c r="S60" i="16"/>
  <c r="AC79" i="3"/>
  <c r="AC91" i="3"/>
  <c r="AC78" i="3"/>
  <c r="AC90" i="3"/>
  <c r="AY63" i="16"/>
  <c r="AU63" i="16"/>
  <c r="AC63" i="16"/>
  <c r="AB97" i="16"/>
  <c r="CI63" i="16"/>
  <c r="AW63" i="16"/>
  <c r="N104" i="16"/>
  <c r="S104" i="16" s="1"/>
  <c r="AC104" i="16"/>
  <c r="AC97" i="16"/>
  <c r="AL97" i="16" s="1"/>
  <c r="AE60" i="16"/>
  <c r="CD95" i="16"/>
  <c r="AE95" i="16"/>
  <c r="AJ95" i="16" s="1"/>
  <c r="CD61" i="16"/>
  <c r="AE61" i="16"/>
  <c r="AJ61" i="16" s="1"/>
  <c r="CD94" i="16"/>
  <c r="AE94" i="16"/>
  <c r="AJ94" i="16" s="1"/>
  <c r="CD62" i="16"/>
  <c r="AE62" i="16"/>
  <c r="AJ62" i="16" s="1"/>
  <c r="CD64" i="16"/>
  <c r="AE64" i="16"/>
  <c r="AJ64" i="16" s="1"/>
  <c r="CD101" i="16"/>
  <c r="AE101" i="16"/>
  <c r="AJ101" i="16" s="1"/>
  <c r="CD66" i="16"/>
  <c r="AE66" i="16"/>
  <c r="AJ66" i="16" s="1"/>
  <c r="CD65" i="16"/>
  <c r="AE65" i="16"/>
  <c r="AJ65" i="16" s="1"/>
  <c r="AM91" i="3"/>
  <c r="AZ91" i="3" s="1"/>
  <c r="K70" i="3"/>
  <c r="AK91" i="3"/>
  <c r="AX91" i="3" s="1"/>
  <c r="AN90" i="3"/>
  <c r="BA90" i="3" s="1"/>
  <c r="AN71" i="3"/>
  <c r="BA71" i="3" s="1"/>
  <c r="AK79" i="3"/>
  <c r="AX79" i="3" s="1"/>
  <c r="AK90" i="3"/>
  <c r="AX90" i="3" s="1"/>
  <c r="AN78" i="3"/>
  <c r="BA78" i="3" s="1"/>
  <c r="AM79" i="3"/>
  <c r="AZ79" i="3" s="1"/>
  <c r="AN91" i="3"/>
  <c r="BA91" i="3" s="1"/>
  <c r="AN70" i="3"/>
  <c r="AK88" i="3"/>
  <c r="AX88" i="3" s="1"/>
  <c r="AN79" i="3"/>
  <c r="BA79" i="3" s="1"/>
  <c r="AM90" i="3"/>
  <c r="AZ90" i="3" s="1"/>
  <c r="AM70" i="3"/>
  <c r="AK73" i="3"/>
  <c r="AX73" i="3" s="1"/>
  <c r="AM78" i="3"/>
  <c r="AZ78" i="3" s="1"/>
  <c r="L70" i="3"/>
  <c r="AK76" i="3"/>
  <c r="AX76" i="3" s="1"/>
  <c r="AK78" i="3"/>
  <c r="AX78" i="3" s="1"/>
  <c r="AW104" i="16"/>
  <c r="AW100" i="16" s="1"/>
  <c r="AY104" i="16"/>
  <c r="AY100" i="16" s="1"/>
  <c r="AU104" i="16"/>
  <c r="AU100" i="16" s="1"/>
  <c r="CI104" i="16"/>
  <c r="CI100" i="16" s="1"/>
  <c r="AB104" i="16"/>
  <c r="AK104" i="16" s="1"/>
  <c r="AK100" i="16" s="1"/>
  <c r="AY97" i="16"/>
  <c r="CD60" i="16"/>
  <c r="N97" i="16"/>
  <c r="AU93" i="16"/>
  <c r="AC93" i="16"/>
  <c r="AD93" i="16"/>
  <c r="AB93" i="16"/>
  <c r="AW97" i="16"/>
  <c r="CI97" i="16"/>
  <c r="AU97" i="16"/>
  <c r="AC73" i="3" l="1"/>
  <c r="AJ60" i="16"/>
  <c r="AE59" i="16"/>
  <c r="AN60" i="16"/>
  <c r="AN59" i="16" s="1"/>
  <c r="AO62" i="16"/>
  <c r="AK63" i="16"/>
  <c r="AO101" i="16"/>
  <c r="AO95" i="16"/>
  <c r="S97" i="16"/>
  <c r="X97" i="16"/>
  <c r="AC100" i="16"/>
  <c r="AL104" i="16"/>
  <c r="AL100" i="16" s="1"/>
  <c r="AK97" i="16"/>
  <c r="X104" i="16"/>
  <c r="AO94" i="16"/>
  <c r="AN93" i="16"/>
  <c r="AO64" i="16"/>
  <c r="AK69" i="3"/>
  <c r="Y69" i="3"/>
  <c r="BI69" i="3"/>
  <c r="BM69" i="3"/>
  <c r="AJ69" i="3"/>
  <c r="X69" i="3"/>
  <c r="BK69" i="3"/>
  <c r="CW69" i="3"/>
  <c r="X70" i="3"/>
  <c r="K71" i="3"/>
  <c r="X71" i="3" s="1"/>
  <c r="Y70" i="3"/>
  <c r="L71" i="3"/>
  <c r="Y71" i="3" s="1"/>
  <c r="AM71" i="3"/>
  <c r="AZ71" i="3" s="1"/>
  <c r="AO65" i="16"/>
  <c r="AO66" i="16"/>
  <c r="AN63" i="16"/>
  <c r="AO61" i="16"/>
  <c r="AO60" i="16"/>
  <c r="BA70" i="3"/>
  <c r="BA67" i="3" s="1"/>
  <c r="AN67" i="3"/>
  <c r="AC80" i="3"/>
  <c r="CD97" i="16"/>
  <c r="AZ70" i="3"/>
  <c r="AN80" i="3"/>
  <c r="BA80" i="3" s="1"/>
  <c r="AE63" i="16"/>
  <c r="AE97" i="16"/>
  <c r="AJ97" i="16" s="1"/>
  <c r="AE104" i="16"/>
  <c r="AJ104" i="16" s="1"/>
  <c r="AK70" i="3"/>
  <c r="AK80" i="3"/>
  <c r="AX80" i="3" s="1"/>
  <c r="AX77" i="3" s="1"/>
  <c r="AM80" i="3"/>
  <c r="AZ80" i="3" s="1"/>
  <c r="CD104" i="16"/>
  <c r="AB100" i="16"/>
  <c r="AE93" i="16"/>
  <c r="AX69" i="3" l="1"/>
  <c r="AN97" i="16"/>
  <c r="AN104" i="16"/>
  <c r="AK71" i="3"/>
  <c r="AX71" i="3" s="1"/>
  <c r="CR69" i="3"/>
  <c r="AW69" i="3"/>
  <c r="AC70" i="3"/>
  <c r="AM67" i="3"/>
  <c r="AC71" i="3"/>
  <c r="AZ67" i="3"/>
  <c r="AX70" i="3"/>
  <c r="AE100" i="16"/>
  <c r="AB87" i="3"/>
  <c r="N87" i="3"/>
  <c r="AA87" i="3" s="1"/>
  <c r="Z87" i="3"/>
  <c r="AK65" i="3" l="1"/>
  <c r="AK66" i="3"/>
  <c r="AR23" i="1" s="1"/>
  <c r="AO104" i="16"/>
  <c r="AN100" i="16"/>
  <c r="AO97" i="16"/>
  <c r="AK67" i="3"/>
  <c r="AX67" i="3"/>
  <c r="AX64" i="3" s="1"/>
  <c r="AC87" i="3"/>
  <c r="AL91" i="3"/>
  <c r="AY91" i="3" s="1"/>
  <c r="AL90" i="3"/>
  <c r="AY90" i="3" s="1"/>
  <c r="AL87" i="3"/>
  <c r="AY87" i="3" s="1"/>
  <c r="N88" i="3"/>
  <c r="AA88" i="3" s="1"/>
  <c r="AM87" i="3"/>
  <c r="O88" i="3"/>
  <c r="AB88" i="3" s="1"/>
  <c r="AN87" i="3"/>
  <c r="AL71" i="3"/>
  <c r="AY71" i="3" s="1"/>
  <c r="BA87" i="3" l="1"/>
  <c r="AN66" i="3"/>
  <c r="AR40" i="1" s="1"/>
  <c r="AN65" i="3"/>
  <c r="AZ87" i="3"/>
  <c r="AC88" i="3"/>
  <c r="AM88" i="3"/>
  <c r="AN88" i="3"/>
  <c r="BA88" i="3" s="1"/>
  <c r="BA77" i="3" s="1"/>
  <c r="BA64" i="3" s="1"/>
  <c r="AL88" i="3"/>
  <c r="AY88" i="3" s="1"/>
  <c r="CU62" i="5"/>
  <c r="CT62" i="5"/>
  <c r="CS62" i="5"/>
  <c r="CQ62" i="5"/>
  <c r="AJ62" i="5"/>
  <c r="BM62" i="5"/>
  <c r="CW43" i="5"/>
  <c r="CU43" i="5"/>
  <c r="CT43" i="5"/>
  <c r="CS43" i="5"/>
  <c r="CQ43" i="5"/>
  <c r="BM43" i="5"/>
  <c r="BK43" i="5"/>
  <c r="BI43" i="5"/>
  <c r="AJ43" i="5"/>
  <c r="CW59" i="5"/>
  <c r="CU59" i="5"/>
  <c r="CT59" i="5"/>
  <c r="CS59" i="5"/>
  <c r="CQ59" i="5"/>
  <c r="BM59" i="5"/>
  <c r="BK59" i="5"/>
  <c r="BI59" i="5"/>
  <c r="AJ59" i="5"/>
  <c r="AW59" i="5" s="1"/>
  <c r="BB59" i="5" s="1"/>
  <c r="CW58" i="5"/>
  <c r="CU58" i="5"/>
  <c r="CT58" i="5"/>
  <c r="CS58" i="5"/>
  <c r="CQ58" i="5"/>
  <c r="BM58" i="5"/>
  <c r="BK58" i="5"/>
  <c r="BI58" i="5"/>
  <c r="AJ58" i="5"/>
  <c r="AW58" i="5" s="1"/>
  <c r="CW68" i="5"/>
  <c r="BI64" i="5"/>
  <c r="CU70" i="5"/>
  <c r="CT70" i="5"/>
  <c r="CS70" i="5"/>
  <c r="CQ70" i="5"/>
  <c r="CU69" i="5"/>
  <c r="CT69" i="5"/>
  <c r="CS69" i="5"/>
  <c r="CQ69" i="5"/>
  <c r="CU68" i="5"/>
  <c r="CT68" i="5"/>
  <c r="CS68" i="5"/>
  <c r="CQ68" i="5"/>
  <c r="BI68" i="5"/>
  <c r="CU67" i="5"/>
  <c r="CT67" i="5"/>
  <c r="CS67" i="5"/>
  <c r="CQ67" i="5"/>
  <c r="CU64" i="5"/>
  <c r="CT64" i="5"/>
  <c r="CS64" i="5"/>
  <c r="CQ64" i="5"/>
  <c r="BM64" i="5"/>
  <c r="BK64" i="5"/>
  <c r="CW57" i="5"/>
  <c r="BM57" i="5"/>
  <c r="BK57" i="5"/>
  <c r="BI57" i="5"/>
  <c r="BM53" i="5"/>
  <c r="CU53" i="5"/>
  <c r="CT53" i="5"/>
  <c r="CS53" i="5"/>
  <c r="CQ53" i="5"/>
  <c r="BM52" i="5"/>
  <c r="CU52" i="5"/>
  <c r="CT52" i="5"/>
  <c r="CS52" i="5"/>
  <c r="CQ52" i="5"/>
  <c r="CW51" i="5"/>
  <c r="BM51" i="5"/>
  <c r="BK51" i="5"/>
  <c r="BI51" i="5"/>
  <c r="BM45" i="5"/>
  <c r="CW45" i="5"/>
  <c r="CU45" i="5"/>
  <c r="CT45" i="5"/>
  <c r="CS45" i="5"/>
  <c r="CQ45" i="5"/>
  <c r="AZ88" i="3" l="1"/>
  <c r="AZ77" i="3" s="1"/>
  <c r="AZ64" i="3" s="1"/>
  <c r="AM66" i="3"/>
  <c r="AR35" i="1" s="1"/>
  <c r="AM65" i="3"/>
  <c r="BB58" i="5"/>
  <c r="AO62" i="5"/>
  <c r="AV62" i="5" s="1"/>
  <c r="AW62" i="5"/>
  <c r="BB62" i="5" s="1"/>
  <c r="AW43" i="5"/>
  <c r="BB43" i="5" s="1"/>
  <c r="CR59" i="5"/>
  <c r="AO59" i="5"/>
  <c r="AV59" i="5" s="1"/>
  <c r="AO58" i="5"/>
  <c r="AV58" i="5" s="1"/>
  <c r="CR43" i="5"/>
  <c r="AO43" i="5"/>
  <c r="AN39" i="5"/>
  <c r="BI62" i="5"/>
  <c r="CR62" i="5"/>
  <c r="CW62" i="5"/>
  <c r="P62" i="5"/>
  <c r="BK62" i="5"/>
  <c r="AM39" i="5"/>
  <c r="P59" i="5"/>
  <c r="P58" i="5"/>
  <c r="P43" i="5"/>
  <c r="AJ45" i="5"/>
  <c r="AW45" i="5" s="1"/>
  <c r="BB45" i="5" s="1"/>
  <c r="BI45" i="5"/>
  <c r="BI52" i="5"/>
  <c r="AJ53" i="5"/>
  <c r="BK45" i="5"/>
  <c r="CW53" i="5"/>
  <c r="CR58" i="5"/>
  <c r="BK68" i="5"/>
  <c r="P68" i="5"/>
  <c r="BM68" i="5"/>
  <c r="AJ68" i="5"/>
  <c r="AW68" i="5" s="1"/>
  <c r="BB68" i="5" s="1"/>
  <c r="CW64" i="5"/>
  <c r="AJ64" i="5"/>
  <c r="AW64" i="5" s="1"/>
  <c r="BB64" i="5" s="1"/>
  <c r="P64" i="5"/>
  <c r="P70" i="5"/>
  <c r="BM69" i="5"/>
  <c r="CW69" i="5"/>
  <c r="AJ69" i="5"/>
  <c r="P69" i="5"/>
  <c r="BI53" i="5"/>
  <c r="BK53" i="5"/>
  <c r="P53" i="5"/>
  <c r="AD53" i="5" s="1"/>
  <c r="BK52" i="5"/>
  <c r="CW52" i="5"/>
  <c r="AJ52" i="5"/>
  <c r="P52" i="5"/>
  <c r="AD52" i="5" s="1"/>
  <c r="P45" i="5"/>
  <c r="W45" i="5" l="1"/>
  <c r="AD45" i="5"/>
  <c r="W69" i="5"/>
  <c r="AD69" i="5"/>
  <c r="W70" i="5"/>
  <c r="AD70" i="5"/>
  <c r="AO52" i="5"/>
  <c r="AW52" i="5"/>
  <c r="W68" i="5"/>
  <c r="AD68" i="5"/>
  <c r="AO53" i="5"/>
  <c r="AW53" i="5"/>
  <c r="BB53" i="5" s="1"/>
  <c r="BC53" i="5" s="1"/>
  <c r="BC58" i="5"/>
  <c r="BC59" i="5"/>
  <c r="W58" i="5"/>
  <c r="AD58" i="5"/>
  <c r="W62" i="5"/>
  <c r="AD62" i="5"/>
  <c r="AO69" i="5"/>
  <c r="AV69" i="5" s="1"/>
  <c r="AW69" i="5"/>
  <c r="BB69" i="5" s="1"/>
  <c r="W64" i="5"/>
  <c r="AD64" i="5"/>
  <c r="W59" i="5"/>
  <c r="AD59" i="5"/>
  <c r="BC62" i="5"/>
  <c r="W43" i="5"/>
  <c r="AD43" i="5"/>
  <c r="AV43" i="5"/>
  <c r="BC43" i="5"/>
  <c r="CR68" i="5"/>
  <c r="AO68" i="5"/>
  <c r="AV68" i="5" s="1"/>
  <c r="CR64" i="5"/>
  <c r="AO64" i="5"/>
  <c r="AV64" i="5" s="1"/>
  <c r="CR45" i="5"/>
  <c r="AO45" i="5"/>
  <c r="AV45" i="5" s="1"/>
  <c r="AJ51" i="5"/>
  <c r="CR53" i="5"/>
  <c r="AL39" i="5"/>
  <c r="P67" i="5"/>
  <c r="AK39" i="5"/>
  <c r="BM67" i="5"/>
  <c r="CW67" i="5"/>
  <c r="BK67" i="5"/>
  <c r="BI67" i="5"/>
  <c r="AJ67" i="5"/>
  <c r="BI69" i="5"/>
  <c r="BK69" i="5"/>
  <c r="BI70" i="5"/>
  <c r="BM70" i="5"/>
  <c r="BK70" i="5"/>
  <c r="AJ70" i="5"/>
  <c r="CW70" i="5"/>
  <c r="CR69" i="5"/>
  <c r="AO51" i="5"/>
  <c r="CR52" i="5"/>
  <c r="AO70" i="5" l="1"/>
  <c r="AV70" i="5" s="1"/>
  <c r="AW70" i="5"/>
  <c r="BB70" i="5" s="1"/>
  <c r="BC70" i="5" s="1"/>
  <c r="W67" i="5"/>
  <c r="AD67" i="5"/>
  <c r="BC45" i="5"/>
  <c r="BB52" i="5"/>
  <c r="AW51" i="5"/>
  <c r="AO67" i="5"/>
  <c r="AV67" i="5" s="1"/>
  <c r="AW67" i="5"/>
  <c r="BC69" i="5"/>
  <c r="BC68" i="5"/>
  <c r="BC64" i="5"/>
  <c r="AJ57" i="5"/>
  <c r="AO57" i="5"/>
  <c r="CR67" i="5"/>
  <c r="CR70" i="5"/>
  <c r="BC52" i="5" l="1"/>
  <c r="BB51" i="5"/>
  <c r="BB67" i="5"/>
  <c r="AW57" i="5"/>
  <c r="P88" i="3"/>
  <c r="CW88" i="3"/>
  <c r="CU88" i="3"/>
  <c r="CT88" i="3"/>
  <c r="CS88" i="3"/>
  <c r="CQ88" i="3"/>
  <c r="BM88" i="3"/>
  <c r="BK88" i="3"/>
  <c r="BI88" i="3"/>
  <c r="AJ88" i="3"/>
  <c r="AW88" i="3" s="1"/>
  <c r="BB88" i="3" s="1"/>
  <c r="AL79" i="3"/>
  <c r="AY79" i="3" s="1"/>
  <c r="AL80" i="3"/>
  <c r="AY80" i="3" s="1"/>
  <c r="AL78" i="3"/>
  <c r="AY78" i="3" s="1"/>
  <c r="AL72" i="3"/>
  <c r="AY72" i="3" s="1"/>
  <c r="M76" i="3"/>
  <c r="AL70" i="3"/>
  <c r="BB57" i="5" l="1"/>
  <c r="BC67" i="5"/>
  <c r="Z76" i="3"/>
  <c r="AC76" i="3" s="1"/>
  <c r="M69" i="3"/>
  <c r="AY70" i="3"/>
  <c r="AY77" i="3"/>
  <c r="W88" i="3"/>
  <c r="AD88" i="3"/>
  <c r="AL76" i="3"/>
  <c r="CR88" i="3"/>
  <c r="AO88" i="3"/>
  <c r="AV88" i="3" s="1"/>
  <c r="CW44" i="5"/>
  <c r="CW42" i="5" s="1"/>
  <c r="CU44" i="5"/>
  <c r="CT44" i="5"/>
  <c r="CS44" i="5"/>
  <c r="CQ44" i="5"/>
  <c r="BM44" i="5"/>
  <c r="BM42" i="5" s="1"/>
  <c r="BK44" i="5"/>
  <c r="BK42" i="5" s="1"/>
  <c r="BI44" i="5"/>
  <c r="BI42" i="5" s="1"/>
  <c r="AJ44" i="5"/>
  <c r="P44" i="5"/>
  <c r="AW44" i="5" l="1"/>
  <c r="AJ41" i="5"/>
  <c r="AR20" i="1" s="1"/>
  <c r="AJ40" i="5"/>
  <c r="AQ20" i="1" s="1"/>
  <c r="AL67" i="3"/>
  <c r="AL69" i="3"/>
  <c r="Z69" i="3"/>
  <c r="AC69" i="3" s="1"/>
  <c r="P69" i="3"/>
  <c r="W69" i="3" s="1"/>
  <c r="AW42" i="5"/>
  <c r="AW39" i="5" s="1"/>
  <c r="BB44" i="5"/>
  <c r="BB42" i="5" s="1"/>
  <c r="BB39" i="5" s="1"/>
  <c r="W44" i="5"/>
  <c r="AD44" i="5"/>
  <c r="BC88" i="3"/>
  <c r="AY76" i="3"/>
  <c r="AO44" i="5"/>
  <c r="AJ42" i="5"/>
  <c r="AJ39" i="5" s="1"/>
  <c r="AL20" i="1" s="1"/>
  <c r="AL38" i="1"/>
  <c r="AL43" i="1"/>
  <c r="AL26" i="1"/>
  <c r="AL32" i="1"/>
  <c r="CR44" i="5"/>
  <c r="AD69" i="3" l="1"/>
  <c r="AL65" i="3"/>
  <c r="AL66" i="3"/>
  <c r="AR29" i="1" s="1"/>
  <c r="AO38" i="1"/>
  <c r="AP38" i="1" s="1"/>
  <c r="AN38" i="1"/>
  <c r="AO32" i="1"/>
  <c r="AP32" i="1" s="1"/>
  <c r="AN32" i="1"/>
  <c r="AY69" i="3"/>
  <c r="BB69" i="3" s="1"/>
  <c r="AO69" i="3"/>
  <c r="AV69" i="3" s="1"/>
  <c r="AO26" i="1"/>
  <c r="AP26" i="1" s="1"/>
  <c r="AN26" i="1"/>
  <c r="AO20" i="1"/>
  <c r="AP20" i="1" s="1"/>
  <c r="AN20" i="1"/>
  <c r="AV44" i="5"/>
  <c r="BC44" i="5"/>
  <c r="AO43" i="1"/>
  <c r="AP43" i="1" s="1"/>
  <c r="AN43" i="1"/>
  <c r="AO42" i="5"/>
  <c r="AO39" i="5" s="1"/>
  <c r="BC69" i="3" l="1"/>
  <c r="AY67" i="3"/>
  <c r="AY64" i="3" s="1"/>
  <c r="AV39" i="5"/>
  <c r="BC39" i="5"/>
  <c r="AN77" i="33" l="1"/>
  <c r="BA77" i="33" s="1"/>
  <c r="AK77" i="33"/>
  <c r="AX77" i="33" s="1"/>
  <c r="AJ77" i="33"/>
  <c r="AW77" i="33" s="1"/>
  <c r="AM77" i="33"/>
  <c r="AZ77" i="33" s="1"/>
  <c r="AL77" i="33"/>
  <c r="AY77" i="33" s="1"/>
  <c r="P77" i="33"/>
  <c r="AN79" i="33"/>
  <c r="BA79" i="33" s="1"/>
  <c r="AM79" i="33"/>
  <c r="AZ79" i="33" s="1"/>
  <c r="AK79" i="33"/>
  <c r="AX79" i="33" s="1"/>
  <c r="AJ79" i="33"/>
  <c r="AW79" i="33" s="1"/>
  <c r="O78" i="33"/>
  <c r="N78" i="33"/>
  <c r="M78" i="33"/>
  <c r="L78" i="33"/>
  <c r="K78" i="33"/>
  <c r="AN76" i="33"/>
  <c r="BA76" i="33" s="1"/>
  <c r="AM76" i="33"/>
  <c r="AZ76" i="33" s="1"/>
  <c r="AL76" i="33"/>
  <c r="AY76" i="33" s="1"/>
  <c r="AK76" i="33"/>
  <c r="AX76" i="33" s="1"/>
  <c r="AJ76" i="33"/>
  <c r="AW76" i="33" s="1"/>
  <c r="P76" i="33"/>
  <c r="AN75" i="33"/>
  <c r="BA75" i="33" s="1"/>
  <c r="AM75" i="33"/>
  <c r="AZ75" i="33" s="1"/>
  <c r="AL75" i="33"/>
  <c r="AY75" i="33" s="1"/>
  <c r="AK75" i="33"/>
  <c r="AX75" i="33" s="1"/>
  <c r="AJ75" i="33"/>
  <c r="AW75" i="33" s="1"/>
  <c r="P75" i="33"/>
  <c r="AN74" i="33"/>
  <c r="BA74" i="33" s="1"/>
  <c r="AM74" i="33"/>
  <c r="AZ74" i="33" s="1"/>
  <c r="AL74" i="33"/>
  <c r="AY74" i="33" s="1"/>
  <c r="BB74" i="33" s="1"/>
  <c r="AK74" i="33"/>
  <c r="AX74" i="33" s="1"/>
  <c r="AJ74" i="33"/>
  <c r="AW74" i="33" s="1"/>
  <c r="P74" i="33"/>
  <c r="AN73" i="33"/>
  <c r="BA73" i="33" s="1"/>
  <c r="AM73" i="33"/>
  <c r="AZ73" i="33" s="1"/>
  <c r="AL73" i="33"/>
  <c r="AY73" i="33" s="1"/>
  <c r="AK73" i="33"/>
  <c r="AX73" i="33" s="1"/>
  <c r="AJ73" i="33"/>
  <c r="AW73" i="33" s="1"/>
  <c r="BB73" i="33" s="1"/>
  <c r="P73" i="33"/>
  <c r="AN72" i="33"/>
  <c r="BA72" i="33" s="1"/>
  <c r="AM72" i="33"/>
  <c r="AZ72" i="33" s="1"/>
  <c r="AL72" i="33"/>
  <c r="AY72" i="33" s="1"/>
  <c r="AK72" i="33"/>
  <c r="AX72" i="33" s="1"/>
  <c r="AJ72" i="33"/>
  <c r="AW72" i="33" s="1"/>
  <c r="P72" i="33"/>
  <c r="AN71" i="33"/>
  <c r="BA71" i="33" s="1"/>
  <c r="AM71" i="33"/>
  <c r="AZ71" i="33" s="1"/>
  <c r="AL71" i="33"/>
  <c r="AY71" i="33" s="1"/>
  <c r="AK71" i="33"/>
  <c r="AX71" i="33" s="1"/>
  <c r="AJ71" i="33"/>
  <c r="AW71" i="33" s="1"/>
  <c r="BB71" i="33" s="1"/>
  <c r="P71" i="33"/>
  <c r="AN70" i="33"/>
  <c r="BA70" i="33" s="1"/>
  <c r="AM70" i="33"/>
  <c r="AZ70" i="33" s="1"/>
  <c r="AL70" i="33"/>
  <c r="AY70" i="33" s="1"/>
  <c r="BB70" i="33" s="1"/>
  <c r="AK70" i="33"/>
  <c r="AX70" i="33" s="1"/>
  <c r="AJ70" i="33"/>
  <c r="AW70" i="33" s="1"/>
  <c r="P70" i="33"/>
  <c r="CW69" i="33"/>
  <c r="CU69" i="33"/>
  <c r="CT69" i="33"/>
  <c r="CS69" i="33"/>
  <c r="CQ69" i="33"/>
  <c r="BM69" i="33"/>
  <c r="BK69" i="33"/>
  <c r="BI69" i="33"/>
  <c r="AN69" i="33"/>
  <c r="BA69" i="33" s="1"/>
  <c r="AM69" i="33"/>
  <c r="AZ69" i="33" s="1"/>
  <c r="AL69" i="33"/>
  <c r="AY69" i="33" s="1"/>
  <c r="AK69" i="33"/>
  <c r="AX69" i="33" s="1"/>
  <c r="AJ69" i="33"/>
  <c r="P69" i="33"/>
  <c r="AN68" i="33"/>
  <c r="BA68" i="33" s="1"/>
  <c r="AM68" i="33"/>
  <c r="AZ68" i="33" s="1"/>
  <c r="AL68" i="33"/>
  <c r="AY68" i="33" s="1"/>
  <c r="AK68" i="33"/>
  <c r="AX68" i="33" s="1"/>
  <c r="AJ68" i="33"/>
  <c r="AW68" i="33" s="1"/>
  <c r="P68" i="33"/>
  <c r="CU67" i="33"/>
  <c r="CT67" i="33"/>
  <c r="CS67" i="33"/>
  <c r="CQ67" i="33"/>
  <c r="AN67" i="33"/>
  <c r="BA67" i="33" s="1"/>
  <c r="CU66" i="33"/>
  <c r="CT66" i="33"/>
  <c r="CS66" i="33"/>
  <c r="CQ66" i="33"/>
  <c r="AN66" i="33"/>
  <c r="BA66" i="33" s="1"/>
  <c r="CU65" i="33"/>
  <c r="CT65" i="33"/>
  <c r="CS65" i="33"/>
  <c r="CQ65" i="33"/>
  <c r="AN65" i="33"/>
  <c r="BA65" i="33" s="1"/>
  <c r="N66" i="33"/>
  <c r="AA66" i="33" s="1"/>
  <c r="AL65" i="33"/>
  <c r="AY65" i="33" s="1"/>
  <c r="L67" i="33"/>
  <c r="K67" i="33"/>
  <c r="X67" i="33" s="1"/>
  <c r="CW63" i="33"/>
  <c r="CU63" i="33"/>
  <c r="CT63" i="33"/>
  <c r="CS63" i="33"/>
  <c r="CQ63" i="33"/>
  <c r="AN63" i="33"/>
  <c r="BA63" i="33" s="1"/>
  <c r="AM63" i="33"/>
  <c r="AZ63" i="33" s="1"/>
  <c r="AL63" i="33"/>
  <c r="AY63" i="33" s="1"/>
  <c r="P63" i="33"/>
  <c r="AK63" i="33"/>
  <c r="AX63" i="33" s="1"/>
  <c r="BM63" i="33"/>
  <c r="CW62" i="33"/>
  <c r="CU62" i="33"/>
  <c r="CT62" i="33"/>
  <c r="CS62" i="33"/>
  <c r="CQ62" i="33"/>
  <c r="BM62" i="33"/>
  <c r="BK62" i="33"/>
  <c r="BI62" i="33"/>
  <c r="AN62" i="33"/>
  <c r="BA62" i="33" s="1"/>
  <c r="AM62" i="33"/>
  <c r="AZ62" i="33" s="1"/>
  <c r="AL62" i="33"/>
  <c r="AY62" i="33" s="1"/>
  <c r="AK62" i="33"/>
  <c r="AX62" i="33" s="1"/>
  <c r="AJ62" i="33"/>
  <c r="P62" i="33"/>
  <c r="CU61" i="33"/>
  <c r="CT61" i="33"/>
  <c r="CS61" i="33"/>
  <c r="CQ61" i="33"/>
  <c r="AN61" i="33"/>
  <c r="BA61" i="33" s="1"/>
  <c r="AM61" i="33"/>
  <c r="AZ61" i="33" s="1"/>
  <c r="M61" i="33"/>
  <c r="L61" i="33"/>
  <c r="CU60" i="33"/>
  <c r="CT60" i="33"/>
  <c r="CS60" i="33"/>
  <c r="CQ60" i="33"/>
  <c r="AN60" i="33"/>
  <c r="AM60" i="33"/>
  <c r="AL60" i="33"/>
  <c r="AK60" i="33"/>
  <c r="AJ60" i="33"/>
  <c r="K60" i="33"/>
  <c r="CW55" i="33"/>
  <c r="CU55" i="33"/>
  <c r="CT55" i="33"/>
  <c r="CS55" i="33"/>
  <c r="CQ55" i="33"/>
  <c r="BM55" i="33"/>
  <c r="BK55" i="33"/>
  <c r="BI55" i="33"/>
  <c r="AN55" i="33"/>
  <c r="BA55" i="33" s="1"/>
  <c r="AM55" i="33"/>
  <c r="AZ55" i="33" s="1"/>
  <c r="AL55" i="33"/>
  <c r="AY55" i="33" s="1"/>
  <c r="AK55" i="33"/>
  <c r="AX55" i="33" s="1"/>
  <c r="AJ55" i="33"/>
  <c r="P55" i="33"/>
  <c r="CW54" i="33"/>
  <c r="CU54" i="33"/>
  <c r="CT54" i="33"/>
  <c r="CS54" i="33"/>
  <c r="CQ54" i="33"/>
  <c r="BM54" i="33"/>
  <c r="BK54" i="33"/>
  <c r="BI54" i="33"/>
  <c r="AN54" i="33"/>
  <c r="BA54" i="33" s="1"/>
  <c r="AM54" i="33"/>
  <c r="AZ54" i="33" s="1"/>
  <c r="AL54" i="33"/>
  <c r="AY54" i="33" s="1"/>
  <c r="AK54" i="33"/>
  <c r="AX54" i="33" s="1"/>
  <c r="AJ54" i="33"/>
  <c r="P54" i="33"/>
  <c r="CW53" i="33"/>
  <c r="CU53" i="33"/>
  <c r="CT53" i="33"/>
  <c r="CS53" i="33"/>
  <c r="CQ53" i="33"/>
  <c r="BM53" i="33"/>
  <c r="BK53" i="33"/>
  <c r="BI53" i="33"/>
  <c r="AN53" i="33"/>
  <c r="BA53" i="33" s="1"/>
  <c r="AM53" i="33"/>
  <c r="AZ53" i="33" s="1"/>
  <c r="AL53" i="33"/>
  <c r="AY53" i="33" s="1"/>
  <c r="AK53" i="33"/>
  <c r="AX53" i="33" s="1"/>
  <c r="AJ53" i="33"/>
  <c r="P53" i="33"/>
  <c r="CW52" i="33"/>
  <c r="CU52" i="33"/>
  <c r="CT52" i="33"/>
  <c r="CS52" i="33"/>
  <c r="CQ52" i="33"/>
  <c r="BM52" i="33"/>
  <c r="BK52" i="33"/>
  <c r="BI52" i="33"/>
  <c r="AN52" i="33"/>
  <c r="BA52" i="33" s="1"/>
  <c r="AM52" i="33"/>
  <c r="AZ52" i="33" s="1"/>
  <c r="AL52" i="33"/>
  <c r="AY52" i="33" s="1"/>
  <c r="AK52" i="33"/>
  <c r="AX52" i="33" s="1"/>
  <c r="AJ52" i="33"/>
  <c r="AW52" i="33" s="1"/>
  <c r="P52" i="33"/>
  <c r="CW51" i="33"/>
  <c r="BI51" i="33"/>
  <c r="AN51" i="33"/>
  <c r="BA51" i="33" s="1"/>
  <c r="AM51" i="33"/>
  <c r="AZ51" i="33" s="1"/>
  <c r="AL51" i="33"/>
  <c r="AY51" i="33" s="1"/>
  <c r="AK51" i="33"/>
  <c r="AX51" i="33" s="1"/>
  <c r="AJ51" i="33"/>
  <c r="AW51" i="33" s="1"/>
  <c r="P51" i="33"/>
  <c r="CW50" i="33"/>
  <c r="BI50" i="33"/>
  <c r="AN50" i="33"/>
  <c r="BA50" i="33" s="1"/>
  <c r="AM50" i="33"/>
  <c r="AZ50" i="33" s="1"/>
  <c r="AL50" i="33"/>
  <c r="AY50" i="33" s="1"/>
  <c r="AK50" i="33"/>
  <c r="AX50" i="33" s="1"/>
  <c r="AJ50" i="33"/>
  <c r="AW50" i="33" s="1"/>
  <c r="P50" i="33"/>
  <c r="CW49" i="33"/>
  <c r="BI49" i="33"/>
  <c r="AN49" i="33"/>
  <c r="BA49" i="33" s="1"/>
  <c r="AM49" i="33"/>
  <c r="AZ49" i="33" s="1"/>
  <c r="AL49" i="33"/>
  <c r="AY49" i="33" s="1"/>
  <c r="AK49" i="33"/>
  <c r="AX49" i="33" s="1"/>
  <c r="AJ49" i="33"/>
  <c r="AW49" i="33" s="1"/>
  <c r="P49" i="33"/>
  <c r="CW48" i="33"/>
  <c r="BI48" i="33"/>
  <c r="AN48" i="33"/>
  <c r="BA48" i="33" s="1"/>
  <c r="AM48" i="33"/>
  <c r="AZ48" i="33" s="1"/>
  <c r="AL48" i="33"/>
  <c r="AY48" i="33" s="1"/>
  <c r="AK48" i="33"/>
  <c r="AX48" i="33" s="1"/>
  <c r="AJ48" i="33"/>
  <c r="AW48" i="33" s="1"/>
  <c r="P48" i="33"/>
  <c r="CW47" i="33"/>
  <c r="BI47" i="33"/>
  <c r="AN47" i="33"/>
  <c r="BA47" i="33" s="1"/>
  <c r="AM47" i="33"/>
  <c r="AZ47" i="33" s="1"/>
  <c r="AL47" i="33"/>
  <c r="AY47" i="33" s="1"/>
  <c r="AK47" i="33"/>
  <c r="AX47" i="33" s="1"/>
  <c r="AJ47" i="33"/>
  <c r="AW47" i="33" s="1"/>
  <c r="P47" i="33"/>
  <c r="CW46" i="33"/>
  <c r="BI46" i="33"/>
  <c r="AN46" i="33"/>
  <c r="BA46" i="33" s="1"/>
  <c r="AM46" i="33"/>
  <c r="AZ46" i="33" s="1"/>
  <c r="AL46" i="33"/>
  <c r="AY46" i="33" s="1"/>
  <c r="AK46" i="33"/>
  <c r="AX46" i="33" s="1"/>
  <c r="AJ46" i="33"/>
  <c r="AW46" i="33" s="1"/>
  <c r="P46" i="33"/>
  <c r="CW45" i="33"/>
  <c r="BI45" i="33"/>
  <c r="AN45" i="33"/>
  <c r="BA45" i="33" s="1"/>
  <c r="AM45" i="33"/>
  <c r="AZ45" i="33" s="1"/>
  <c r="AL45" i="33"/>
  <c r="AY45" i="33" s="1"/>
  <c r="AK45" i="33"/>
  <c r="AX45" i="33" s="1"/>
  <c r="AJ45" i="33"/>
  <c r="AW45" i="33" s="1"/>
  <c r="P45" i="33"/>
  <c r="CW44" i="33"/>
  <c r="BI44" i="33"/>
  <c r="AN44" i="33"/>
  <c r="BA44" i="33" s="1"/>
  <c r="AM44" i="33"/>
  <c r="AZ44" i="33" s="1"/>
  <c r="AL44" i="33"/>
  <c r="AY44" i="33" s="1"/>
  <c r="AK44" i="33"/>
  <c r="AX44" i="33" s="1"/>
  <c r="AJ44" i="33"/>
  <c r="AW44" i="33" s="1"/>
  <c r="P44" i="33"/>
  <c r="CW43" i="33"/>
  <c r="BI43" i="33"/>
  <c r="AN43" i="33"/>
  <c r="BA43" i="33" s="1"/>
  <c r="AM43" i="33"/>
  <c r="AZ43" i="33" s="1"/>
  <c r="AL43" i="33"/>
  <c r="AY43" i="33" s="1"/>
  <c r="AK43" i="33"/>
  <c r="AX43" i="33" s="1"/>
  <c r="AJ43" i="33"/>
  <c r="AW43" i="33" s="1"/>
  <c r="P43" i="33"/>
  <c r="CW42" i="33"/>
  <c r="BI42" i="33"/>
  <c r="AN42" i="33"/>
  <c r="BA42" i="33" s="1"/>
  <c r="AM42" i="33"/>
  <c r="AZ42" i="33" s="1"/>
  <c r="AL42" i="33"/>
  <c r="AY42" i="33" s="1"/>
  <c r="AK42" i="33"/>
  <c r="AX42" i="33" s="1"/>
  <c r="AJ42" i="33"/>
  <c r="AW42" i="33" s="1"/>
  <c r="P42" i="33"/>
  <c r="CW41" i="33"/>
  <c r="CU41" i="33"/>
  <c r="CT41" i="33"/>
  <c r="CS41" i="33"/>
  <c r="CQ41" i="33"/>
  <c r="BM41" i="33"/>
  <c r="BK41" i="33"/>
  <c r="BI41" i="33"/>
  <c r="AN41" i="33"/>
  <c r="BA41" i="33" s="1"/>
  <c r="AM41" i="33"/>
  <c r="AZ41" i="33" s="1"/>
  <c r="AL41" i="33"/>
  <c r="AY41" i="33" s="1"/>
  <c r="AK41" i="33"/>
  <c r="AX41" i="33" s="1"/>
  <c r="AJ41" i="33"/>
  <c r="P41" i="33"/>
  <c r="CW40" i="33"/>
  <c r="CU40" i="33"/>
  <c r="CT40" i="33"/>
  <c r="CS40" i="33"/>
  <c r="CQ40" i="33"/>
  <c r="BM40" i="33"/>
  <c r="BK40" i="33"/>
  <c r="BI40" i="33"/>
  <c r="AN40" i="33"/>
  <c r="BA40" i="33" s="1"/>
  <c r="AM40" i="33"/>
  <c r="AZ40" i="33" s="1"/>
  <c r="AL40" i="33"/>
  <c r="AY40" i="33" s="1"/>
  <c r="AK40" i="33"/>
  <c r="AX40" i="33" s="1"/>
  <c r="AJ40" i="33"/>
  <c r="P40" i="33"/>
  <c r="CW39" i="33"/>
  <c r="BI39" i="33"/>
  <c r="AN39" i="33"/>
  <c r="BA39" i="33" s="1"/>
  <c r="AM39" i="33"/>
  <c r="AZ39" i="33" s="1"/>
  <c r="AL39" i="33"/>
  <c r="AY39" i="33" s="1"/>
  <c r="AK39" i="33"/>
  <c r="AX39" i="33" s="1"/>
  <c r="AJ39" i="33"/>
  <c r="AW39" i="33" s="1"/>
  <c r="P39" i="33"/>
  <c r="CW38" i="33"/>
  <c r="CU38" i="33"/>
  <c r="CT38" i="33"/>
  <c r="CS38" i="33"/>
  <c r="CQ38" i="33"/>
  <c r="BM38" i="33"/>
  <c r="BK38" i="33"/>
  <c r="BI38" i="33"/>
  <c r="AN38" i="33"/>
  <c r="BA38" i="33" s="1"/>
  <c r="AM38" i="33"/>
  <c r="AZ38" i="33" s="1"/>
  <c r="AL38" i="33"/>
  <c r="AY38" i="33" s="1"/>
  <c r="AK38" i="33"/>
  <c r="AX38" i="33" s="1"/>
  <c r="AJ38" i="33"/>
  <c r="AW38" i="33" s="1"/>
  <c r="P38" i="33"/>
  <c r="CW37" i="33"/>
  <c r="CU37" i="33"/>
  <c r="CT37" i="33"/>
  <c r="CS37" i="33"/>
  <c r="CQ37" i="33"/>
  <c r="BM37" i="33"/>
  <c r="BK37" i="33"/>
  <c r="BI37" i="33"/>
  <c r="AN37" i="33"/>
  <c r="BA37" i="33" s="1"/>
  <c r="AM37" i="33"/>
  <c r="AZ37" i="33" s="1"/>
  <c r="AL37" i="33"/>
  <c r="AY37" i="33" s="1"/>
  <c r="AK37" i="33"/>
  <c r="AX37" i="33" s="1"/>
  <c r="AJ37" i="33"/>
  <c r="AW37" i="33" s="1"/>
  <c r="P37" i="33"/>
  <c r="CW36" i="33"/>
  <c r="CU36" i="33"/>
  <c r="CT36" i="33"/>
  <c r="CS36" i="33"/>
  <c r="CQ36" i="33"/>
  <c r="BM36" i="33"/>
  <c r="BK36" i="33"/>
  <c r="BI36" i="33"/>
  <c r="AN36" i="33"/>
  <c r="BA36" i="33" s="1"/>
  <c r="AM36" i="33"/>
  <c r="AZ36" i="33" s="1"/>
  <c r="AL36" i="33"/>
  <c r="AY36" i="33" s="1"/>
  <c r="AK36" i="33"/>
  <c r="AX36" i="33" s="1"/>
  <c r="AJ36" i="33"/>
  <c r="AW36" i="33" s="1"/>
  <c r="P36" i="33"/>
  <c r="CW35" i="33"/>
  <c r="CU35" i="33"/>
  <c r="CT35" i="33"/>
  <c r="CS35" i="33"/>
  <c r="CQ35" i="33"/>
  <c r="BM35" i="33"/>
  <c r="BK35" i="33"/>
  <c r="BI35" i="33"/>
  <c r="AN35" i="33"/>
  <c r="BA35" i="33" s="1"/>
  <c r="AM35" i="33"/>
  <c r="AZ35" i="33" s="1"/>
  <c r="AL35" i="33"/>
  <c r="AY35" i="33" s="1"/>
  <c r="AK35" i="33"/>
  <c r="AX35" i="33" s="1"/>
  <c r="AJ35" i="33"/>
  <c r="AW35" i="33" s="1"/>
  <c r="P35" i="33"/>
  <c r="BK34" i="33"/>
  <c r="CW33" i="33"/>
  <c r="CU33" i="33"/>
  <c r="CT33" i="33"/>
  <c r="CS33" i="33"/>
  <c r="CQ33" i="33"/>
  <c r="BM33" i="33"/>
  <c r="BK33" i="33"/>
  <c r="BI33" i="33"/>
  <c r="AN33" i="33"/>
  <c r="BA33" i="33" s="1"/>
  <c r="AM33" i="33"/>
  <c r="AZ33" i="33" s="1"/>
  <c r="AL33" i="33"/>
  <c r="AY33" i="33" s="1"/>
  <c r="AK33" i="33"/>
  <c r="AX33" i="33" s="1"/>
  <c r="AJ33" i="33"/>
  <c r="P33" i="33"/>
  <c r="CW32" i="33"/>
  <c r="CU32" i="33"/>
  <c r="CT32" i="33"/>
  <c r="CS32" i="33"/>
  <c r="CQ32" i="33"/>
  <c r="BM32" i="33"/>
  <c r="BK32" i="33"/>
  <c r="BI32" i="33"/>
  <c r="AN32" i="33"/>
  <c r="BA32" i="33" s="1"/>
  <c r="AM32" i="33"/>
  <c r="AZ32" i="33" s="1"/>
  <c r="AL32" i="33"/>
  <c r="AY32" i="33" s="1"/>
  <c r="AK32" i="33"/>
  <c r="AX32" i="33" s="1"/>
  <c r="AJ32" i="33"/>
  <c r="P32" i="33"/>
  <c r="CW31" i="33"/>
  <c r="CU31" i="33"/>
  <c r="CT31" i="33"/>
  <c r="CS31" i="33"/>
  <c r="CQ31" i="33"/>
  <c r="BM31" i="33"/>
  <c r="BK31" i="33"/>
  <c r="BK30" i="33" s="1"/>
  <c r="BK29" i="33" s="1"/>
  <c r="BI31" i="33"/>
  <c r="AN31" i="33"/>
  <c r="BA31" i="33" s="1"/>
  <c r="AM31" i="33"/>
  <c r="AZ31" i="33" s="1"/>
  <c r="AL31" i="33"/>
  <c r="AY31" i="33" s="1"/>
  <c r="AK31" i="33"/>
  <c r="AX31" i="33" s="1"/>
  <c r="AJ31" i="33"/>
  <c r="P31" i="33"/>
  <c r="BM30" i="33"/>
  <c r="CW28" i="33"/>
  <c r="CU28" i="33"/>
  <c r="CT28" i="33"/>
  <c r="CS28" i="33"/>
  <c r="CQ28" i="33"/>
  <c r="BM28" i="33"/>
  <c r="BK28" i="33"/>
  <c r="BI28" i="33"/>
  <c r="AN28" i="33"/>
  <c r="BA28" i="33" s="1"/>
  <c r="AM28" i="33"/>
  <c r="AZ28" i="33" s="1"/>
  <c r="AL28" i="33"/>
  <c r="AY28" i="33" s="1"/>
  <c r="AK28" i="33"/>
  <c r="AX28" i="33" s="1"/>
  <c r="AJ28" i="33"/>
  <c r="P28" i="33"/>
  <c r="CW27" i="33"/>
  <c r="CU27" i="33"/>
  <c r="CT27" i="33"/>
  <c r="CS27" i="33"/>
  <c r="CQ27" i="33"/>
  <c r="BM27" i="33"/>
  <c r="BK27" i="33"/>
  <c r="BI27" i="33"/>
  <c r="AN27" i="33"/>
  <c r="BA27" i="33" s="1"/>
  <c r="AM27" i="33"/>
  <c r="AZ27" i="33" s="1"/>
  <c r="AL27" i="33"/>
  <c r="AY27" i="33" s="1"/>
  <c r="AK27" i="33"/>
  <c r="AX27" i="33" s="1"/>
  <c r="AJ27" i="33"/>
  <c r="P27" i="33"/>
  <c r="CW26" i="33"/>
  <c r="CU26" i="33"/>
  <c r="CT26" i="33"/>
  <c r="CS26" i="33"/>
  <c r="CQ26" i="33"/>
  <c r="BM26" i="33"/>
  <c r="BK26" i="33"/>
  <c r="BI26" i="33"/>
  <c r="AN26" i="33"/>
  <c r="BA26" i="33" s="1"/>
  <c r="AM26" i="33"/>
  <c r="AZ26" i="33" s="1"/>
  <c r="AL26" i="33"/>
  <c r="AY26" i="33" s="1"/>
  <c r="AK26" i="33"/>
  <c r="AX26" i="33" s="1"/>
  <c r="AJ26" i="33"/>
  <c r="P26" i="33"/>
  <c r="CW25" i="33"/>
  <c r="CU25" i="33"/>
  <c r="CT25" i="33"/>
  <c r="CS25" i="33"/>
  <c r="CQ25" i="33"/>
  <c r="BM25" i="33"/>
  <c r="BK25" i="33"/>
  <c r="BI25" i="33"/>
  <c r="AN25" i="33"/>
  <c r="BA25" i="33" s="1"/>
  <c r="AM25" i="33"/>
  <c r="AZ25" i="33" s="1"/>
  <c r="AL25" i="33"/>
  <c r="AY25" i="33" s="1"/>
  <c r="AK25" i="33"/>
  <c r="AX25" i="33" s="1"/>
  <c r="AJ25" i="33"/>
  <c r="P25" i="33"/>
  <c r="CW24" i="33"/>
  <c r="CU24" i="33"/>
  <c r="CT24" i="33"/>
  <c r="CS24" i="33"/>
  <c r="CQ24" i="33"/>
  <c r="BM24" i="33"/>
  <c r="BK24" i="33"/>
  <c r="BI24" i="33"/>
  <c r="AN24" i="33"/>
  <c r="BA24" i="33" s="1"/>
  <c r="AM24" i="33"/>
  <c r="AZ24" i="33" s="1"/>
  <c r="AL24" i="33"/>
  <c r="AY24" i="33" s="1"/>
  <c r="AK24" i="33"/>
  <c r="AX24" i="33" s="1"/>
  <c r="AJ24" i="33"/>
  <c r="P24" i="33"/>
  <c r="CW23" i="33"/>
  <c r="CU23" i="33"/>
  <c r="CT23" i="33"/>
  <c r="CS23" i="33"/>
  <c r="CQ23" i="33"/>
  <c r="BM23" i="33"/>
  <c r="BK23" i="33"/>
  <c r="BI23" i="33"/>
  <c r="AN23" i="33"/>
  <c r="BA23" i="33" s="1"/>
  <c r="AM23" i="33"/>
  <c r="AZ23" i="33" s="1"/>
  <c r="AL23" i="33"/>
  <c r="AY23" i="33" s="1"/>
  <c r="AK23" i="33"/>
  <c r="AX23" i="33" s="1"/>
  <c r="AJ23" i="33"/>
  <c r="P23" i="33"/>
  <c r="CW22" i="33"/>
  <c r="CU22" i="33"/>
  <c r="CT22" i="33"/>
  <c r="CS22" i="33"/>
  <c r="CQ22" i="33"/>
  <c r="BM22" i="33"/>
  <c r="BK22" i="33"/>
  <c r="BI22" i="33"/>
  <c r="AN22" i="33"/>
  <c r="BA22" i="33" s="1"/>
  <c r="AM22" i="33"/>
  <c r="AZ22" i="33" s="1"/>
  <c r="AL22" i="33"/>
  <c r="AY22" i="33" s="1"/>
  <c r="AK22" i="33"/>
  <c r="AX22" i="33" s="1"/>
  <c r="AJ22" i="33"/>
  <c r="P22" i="33"/>
  <c r="CW21" i="33"/>
  <c r="CU21" i="33"/>
  <c r="CT21" i="33"/>
  <c r="CS21" i="33"/>
  <c r="CQ21" i="33"/>
  <c r="BM21" i="33"/>
  <c r="BK21" i="33"/>
  <c r="BI21" i="33"/>
  <c r="AN21" i="33"/>
  <c r="BA21" i="33" s="1"/>
  <c r="AM21" i="33"/>
  <c r="AZ21" i="33" s="1"/>
  <c r="AL21" i="33"/>
  <c r="AY21" i="33" s="1"/>
  <c r="AK21" i="33"/>
  <c r="AX21" i="33" s="1"/>
  <c r="AJ21" i="33"/>
  <c r="P21" i="33"/>
  <c r="W113" i="32"/>
  <c r="U113" i="32"/>
  <c r="S113" i="32"/>
  <c r="M113" i="32"/>
  <c r="W112" i="32"/>
  <c r="U112" i="32"/>
  <c r="S112" i="32"/>
  <c r="M112" i="32"/>
  <c r="W111" i="32"/>
  <c r="U111" i="32"/>
  <c r="S111" i="32"/>
  <c r="M111" i="32"/>
  <c r="W110" i="32"/>
  <c r="U110" i="32"/>
  <c r="S110" i="32"/>
  <c r="M110" i="32"/>
  <c r="W108" i="32"/>
  <c r="U108" i="32"/>
  <c r="S108" i="32"/>
  <c r="M108" i="32"/>
  <c r="U107" i="32"/>
  <c r="M107" i="32"/>
  <c r="K109" i="32" s="1"/>
  <c r="K107" i="32"/>
  <c r="W107" i="32" s="1"/>
  <c r="W106" i="32"/>
  <c r="U106" i="32"/>
  <c r="S106" i="32"/>
  <c r="M106" i="32"/>
  <c r="W105" i="32"/>
  <c r="U105" i="32"/>
  <c r="S105" i="32"/>
  <c r="M105" i="32"/>
  <c r="W102" i="32"/>
  <c r="U102" i="32"/>
  <c r="S102" i="32"/>
  <c r="M102" i="32"/>
  <c r="W101" i="32"/>
  <c r="U101" i="32"/>
  <c r="S101" i="32"/>
  <c r="M101" i="32"/>
  <c r="W100" i="32"/>
  <c r="U100" i="32"/>
  <c r="S100" i="32"/>
  <c r="M100" i="32"/>
  <c r="W99" i="32"/>
  <c r="U99" i="32"/>
  <c r="S99" i="32"/>
  <c r="M99" i="32"/>
  <c r="W98" i="32"/>
  <c r="U98" i="32"/>
  <c r="S98" i="32"/>
  <c r="M98" i="32"/>
  <c r="W97" i="32"/>
  <c r="U97" i="32"/>
  <c r="S97" i="32"/>
  <c r="M97" i="32"/>
  <c r="W96" i="32"/>
  <c r="U96" i="32"/>
  <c r="S96" i="32"/>
  <c r="M96" i="32"/>
  <c r="M95" i="32"/>
  <c r="M94" i="32"/>
  <c r="M93" i="32"/>
  <c r="M92" i="32"/>
  <c r="M91" i="32"/>
  <c r="M90" i="32"/>
  <c r="M89" i="32"/>
  <c r="M88" i="32"/>
  <c r="M87" i="32"/>
  <c r="M86" i="32"/>
  <c r="M85" i="32"/>
  <c r="M84" i="32"/>
  <c r="M83" i="32"/>
  <c r="W82" i="32"/>
  <c r="U82" i="32"/>
  <c r="S82" i="32"/>
  <c r="M82" i="32"/>
  <c r="M79" i="32"/>
  <c r="M78" i="32"/>
  <c r="M77" i="32"/>
  <c r="M76" i="32"/>
  <c r="W75" i="32"/>
  <c r="U75" i="32"/>
  <c r="S75" i="32"/>
  <c r="M75" i="32"/>
  <c r="W74" i="32"/>
  <c r="U74" i="32"/>
  <c r="S74" i="32"/>
  <c r="M74" i="32"/>
  <c r="W73" i="32"/>
  <c r="U73" i="32"/>
  <c r="S73" i="32"/>
  <c r="M73" i="32"/>
  <c r="K80" i="32" s="1"/>
  <c r="W70" i="32"/>
  <c r="U70" i="32"/>
  <c r="S70" i="32"/>
  <c r="M70" i="32"/>
  <c r="W69" i="32"/>
  <c r="U69" i="32"/>
  <c r="S69" i="32"/>
  <c r="M69" i="32"/>
  <c r="W68" i="32"/>
  <c r="U68" i="32"/>
  <c r="S68" i="32"/>
  <c r="M68" i="32"/>
  <c r="W67" i="32"/>
  <c r="U67" i="32"/>
  <c r="S67" i="32"/>
  <c r="M67" i="32"/>
  <c r="W66" i="32"/>
  <c r="U66" i="32"/>
  <c r="S66" i="32"/>
  <c r="M66" i="32"/>
  <c r="W65" i="32"/>
  <c r="U65" i="32"/>
  <c r="S65" i="32"/>
  <c r="M65" i="32"/>
  <c r="W64" i="32"/>
  <c r="U64" i="32"/>
  <c r="S64" i="32"/>
  <c r="M64" i="32"/>
  <c r="W62" i="32"/>
  <c r="U62" i="32"/>
  <c r="S62" i="32"/>
  <c r="M62" i="32"/>
  <c r="W61" i="32"/>
  <c r="U61" i="32"/>
  <c r="S61" i="32"/>
  <c r="M61" i="32"/>
  <c r="W60" i="32"/>
  <c r="U60" i="32"/>
  <c r="S60" i="32"/>
  <c r="M60" i="32"/>
  <c r="W59" i="32"/>
  <c r="U59" i="32"/>
  <c r="S59" i="32"/>
  <c r="M59" i="32"/>
  <c r="W58" i="32"/>
  <c r="U58" i="32"/>
  <c r="S58" i="32"/>
  <c r="M58" i="32"/>
  <c r="W57" i="32"/>
  <c r="U57" i="32"/>
  <c r="S57" i="32"/>
  <c r="M57" i="32"/>
  <c r="W56" i="32"/>
  <c r="U56" i="32"/>
  <c r="S56" i="32"/>
  <c r="M56" i="32"/>
  <c r="W55" i="32"/>
  <c r="U55" i="32"/>
  <c r="S55" i="32"/>
  <c r="M55" i="32"/>
  <c r="W54" i="32"/>
  <c r="U54" i="32"/>
  <c r="S54" i="32"/>
  <c r="M54" i="32"/>
  <c r="W53" i="32"/>
  <c r="U53" i="32"/>
  <c r="S53" i="32"/>
  <c r="M53" i="32"/>
  <c r="W52" i="32"/>
  <c r="U52" i="32"/>
  <c r="S52" i="32"/>
  <c r="M52" i="32"/>
  <c r="W51" i="32"/>
  <c r="U51" i="32"/>
  <c r="S51" i="32"/>
  <c r="M51" i="32"/>
  <c r="W50" i="32"/>
  <c r="U50" i="32"/>
  <c r="S50" i="32"/>
  <c r="M50" i="32"/>
  <c r="W49" i="32"/>
  <c r="U49" i="32"/>
  <c r="S49" i="32"/>
  <c r="M49" i="32"/>
  <c r="W48" i="32"/>
  <c r="U48" i="32"/>
  <c r="S48" i="32"/>
  <c r="M48" i="32"/>
  <c r="W47" i="32"/>
  <c r="U47" i="32"/>
  <c r="S47" i="32"/>
  <c r="M47" i="32"/>
  <c r="W46" i="32"/>
  <c r="U46" i="32"/>
  <c r="S46" i="32"/>
  <c r="M46" i="32"/>
  <c r="W45" i="32"/>
  <c r="U45" i="32"/>
  <c r="S45" i="32"/>
  <c r="M45" i="32"/>
  <c r="W44" i="32"/>
  <c r="U44" i="32"/>
  <c r="S44" i="32"/>
  <c r="M44" i="32"/>
  <c r="W43" i="32"/>
  <c r="U43" i="32"/>
  <c r="S43" i="32"/>
  <c r="M43" i="32"/>
  <c r="W42" i="32"/>
  <c r="U42" i="32"/>
  <c r="S42" i="32"/>
  <c r="M42" i="32"/>
  <c r="W41" i="32"/>
  <c r="U41" i="32"/>
  <c r="S41" i="32"/>
  <c r="M41" i="32"/>
  <c r="W40" i="32"/>
  <c r="U40" i="32"/>
  <c r="S40" i="32"/>
  <c r="M40" i="32"/>
  <c r="W39" i="32"/>
  <c r="U39" i="32"/>
  <c r="S39" i="32"/>
  <c r="M39" i="32"/>
  <c r="W38" i="32"/>
  <c r="U38" i="32"/>
  <c r="S38" i="32"/>
  <c r="M38" i="32"/>
  <c r="W37" i="32"/>
  <c r="U37" i="32"/>
  <c r="S37" i="32"/>
  <c r="M37" i="32"/>
  <c r="W36" i="32"/>
  <c r="U36" i="32"/>
  <c r="S36" i="32"/>
  <c r="M36" i="32"/>
  <c r="W33" i="32"/>
  <c r="U33" i="32"/>
  <c r="S33" i="32"/>
  <c r="M33" i="32"/>
  <c r="W32" i="32"/>
  <c r="U32" i="32"/>
  <c r="S32" i="32"/>
  <c r="M32" i="32"/>
  <c r="W31" i="32"/>
  <c r="U31" i="32"/>
  <c r="S31" i="32"/>
  <c r="M31" i="32"/>
  <c r="W30" i="32"/>
  <c r="U30" i="32"/>
  <c r="S30" i="32"/>
  <c r="M30" i="32"/>
  <c r="W29" i="32"/>
  <c r="U29" i="32"/>
  <c r="S29" i="32"/>
  <c r="M29" i="32"/>
  <c r="W28" i="32"/>
  <c r="U28" i="32"/>
  <c r="S28" i="32"/>
  <c r="M28" i="32"/>
  <c r="W27" i="32"/>
  <c r="U27" i="32"/>
  <c r="S27" i="32"/>
  <c r="M27" i="32"/>
  <c r="K34" i="32" s="1"/>
  <c r="W24" i="32"/>
  <c r="U24" i="32"/>
  <c r="S24" i="32"/>
  <c r="M24" i="32"/>
  <c r="W23" i="32"/>
  <c r="U23" i="32"/>
  <c r="S23" i="32"/>
  <c r="M23" i="32"/>
  <c r="W22" i="32"/>
  <c r="U22" i="32"/>
  <c r="S22" i="32"/>
  <c r="M22" i="32"/>
  <c r="W21" i="32"/>
  <c r="U21" i="32"/>
  <c r="S21" i="32"/>
  <c r="M21" i="32"/>
  <c r="W20" i="32"/>
  <c r="U20" i="32"/>
  <c r="S20" i="32"/>
  <c r="M20" i="32"/>
  <c r="W19" i="32"/>
  <c r="U19" i="32"/>
  <c r="S19" i="32"/>
  <c r="M19" i="32"/>
  <c r="M18" i="32" s="1"/>
  <c r="M17" i="32" s="1"/>
  <c r="W18" i="32"/>
  <c r="U18" i="32"/>
  <c r="S18" i="32"/>
  <c r="S17" i="32" s="1"/>
  <c r="W17" i="32"/>
  <c r="U17" i="32"/>
  <c r="CW60" i="33" l="1"/>
  <c r="X60" i="33"/>
  <c r="AC60" i="33" s="1"/>
  <c r="AY60" i="33"/>
  <c r="AL61" i="33"/>
  <c r="AY61" i="33" s="1"/>
  <c r="Z61" i="33"/>
  <c r="CR62" i="33"/>
  <c r="AW62" i="33"/>
  <c r="BB62" i="33" s="1"/>
  <c r="BB68" i="33"/>
  <c r="BC68" i="33" s="1"/>
  <c r="BA64" i="33"/>
  <c r="BA56" i="33" s="1"/>
  <c r="BB72" i="33"/>
  <c r="BB76" i="33"/>
  <c r="AM78" i="33"/>
  <c r="AZ78" i="33" s="1"/>
  <c r="AA78" i="33"/>
  <c r="S107" i="32"/>
  <c r="AD31" i="33"/>
  <c r="W31" i="33"/>
  <c r="AD33" i="33"/>
  <c r="W33" i="33"/>
  <c r="P60" i="33"/>
  <c r="W60" i="33" s="1"/>
  <c r="AZ60" i="33"/>
  <c r="AZ59" i="33" s="1"/>
  <c r="AK67" i="33"/>
  <c r="AX67" i="33" s="1"/>
  <c r="Y67" i="33"/>
  <c r="AD69" i="33"/>
  <c r="W69" i="33"/>
  <c r="AD71" i="33"/>
  <c r="W71" i="33"/>
  <c r="AD73" i="33"/>
  <c r="W73" i="33"/>
  <c r="AD75" i="33"/>
  <c r="W75" i="33"/>
  <c r="AJ78" i="33"/>
  <c r="AW78" i="33" s="1"/>
  <c r="X78" i="33"/>
  <c r="AN78" i="33"/>
  <c r="BA78" i="33" s="1"/>
  <c r="AB78" i="33"/>
  <c r="BB77" i="33"/>
  <c r="AW60" i="33"/>
  <c r="BA60" i="33"/>
  <c r="BA59" i="33" s="1"/>
  <c r="AY59" i="33"/>
  <c r="CR69" i="33"/>
  <c r="AW69" i="33"/>
  <c r="BB69" i="33" s="1"/>
  <c r="BC69" i="33" s="1"/>
  <c r="BC73" i="33"/>
  <c r="AK78" i="33"/>
  <c r="AX78" i="33" s="1"/>
  <c r="Y78" i="33"/>
  <c r="AD77" i="33"/>
  <c r="W77" i="33"/>
  <c r="AD32" i="33"/>
  <c r="W32" i="33"/>
  <c r="AX60" i="33"/>
  <c r="AK61" i="33"/>
  <c r="AX61" i="33" s="1"/>
  <c r="Y61" i="33"/>
  <c r="W62" i="33"/>
  <c r="AD62" i="33"/>
  <c r="W63" i="33"/>
  <c r="AD63" i="33"/>
  <c r="AD68" i="33"/>
  <c r="W68" i="33"/>
  <c r="AD70" i="33"/>
  <c r="W70" i="33"/>
  <c r="AD72" i="33"/>
  <c r="W72" i="33"/>
  <c r="AD74" i="33"/>
  <c r="W74" i="33"/>
  <c r="BB75" i="33"/>
  <c r="AD76" i="33"/>
  <c r="W76" i="33"/>
  <c r="AL78" i="33"/>
  <c r="AY78" i="33" s="1"/>
  <c r="BB78" i="33" s="1"/>
  <c r="Z78" i="33"/>
  <c r="AY30" i="33"/>
  <c r="BA20" i="33"/>
  <c r="BA19" i="33" s="1"/>
  <c r="BB37" i="33"/>
  <c r="BB38" i="33"/>
  <c r="BB42" i="33"/>
  <c r="BB44" i="33"/>
  <c r="BB46" i="33"/>
  <c r="BB48" i="33"/>
  <c r="BB52" i="33"/>
  <c r="CR23" i="33"/>
  <c r="AW23" i="33"/>
  <c r="BB23" i="33" s="1"/>
  <c r="AD54" i="33"/>
  <c r="W54" i="33"/>
  <c r="AX20" i="33"/>
  <c r="AX19" i="33" s="1"/>
  <c r="AD22" i="33"/>
  <c r="W22" i="33"/>
  <c r="AZ20" i="33"/>
  <c r="AZ19" i="33" s="1"/>
  <c r="AD24" i="33"/>
  <c r="W24" i="33"/>
  <c r="AD26" i="33"/>
  <c r="W26" i="33"/>
  <c r="AD28" i="33"/>
  <c r="W28" i="33"/>
  <c r="CR31" i="33"/>
  <c r="AW31" i="33"/>
  <c r="BB31" i="33" s="1"/>
  <c r="BA30" i="33"/>
  <c r="CR33" i="33"/>
  <c r="AW33" i="33"/>
  <c r="BB33" i="33" s="1"/>
  <c r="BB35" i="33"/>
  <c r="AX34" i="33"/>
  <c r="AD36" i="33"/>
  <c r="W36" i="33"/>
  <c r="AD38" i="33"/>
  <c r="W38" i="33"/>
  <c r="BB39" i="33"/>
  <c r="AD41" i="33"/>
  <c r="W41" i="33"/>
  <c r="BB43" i="33"/>
  <c r="BB47" i="33"/>
  <c r="BB51" i="33"/>
  <c r="CR52" i="33"/>
  <c r="CR54" i="33"/>
  <c r="AW54" i="33"/>
  <c r="CR21" i="33"/>
  <c r="AW21" i="33"/>
  <c r="BB21" i="33" s="1"/>
  <c r="AZ30" i="33"/>
  <c r="CR40" i="33"/>
  <c r="AW40" i="33"/>
  <c r="BB40" i="33" s="1"/>
  <c r="AY20" i="33"/>
  <c r="AY19" i="33" s="1"/>
  <c r="CR22" i="33"/>
  <c r="AW22" i="33"/>
  <c r="BB22" i="33" s="1"/>
  <c r="CR24" i="33"/>
  <c r="AW24" i="33"/>
  <c r="BB24" i="33" s="1"/>
  <c r="CR26" i="33"/>
  <c r="AW26" i="33"/>
  <c r="BB26" i="33" s="1"/>
  <c r="CR28" i="33"/>
  <c r="AW28" i="33"/>
  <c r="BB28" i="33" s="1"/>
  <c r="AX30" i="33"/>
  <c r="AX29" i="33" s="1"/>
  <c r="AX18" i="33" s="1"/>
  <c r="AY34" i="33"/>
  <c r="BB36" i="33"/>
  <c r="BA34" i="33"/>
  <c r="CR41" i="33"/>
  <c r="AW41" i="33"/>
  <c r="BB41" i="33" s="1"/>
  <c r="BB50" i="33"/>
  <c r="AD53" i="33"/>
  <c r="W53" i="33"/>
  <c r="AD55" i="33"/>
  <c r="W55" i="33"/>
  <c r="CR25" i="33"/>
  <c r="AW25" i="33"/>
  <c r="BB25" i="33" s="1"/>
  <c r="CR27" i="33"/>
  <c r="AW27" i="33"/>
  <c r="BB27" i="33" s="1"/>
  <c r="AD21" i="33"/>
  <c r="W21" i="33"/>
  <c r="AD23" i="33"/>
  <c r="W23" i="33"/>
  <c r="AD25" i="33"/>
  <c r="W25" i="33"/>
  <c r="AD27" i="33"/>
  <c r="W27" i="33"/>
  <c r="AY29" i="33"/>
  <c r="CR32" i="33"/>
  <c r="AW32" i="33"/>
  <c r="BB32" i="33" s="1"/>
  <c r="AD35" i="33"/>
  <c r="W35" i="33"/>
  <c r="AZ34" i="33"/>
  <c r="AD37" i="33"/>
  <c r="W37" i="33"/>
  <c r="AD39" i="33"/>
  <c r="W39" i="33"/>
  <c r="AD40" i="33"/>
  <c r="W40" i="33"/>
  <c r="AD42" i="33"/>
  <c r="W42" i="33"/>
  <c r="AD43" i="33"/>
  <c r="W43" i="33"/>
  <c r="AD44" i="33"/>
  <c r="W44" i="33"/>
  <c r="AD45" i="33"/>
  <c r="W45" i="33"/>
  <c r="BB45" i="33"/>
  <c r="AD46" i="33"/>
  <c r="W46" i="33"/>
  <c r="AD47" i="33"/>
  <c r="W47" i="33"/>
  <c r="AD48" i="33"/>
  <c r="W48" i="33"/>
  <c r="AD49" i="33"/>
  <c r="W49" i="33"/>
  <c r="BB49" i="33"/>
  <c r="AD50" i="33"/>
  <c r="W50" i="33"/>
  <c r="AD51" i="33"/>
  <c r="W51" i="33"/>
  <c r="AD52" i="33"/>
  <c r="W52" i="33"/>
  <c r="CR53" i="33"/>
  <c r="AW53" i="33"/>
  <c r="BB53" i="33" s="1"/>
  <c r="CR55" i="33"/>
  <c r="AW55" i="33"/>
  <c r="BB55" i="33" s="1"/>
  <c r="AL59" i="33"/>
  <c r="AN30" i="33"/>
  <c r="BK20" i="33"/>
  <c r="BK19" i="33" s="1"/>
  <c r="BK18" i="33" s="1"/>
  <c r="BM20" i="33"/>
  <c r="BM19" i="33" s="1"/>
  <c r="BK60" i="33"/>
  <c r="BI65" i="33"/>
  <c r="CW30" i="33"/>
  <c r="K61" i="33"/>
  <c r="CW61" i="33" s="1"/>
  <c r="CW59" i="33" s="1"/>
  <c r="AN20" i="33"/>
  <c r="AN19" i="33" s="1"/>
  <c r="AM34" i="33"/>
  <c r="AN59" i="33"/>
  <c r="AJ63" i="33"/>
  <c r="BI63" i="33"/>
  <c r="AJ65" i="33"/>
  <c r="BM65" i="33"/>
  <c r="P78" i="33"/>
  <c r="W78" i="33" s="1"/>
  <c r="AK20" i="33"/>
  <c r="AK19" i="33" s="1"/>
  <c r="AO55" i="33"/>
  <c r="AV55" i="33" s="1"/>
  <c r="BK63" i="33"/>
  <c r="AK65" i="33"/>
  <c r="AX65" i="33" s="1"/>
  <c r="AO73" i="33"/>
  <c r="P79" i="33"/>
  <c r="AO31" i="33"/>
  <c r="AV31" i="33" s="1"/>
  <c r="BM60" i="33"/>
  <c r="CW65" i="33"/>
  <c r="AL79" i="33"/>
  <c r="AO77" i="33"/>
  <c r="AO21" i="33"/>
  <c r="AV21" i="33" s="1"/>
  <c r="BI34" i="33"/>
  <c r="CW34" i="33"/>
  <c r="CW20" i="33"/>
  <c r="CW19" i="33" s="1"/>
  <c r="AM20" i="33"/>
  <c r="AM19" i="33" s="1"/>
  <c r="AO22" i="33"/>
  <c r="AV22" i="33" s="1"/>
  <c r="AO26" i="33"/>
  <c r="AV26" i="33" s="1"/>
  <c r="AJ30" i="33"/>
  <c r="AM30" i="33"/>
  <c r="AO39" i="33"/>
  <c r="AV39" i="33" s="1"/>
  <c r="AO42" i="33"/>
  <c r="AV42" i="33" s="1"/>
  <c r="AO45" i="33"/>
  <c r="AV45" i="33" s="1"/>
  <c r="AO46" i="33"/>
  <c r="AV46" i="33" s="1"/>
  <c r="AO49" i="33"/>
  <c r="AV49" i="33" s="1"/>
  <c r="AO53" i="33"/>
  <c r="AV53" i="33" s="1"/>
  <c r="AO70" i="33"/>
  <c r="BC70" i="33" s="1"/>
  <c r="AO74" i="33"/>
  <c r="BC74" i="33" s="1"/>
  <c r="AL34" i="33"/>
  <c r="AJ20" i="33"/>
  <c r="AJ19" i="33" s="1"/>
  <c r="AO54" i="33"/>
  <c r="AV54" i="33" s="1"/>
  <c r="AO62" i="33"/>
  <c r="AV62" i="33" s="1"/>
  <c r="AO68" i="33"/>
  <c r="AO72" i="33"/>
  <c r="AO76" i="33"/>
  <c r="AO25" i="33"/>
  <c r="AV25" i="33" s="1"/>
  <c r="AK30" i="33"/>
  <c r="AO32" i="33"/>
  <c r="AV32" i="33" s="1"/>
  <c r="AK34" i="33"/>
  <c r="AO43" i="33"/>
  <c r="AV43" i="33" s="1"/>
  <c r="AO44" i="33"/>
  <c r="AV44" i="33" s="1"/>
  <c r="AO47" i="33"/>
  <c r="AV47" i="33" s="1"/>
  <c r="AO48" i="33"/>
  <c r="AV48" i="33" s="1"/>
  <c r="AO52" i="33"/>
  <c r="AV52" i="33" s="1"/>
  <c r="AM59" i="33"/>
  <c r="AO69" i="33"/>
  <c r="AO71" i="33"/>
  <c r="BC71" i="33" s="1"/>
  <c r="AO75" i="33"/>
  <c r="BI30" i="33"/>
  <c r="CR36" i="33"/>
  <c r="AO36" i="33"/>
  <c r="AV36" i="33" s="1"/>
  <c r="CR38" i="33"/>
  <c r="AO38" i="33"/>
  <c r="AV38" i="33" s="1"/>
  <c r="AO50" i="33"/>
  <c r="AM66" i="33"/>
  <c r="AZ66" i="33" s="1"/>
  <c r="N67" i="33"/>
  <c r="AL20" i="33"/>
  <c r="AL19" i="33" s="1"/>
  <c r="AO24" i="33"/>
  <c r="AV24" i="33" s="1"/>
  <c r="AO28" i="33"/>
  <c r="AV28" i="33" s="1"/>
  <c r="AL30" i="33"/>
  <c r="BM34" i="33"/>
  <c r="BM29" i="33" s="1"/>
  <c r="AO51" i="33"/>
  <c r="AV51" i="33" s="1"/>
  <c r="AO60" i="33"/>
  <c r="AV60" i="33" s="1"/>
  <c r="CR60" i="33"/>
  <c r="BM67" i="33"/>
  <c r="AJ67" i="33"/>
  <c r="AW67" i="33" s="1"/>
  <c r="BK67" i="33"/>
  <c r="CW67" i="33"/>
  <c r="BI67" i="33"/>
  <c r="BI20" i="33"/>
  <c r="BI19" i="33" s="1"/>
  <c r="AO23" i="33"/>
  <c r="AV23" i="33" s="1"/>
  <c r="AO27" i="33"/>
  <c r="AV27" i="33" s="1"/>
  <c r="AO33" i="33"/>
  <c r="AV33" i="33" s="1"/>
  <c r="AO35" i="33"/>
  <c r="AV35" i="33" s="1"/>
  <c r="CR35" i="33"/>
  <c r="AJ34" i="33"/>
  <c r="AN34" i="33"/>
  <c r="AO37" i="33"/>
  <c r="AV37" i="33" s="1"/>
  <c r="CR37" i="33"/>
  <c r="AO78" i="33"/>
  <c r="M66" i="33"/>
  <c r="Z66" i="33" s="1"/>
  <c r="AO40" i="33"/>
  <c r="AV40" i="33" s="1"/>
  <c r="AO41" i="33"/>
  <c r="AV41" i="33" s="1"/>
  <c r="BI60" i="33"/>
  <c r="P65" i="33"/>
  <c r="AM65" i="33"/>
  <c r="AZ65" i="33" s="1"/>
  <c r="BK65" i="33"/>
  <c r="K66" i="33"/>
  <c r="X66" i="33" s="1"/>
  <c r="L66" i="33"/>
  <c r="W34" i="32"/>
  <c r="W26" i="32" s="1"/>
  <c r="U34" i="32"/>
  <c r="U26" i="32" s="1"/>
  <c r="S34" i="32"/>
  <c r="S26" i="32" s="1"/>
  <c r="M34" i="32"/>
  <c r="M26" i="32" s="1"/>
  <c r="M80" i="32"/>
  <c r="M72" i="32" s="1"/>
  <c r="W80" i="32"/>
  <c r="U80" i="32"/>
  <c r="S80" i="32"/>
  <c r="W109" i="32"/>
  <c r="U109" i="32"/>
  <c r="S109" i="32"/>
  <c r="M109" i="32"/>
  <c r="M104" i="32" s="1"/>
  <c r="K63" i="32"/>
  <c r="K103" i="32"/>
  <c r="AM67" i="33" l="1"/>
  <c r="AZ67" i="33" s="1"/>
  <c r="AZ64" i="33" s="1"/>
  <c r="AZ56" i="33" s="1"/>
  <c r="AA67" i="33"/>
  <c r="BC78" i="33"/>
  <c r="BB60" i="33"/>
  <c r="AJ61" i="33"/>
  <c r="BI61" i="33"/>
  <c r="AM57" i="33"/>
  <c r="AQ37" i="1" s="1"/>
  <c r="BK61" i="33"/>
  <c r="AK59" i="33"/>
  <c r="CR65" i="33"/>
  <c r="AW65" i="33"/>
  <c r="BC52" i="33"/>
  <c r="AX59" i="33"/>
  <c r="AN57" i="33"/>
  <c r="AQ42" i="1" s="1"/>
  <c r="AC78" i="33"/>
  <c r="AD78" i="33" s="1"/>
  <c r="BC76" i="33"/>
  <c r="AD60" i="33"/>
  <c r="AK66" i="33"/>
  <c r="AK57" i="33" s="1"/>
  <c r="AQ25" i="1" s="1"/>
  <c r="Y66" i="33"/>
  <c r="AC66" i="33" s="1"/>
  <c r="AD66" i="33" s="1"/>
  <c r="BI59" i="33"/>
  <c r="AO79" i="33"/>
  <c r="AY79" i="33"/>
  <c r="BB79" i="33" s="1"/>
  <c r="BC79" i="33" s="1"/>
  <c r="CR63" i="33"/>
  <c r="AW63" i="33"/>
  <c r="BB63" i="33" s="1"/>
  <c r="BM61" i="33"/>
  <c r="X61" i="33"/>
  <c r="AC61" i="33" s="1"/>
  <c r="AD61" i="33" s="1"/>
  <c r="W65" i="33"/>
  <c r="AD65" i="33"/>
  <c r="W79" i="33"/>
  <c r="AD79" i="33"/>
  <c r="P61" i="33"/>
  <c r="W61" i="33" s="1"/>
  <c r="BM18" i="33"/>
  <c r="BI29" i="33"/>
  <c r="AN64" i="33"/>
  <c r="BM59" i="33"/>
  <c r="BC75" i="33"/>
  <c r="AN58" i="33"/>
  <c r="AR42" i="1" s="1"/>
  <c r="BC77" i="33"/>
  <c r="BC72" i="33"/>
  <c r="BC62" i="33"/>
  <c r="BC32" i="33"/>
  <c r="BC41" i="33"/>
  <c r="AZ29" i="33"/>
  <c r="AZ18" i="33" s="1"/>
  <c r="BC55" i="33"/>
  <c r="AW34" i="33"/>
  <c r="BC47" i="33"/>
  <c r="AN29" i="33"/>
  <c r="BC25" i="33"/>
  <c r="BC31" i="33"/>
  <c r="BB30" i="33"/>
  <c r="BC27" i="33"/>
  <c r="BC45" i="33"/>
  <c r="AY18" i="33"/>
  <c r="BC24" i="33"/>
  <c r="BC37" i="33"/>
  <c r="BC51" i="33"/>
  <c r="BC35" i="33"/>
  <c r="BA29" i="33"/>
  <c r="BA18" i="33" s="1"/>
  <c r="BC44" i="33"/>
  <c r="BB54" i="33"/>
  <c r="BC54" i="33" s="1"/>
  <c r="BC26" i="33"/>
  <c r="BC23" i="33"/>
  <c r="BC40" i="33"/>
  <c r="BC43" i="33"/>
  <c r="BC39" i="33"/>
  <c r="BC48" i="33"/>
  <c r="BC38" i="33"/>
  <c r="BC33" i="33"/>
  <c r="AW30" i="33"/>
  <c r="AW29" i="33" s="1"/>
  <c r="BC21" i="33"/>
  <c r="BB20" i="33"/>
  <c r="BB19" i="33" s="1"/>
  <c r="BC42" i="33"/>
  <c r="BC53" i="33"/>
  <c r="BC49" i="33"/>
  <c r="BC36" i="33"/>
  <c r="BC28" i="33"/>
  <c r="BC22" i="33"/>
  <c r="AW20" i="33"/>
  <c r="AW19" i="33" s="1"/>
  <c r="BC46" i="33"/>
  <c r="AN56" i="33"/>
  <c r="AL42" i="1" s="1"/>
  <c r="BK59" i="33"/>
  <c r="AL29" i="33"/>
  <c r="AL18" i="33" s="1"/>
  <c r="AG31" i="1" s="1"/>
  <c r="CW29" i="33"/>
  <c r="AN18" i="33"/>
  <c r="AG42" i="1" s="1"/>
  <c r="AM29" i="33"/>
  <c r="AM18" i="33" s="1"/>
  <c r="AG37" i="1" s="1"/>
  <c r="AO63" i="33"/>
  <c r="AV63" i="33" s="1"/>
  <c r="CW18" i="33"/>
  <c r="AK29" i="33"/>
  <c r="AK18" i="33" s="1"/>
  <c r="AG25" i="1" s="1"/>
  <c r="AJ29" i="33"/>
  <c r="AJ18" i="33" s="1"/>
  <c r="AG19" i="1" s="1"/>
  <c r="AO30" i="33"/>
  <c r="M67" i="33"/>
  <c r="Z67" i="33" s="1"/>
  <c r="AC67" i="33" s="1"/>
  <c r="AL66" i="33"/>
  <c r="AO34" i="33"/>
  <c r="CR67" i="33"/>
  <c r="AO65" i="33"/>
  <c r="BI18" i="33"/>
  <c r="BM66" i="33"/>
  <c r="BM64" i="33" s="1"/>
  <c r="AJ66" i="33"/>
  <c r="AW66" i="33" s="1"/>
  <c r="BI66" i="33"/>
  <c r="BI64" i="33" s="1"/>
  <c r="BK66" i="33"/>
  <c r="BK64" i="33" s="1"/>
  <c r="P66" i="33"/>
  <c r="W66" i="33" s="1"/>
  <c r="CW66" i="33"/>
  <c r="CW64" i="33" s="1"/>
  <c r="AO61" i="33"/>
  <c r="AV61" i="33" s="1"/>
  <c r="AO20" i="33"/>
  <c r="AO19" i="33" s="1"/>
  <c r="U63" i="32"/>
  <c r="U35" i="32" s="1"/>
  <c r="U25" i="32" s="1"/>
  <c r="U16" i="32" s="1"/>
  <c r="W63" i="32"/>
  <c r="W35" i="32" s="1"/>
  <c r="W25" i="32" s="1"/>
  <c r="W16" i="32" s="1"/>
  <c r="S63" i="32"/>
  <c r="S35" i="32" s="1"/>
  <c r="M63" i="32"/>
  <c r="M35" i="32" s="1"/>
  <c r="M25" i="32" s="1"/>
  <c r="M16" i="32" s="1"/>
  <c r="AG53" i="1" s="1"/>
  <c r="S25" i="32"/>
  <c r="S16" i="32" s="1"/>
  <c r="U103" i="32"/>
  <c r="U81" i="32" s="1"/>
  <c r="U72" i="32" s="1"/>
  <c r="S103" i="32"/>
  <c r="S81" i="32" s="1"/>
  <c r="S72" i="32" s="1"/>
  <c r="M103" i="32"/>
  <c r="M81" i="32" s="1"/>
  <c r="M71" i="32" s="1"/>
  <c r="W103" i="32"/>
  <c r="W81" i="32" s="1"/>
  <c r="W72" i="32" s="1"/>
  <c r="AI53" i="1" l="1"/>
  <c r="AJ53" i="1"/>
  <c r="AK53" i="1" s="1"/>
  <c r="BB66" i="33"/>
  <c r="BC63" i="33"/>
  <c r="AW61" i="33"/>
  <c r="AJ57" i="33"/>
  <c r="AQ19" i="1" s="1"/>
  <c r="AJ58" i="33"/>
  <c r="AR19" i="1" s="1"/>
  <c r="AJ59" i="33"/>
  <c r="AM64" i="33"/>
  <c r="AM56" i="33" s="1"/>
  <c r="AL37" i="1" s="1"/>
  <c r="AO37" i="1" s="1"/>
  <c r="AP37" i="1" s="1"/>
  <c r="BB65" i="33"/>
  <c r="AW64" i="33"/>
  <c r="AM58" i="33"/>
  <c r="AR37" i="1" s="1"/>
  <c r="AY66" i="33"/>
  <c r="AK64" i="33"/>
  <c r="AK56" i="33" s="1"/>
  <c r="AL25" i="1" s="1"/>
  <c r="AX66" i="33"/>
  <c r="AX64" i="33" s="1"/>
  <c r="AX56" i="33" s="1"/>
  <c r="AK58" i="33"/>
  <c r="AR25" i="1" s="1"/>
  <c r="BC60" i="33"/>
  <c r="AR53" i="1"/>
  <c r="AL53" i="1"/>
  <c r="CR61" i="33"/>
  <c r="AW18" i="33"/>
  <c r="BB34" i="33"/>
  <c r="BB29" i="33" s="1"/>
  <c r="BB18" i="33" s="1"/>
  <c r="AO25" i="1"/>
  <c r="AP25" i="1" s="1"/>
  <c r="AN25" i="1"/>
  <c r="AN42" i="1"/>
  <c r="AO42" i="1"/>
  <c r="AP42" i="1" s="1"/>
  <c r="AN37" i="1"/>
  <c r="AI37" i="1"/>
  <c r="AJ37" i="1"/>
  <c r="AK37" i="1" s="1"/>
  <c r="AI19" i="1"/>
  <c r="AJ19" i="1"/>
  <c r="AK19" i="1" s="1"/>
  <c r="AI31" i="1"/>
  <c r="AJ31" i="1"/>
  <c r="AK31" i="1" s="1"/>
  <c r="AI25" i="1"/>
  <c r="AJ25" i="1"/>
  <c r="AK25" i="1" s="1"/>
  <c r="AI42" i="1"/>
  <c r="AJ42" i="1"/>
  <c r="AK42" i="1" s="1"/>
  <c r="AO59" i="33"/>
  <c r="AO29" i="33"/>
  <c r="AO18" i="33" s="1"/>
  <c r="AV18" i="33" s="1"/>
  <c r="CR66" i="33"/>
  <c r="AO66" i="33"/>
  <c r="AJ64" i="33"/>
  <c r="AJ56" i="33" s="1"/>
  <c r="AL19" i="1" s="1"/>
  <c r="AL67" i="33"/>
  <c r="P67" i="33"/>
  <c r="W67" i="33" s="1"/>
  <c r="AO67" i="33" l="1"/>
  <c r="AY67" i="33"/>
  <c r="BB67" i="33" s="1"/>
  <c r="BC67" i="33" s="1"/>
  <c r="BC66" i="33"/>
  <c r="AN53" i="1"/>
  <c r="AO53" i="1"/>
  <c r="AP53" i="1" s="1"/>
  <c r="AL57" i="33"/>
  <c r="AQ31" i="1" s="1"/>
  <c r="BB64" i="33"/>
  <c r="BC65" i="33"/>
  <c r="AL58" i="33"/>
  <c r="AR31" i="1" s="1"/>
  <c r="BC18" i="33"/>
  <c r="AY64" i="33"/>
  <c r="AY56" i="33" s="1"/>
  <c r="BB61" i="33"/>
  <c r="AW59" i="33"/>
  <c r="AW56" i="33" s="1"/>
  <c r="AD67" i="33"/>
  <c r="AO19" i="1"/>
  <c r="AP19" i="1" s="1"/>
  <c r="AN19" i="1"/>
  <c r="AO64" i="33"/>
  <c r="AO56" i="33" s="1"/>
  <c r="AV56" i="33" s="1"/>
  <c r="AL64" i="33"/>
  <c r="AL56" i="33" s="1"/>
  <c r="AL31" i="1" s="1"/>
  <c r="BC61" i="33" l="1"/>
  <c r="BB59" i="33"/>
  <c r="BB56" i="33" s="1"/>
  <c r="BC56" i="33" s="1"/>
  <c r="AN31" i="1"/>
  <c r="AO31" i="1"/>
  <c r="AP31" i="1" s="1"/>
  <c r="BU119" i="25"/>
  <c r="BS119" i="25"/>
  <c r="BR119" i="25"/>
  <c r="BQ119" i="25"/>
  <c r="BO119" i="25"/>
  <c r="AK119" i="25"/>
  <c r="AI119" i="25"/>
  <c r="AG119" i="25"/>
  <c r="Z119" i="25"/>
  <c r="Y119" i="25"/>
  <c r="X119" i="25"/>
  <c r="W119" i="25"/>
  <c r="V119" i="25"/>
  <c r="P119" i="25"/>
  <c r="W118" i="25" l="1"/>
  <c r="X118" i="25"/>
  <c r="Y118" i="25"/>
  <c r="V118" i="25"/>
  <c r="Z118" i="25"/>
  <c r="BP119" i="25"/>
  <c r="AA119" i="25"/>
  <c r="AA118" i="25" s="1"/>
  <c r="O134" i="25" l="1"/>
  <c r="N134" i="25"/>
  <c r="M134" i="25"/>
  <c r="L134" i="25"/>
  <c r="K134" i="25"/>
  <c r="BU136" i="25" l="1"/>
  <c r="BS136" i="25"/>
  <c r="BR136" i="25"/>
  <c r="BQ136" i="25"/>
  <c r="BO136" i="25"/>
  <c r="AK136" i="25"/>
  <c r="AI136" i="25"/>
  <c r="AG136" i="25"/>
  <c r="Z136" i="25"/>
  <c r="Y136" i="25"/>
  <c r="X136" i="25"/>
  <c r="W136" i="25"/>
  <c r="V136" i="25"/>
  <c r="BP136" i="25" s="1"/>
  <c r="P136" i="25"/>
  <c r="BU135" i="25"/>
  <c r="BS135" i="25"/>
  <c r="BR135" i="25"/>
  <c r="BQ135" i="25"/>
  <c r="BO135" i="25"/>
  <c r="AK135" i="25"/>
  <c r="AI135" i="25"/>
  <c r="AG135" i="25"/>
  <c r="Z135" i="25"/>
  <c r="Y135" i="25"/>
  <c r="X135" i="25"/>
  <c r="W135" i="25"/>
  <c r="V135" i="25"/>
  <c r="BP135" i="25" s="1"/>
  <c r="P135" i="25"/>
  <c r="BU134" i="25"/>
  <c r="BS134" i="25"/>
  <c r="BR134" i="25"/>
  <c r="BQ134" i="25"/>
  <c r="BO134" i="25"/>
  <c r="AK134" i="25"/>
  <c r="AK118" i="25" s="1"/>
  <c r="AI134" i="25"/>
  <c r="AI118" i="25" s="1"/>
  <c r="AG134" i="25"/>
  <c r="AG118" i="25" s="1"/>
  <c r="Z134" i="25"/>
  <c r="Y134" i="25"/>
  <c r="X134" i="25"/>
  <c r="W134" i="25"/>
  <c r="V134" i="25"/>
  <c r="P134" i="25"/>
  <c r="W116" i="25" l="1"/>
  <c r="AQ47" i="1" s="1"/>
  <c r="W117" i="25"/>
  <c r="AR47" i="1" s="1"/>
  <c r="X116" i="25"/>
  <c r="AQ48" i="1" s="1"/>
  <c r="X117" i="25"/>
  <c r="AR48" i="1" s="1"/>
  <c r="Y116" i="25"/>
  <c r="AQ49" i="1" s="1"/>
  <c r="Y117" i="25"/>
  <c r="AR49" i="1" s="1"/>
  <c r="V117" i="25"/>
  <c r="AR46" i="1" s="1"/>
  <c r="V116" i="25"/>
  <c r="AQ46" i="1" s="1"/>
  <c r="AQ45" i="1" s="1"/>
  <c r="AQ44" i="1" s="1"/>
  <c r="Z116" i="25"/>
  <c r="AQ50" i="1" s="1"/>
  <c r="Z117" i="25"/>
  <c r="AR50" i="1" s="1"/>
  <c r="Z133" i="25"/>
  <c r="Z115" i="25" s="1"/>
  <c r="AL50" i="1" s="1"/>
  <c r="BU118" i="25"/>
  <c r="Y133" i="25"/>
  <c r="Y115" i="25" s="1"/>
  <c r="W133" i="25"/>
  <c r="W115" i="25" s="1"/>
  <c r="X133" i="25"/>
  <c r="X115" i="25" s="1"/>
  <c r="BP134" i="25"/>
  <c r="V133" i="25"/>
  <c r="V115" i="25" s="1"/>
  <c r="AA134" i="25"/>
  <c r="AA135" i="25"/>
  <c r="AA136" i="25"/>
  <c r="CW90" i="3"/>
  <c r="CW91" i="3"/>
  <c r="CU91" i="3"/>
  <c r="CT91" i="3"/>
  <c r="CS91" i="3"/>
  <c r="CQ91" i="3"/>
  <c r="BM91" i="3"/>
  <c r="BK91" i="3"/>
  <c r="BI91" i="3"/>
  <c r="AJ91" i="3"/>
  <c r="AW91" i="3" s="1"/>
  <c r="BB91" i="3" s="1"/>
  <c r="P91" i="3"/>
  <c r="CU90" i="3"/>
  <c r="CT90" i="3"/>
  <c r="CS90" i="3"/>
  <c r="CQ90" i="3"/>
  <c r="BM90" i="3"/>
  <c r="BK90" i="3"/>
  <c r="BI90" i="3"/>
  <c r="AJ90" i="3"/>
  <c r="AW90" i="3" s="1"/>
  <c r="BB90" i="3" s="1"/>
  <c r="CW89" i="3"/>
  <c r="CU89" i="3"/>
  <c r="CT89" i="3"/>
  <c r="CS89" i="3"/>
  <c r="CQ89" i="3"/>
  <c r="BM89" i="3"/>
  <c r="BK89" i="3"/>
  <c r="BI89" i="3"/>
  <c r="AJ89" i="3"/>
  <c r="AW89" i="3" s="1"/>
  <c r="BB89" i="3" s="1"/>
  <c r="P89" i="3"/>
  <c r="AR45" i="1" l="1"/>
  <c r="AR44" i="1" s="1"/>
  <c r="AO50" i="1"/>
  <c r="AP50" i="1" s="1"/>
  <c r="AN50" i="1"/>
  <c r="W91" i="3"/>
  <c r="AD91" i="3"/>
  <c r="AD89" i="3"/>
  <c r="W89" i="3"/>
  <c r="CR90" i="3"/>
  <c r="AO90" i="3"/>
  <c r="AV90" i="3" s="1"/>
  <c r="CR91" i="3"/>
  <c r="AO91" i="3"/>
  <c r="AV91" i="3" s="1"/>
  <c r="CR89" i="3"/>
  <c r="AO89" i="3"/>
  <c r="AV89" i="3" s="1"/>
  <c r="AL47" i="1"/>
  <c r="AL46" i="1"/>
  <c r="AL49" i="1"/>
  <c r="AL48" i="1"/>
  <c r="AA133" i="25"/>
  <c r="AA115" i="25" s="1"/>
  <c r="P90" i="3"/>
  <c r="CG98" i="16"/>
  <c r="CF98" i="16"/>
  <c r="CE98" i="16"/>
  <c r="CC98" i="16"/>
  <c r="AD98" i="16"/>
  <c r="BM78" i="3"/>
  <c r="CU80" i="3"/>
  <c r="CT80" i="3"/>
  <c r="CS80" i="3"/>
  <c r="CQ80" i="3"/>
  <c r="CU79" i="3"/>
  <c r="CT79" i="3"/>
  <c r="CS79" i="3"/>
  <c r="CQ79" i="3"/>
  <c r="CU78" i="3"/>
  <c r="CT78" i="3"/>
  <c r="CS78" i="3"/>
  <c r="CQ78" i="3"/>
  <c r="BI78" i="3"/>
  <c r="CN87" i="3"/>
  <c r="AJ87" i="3"/>
  <c r="AM98" i="16" l="1"/>
  <c r="AM96" i="16" s="1"/>
  <c r="AM56" i="16" s="1"/>
  <c r="AD58" i="16"/>
  <c r="AR33" i="1" s="1"/>
  <c r="AD57" i="16"/>
  <c r="AQ33" i="1" s="1"/>
  <c r="AN49" i="1"/>
  <c r="AO49" i="1"/>
  <c r="AP49" i="1" s="1"/>
  <c r="AO48" i="1"/>
  <c r="AP48" i="1" s="1"/>
  <c r="AN48" i="1"/>
  <c r="AO47" i="1"/>
  <c r="AP47" i="1" s="1"/>
  <c r="AN47" i="1"/>
  <c r="AO46" i="1"/>
  <c r="AP46" i="1" s="1"/>
  <c r="AN46" i="1"/>
  <c r="BC91" i="3"/>
  <c r="AD96" i="16"/>
  <c r="AO87" i="3"/>
  <c r="AV87" i="3" s="1"/>
  <c r="AW87" i="3"/>
  <c r="BB87" i="3" s="1"/>
  <c r="AD90" i="3"/>
  <c r="W90" i="3"/>
  <c r="BC89" i="3"/>
  <c r="BC90" i="3"/>
  <c r="CI98" i="16"/>
  <c r="CI96" i="16" s="1"/>
  <c r="AC98" i="16"/>
  <c r="AU98" i="16"/>
  <c r="AU96" i="16" s="1"/>
  <c r="CW78" i="3"/>
  <c r="AJ78" i="3"/>
  <c r="AW78" i="3" s="1"/>
  <c r="AK77" i="3"/>
  <c r="P79" i="3"/>
  <c r="AW98" i="16"/>
  <c r="N98" i="16"/>
  <c r="AY98" i="16"/>
  <c r="AB98" i="16"/>
  <c r="AM77" i="3"/>
  <c r="AL77" i="3"/>
  <c r="BK78" i="3"/>
  <c r="P78" i="3"/>
  <c r="P87" i="3"/>
  <c r="CQ87" i="3"/>
  <c r="CO87" i="3"/>
  <c r="CK87" i="3"/>
  <c r="CL87" i="3"/>
  <c r="CM87" i="3"/>
  <c r="BM102" i="3"/>
  <c r="CW104" i="3"/>
  <c r="CU104" i="3"/>
  <c r="CT104" i="3"/>
  <c r="CS104" i="3"/>
  <c r="CQ104" i="3"/>
  <c r="BM104" i="3"/>
  <c r="BK104" i="3"/>
  <c r="BI104" i="3"/>
  <c r="AJ104" i="3"/>
  <c r="AW104" i="3" s="1"/>
  <c r="BB104" i="3" s="1"/>
  <c r="P104" i="3"/>
  <c r="CU103" i="3"/>
  <c r="CT103" i="3"/>
  <c r="CS103" i="3"/>
  <c r="CQ103" i="3"/>
  <c r="CU102" i="3"/>
  <c r="CT102" i="3"/>
  <c r="CS102" i="3"/>
  <c r="CQ102" i="3"/>
  <c r="AB57" i="16" l="1"/>
  <c r="AQ21" i="1" s="1"/>
  <c r="AB58" i="16"/>
  <c r="AR21" i="1" s="1"/>
  <c r="AL98" i="16"/>
  <c r="AL96" i="16" s="1"/>
  <c r="AL56" i="16" s="1"/>
  <c r="AC57" i="16"/>
  <c r="AQ27" i="1" s="1"/>
  <c r="AC58" i="16"/>
  <c r="AR27" i="1" s="1"/>
  <c r="S98" i="16"/>
  <c r="X98" i="16"/>
  <c r="AK98" i="16"/>
  <c r="AB96" i="16"/>
  <c r="AB56" i="16" s="1"/>
  <c r="AL21" i="1" s="1"/>
  <c r="AD56" i="16"/>
  <c r="AL33" i="1" s="1"/>
  <c r="BC87" i="3"/>
  <c r="AD104" i="3"/>
  <c r="W104" i="3"/>
  <c r="AC96" i="16"/>
  <c r="W87" i="3"/>
  <c r="AD87" i="3"/>
  <c r="BB78" i="3"/>
  <c r="AD78" i="3"/>
  <c r="W78" i="3"/>
  <c r="AD79" i="3"/>
  <c r="W79" i="3"/>
  <c r="AE98" i="16"/>
  <c r="AO78" i="3"/>
  <c r="AV78" i="3" s="1"/>
  <c r="CR104" i="3"/>
  <c r="AO104" i="3"/>
  <c r="AV104" i="3" s="1"/>
  <c r="AY96" i="16"/>
  <c r="AW96" i="16"/>
  <c r="CD98" i="16"/>
  <c r="CR78" i="3"/>
  <c r="AN77" i="3"/>
  <c r="BK79" i="3"/>
  <c r="CW79" i="3"/>
  <c r="BM79" i="3"/>
  <c r="AJ79" i="3"/>
  <c r="AW79" i="3" s="1"/>
  <c r="BB79" i="3" s="1"/>
  <c r="BI79" i="3"/>
  <c r="P80" i="3"/>
  <c r="CW102" i="3"/>
  <c r="AJ102" i="3"/>
  <c r="AW102" i="3" s="1"/>
  <c r="BI102" i="3"/>
  <c r="BK102" i="3"/>
  <c r="P102" i="3"/>
  <c r="CW71" i="3"/>
  <c r="CW76" i="3"/>
  <c r="CU76" i="3"/>
  <c r="CT76" i="3"/>
  <c r="CS76" i="3"/>
  <c r="CQ76" i="3"/>
  <c r="BM76" i="3"/>
  <c r="BK76" i="3"/>
  <c r="BI76" i="3"/>
  <c r="AJ76" i="3"/>
  <c r="AW76" i="3" s="1"/>
  <c r="BB76" i="3" s="1"/>
  <c r="P76" i="3"/>
  <c r="CW75" i="3"/>
  <c r="CU75" i="3"/>
  <c r="CT75" i="3"/>
  <c r="CS75" i="3"/>
  <c r="CQ75" i="3"/>
  <c r="BM75" i="3"/>
  <c r="BK75" i="3"/>
  <c r="BI75" i="3"/>
  <c r="AJ75" i="3"/>
  <c r="AW75" i="3" s="1"/>
  <c r="BB75" i="3" s="1"/>
  <c r="P75" i="3"/>
  <c r="CW74" i="3"/>
  <c r="CU74" i="3"/>
  <c r="CT74" i="3"/>
  <c r="CS74" i="3"/>
  <c r="CQ74" i="3"/>
  <c r="BM74" i="3"/>
  <c r="BK74" i="3"/>
  <c r="BI74" i="3"/>
  <c r="AJ74" i="3"/>
  <c r="AW74" i="3" s="1"/>
  <c r="BB74" i="3" s="1"/>
  <c r="P74" i="3"/>
  <c r="AJ73" i="3"/>
  <c r="P73" i="3"/>
  <c r="CW72" i="3"/>
  <c r="CU72" i="3"/>
  <c r="CT72" i="3"/>
  <c r="CS72" i="3"/>
  <c r="CQ72" i="3"/>
  <c r="BM72" i="3"/>
  <c r="BK72" i="3"/>
  <c r="BI72" i="3"/>
  <c r="AJ72" i="3"/>
  <c r="P72" i="3"/>
  <c r="CU71" i="3"/>
  <c r="CT71" i="3"/>
  <c r="CS71" i="3"/>
  <c r="CQ71" i="3"/>
  <c r="CU70" i="3"/>
  <c r="CT70" i="3"/>
  <c r="CS70" i="3"/>
  <c r="CQ70" i="3"/>
  <c r="AN33" i="1" l="1"/>
  <c r="AO33" i="1"/>
  <c r="AP33" i="1" s="1"/>
  <c r="AE96" i="16"/>
  <c r="AE56" i="16" s="1"/>
  <c r="AJ98" i="16"/>
  <c r="AC56" i="16"/>
  <c r="AL27" i="1" s="1"/>
  <c r="AN98" i="16"/>
  <c r="AK96" i="16"/>
  <c r="AK56" i="16" s="1"/>
  <c r="AN21" i="1"/>
  <c r="AO21" i="1"/>
  <c r="AP21" i="1" s="1"/>
  <c r="BC104" i="3"/>
  <c r="AD102" i="3"/>
  <c r="W102" i="3"/>
  <c r="BB102" i="3"/>
  <c r="AD72" i="3"/>
  <c r="W72" i="3"/>
  <c r="W74" i="3"/>
  <c r="AD74" i="3"/>
  <c r="AD76" i="3"/>
  <c r="W76" i="3"/>
  <c r="W80" i="3"/>
  <c r="AD80" i="3"/>
  <c r="W75" i="3"/>
  <c r="AD75" i="3"/>
  <c r="AO72" i="3"/>
  <c r="AV72" i="3" s="1"/>
  <c r="AW72" i="3"/>
  <c r="BB72" i="3" s="1"/>
  <c r="BC78" i="3"/>
  <c r="AD73" i="3"/>
  <c r="W73" i="3"/>
  <c r="AO73" i="3"/>
  <c r="AV73" i="3" s="1"/>
  <c r="AW73" i="3"/>
  <c r="BB73" i="3" s="1"/>
  <c r="AO102" i="3"/>
  <c r="AV102" i="3" s="1"/>
  <c r="CR74" i="3"/>
  <c r="AO74" i="3"/>
  <c r="AV74" i="3" s="1"/>
  <c r="CR76" i="3"/>
  <c r="AO76" i="3"/>
  <c r="AV76" i="3" s="1"/>
  <c r="CR79" i="3"/>
  <c r="AO79" i="3"/>
  <c r="AV79" i="3" s="1"/>
  <c r="CR75" i="3"/>
  <c r="AO75" i="3"/>
  <c r="AV75" i="3" s="1"/>
  <c r="AM64" i="3"/>
  <c r="AL64" i="3"/>
  <c r="CW80" i="3"/>
  <c r="BM80" i="3"/>
  <c r="BK80" i="3"/>
  <c r="AJ80" i="3"/>
  <c r="BI80" i="3"/>
  <c r="BK71" i="3"/>
  <c r="BM71" i="3"/>
  <c r="BI70" i="3"/>
  <c r="AN64" i="3"/>
  <c r="BI103" i="3"/>
  <c r="BI101" i="3" s="1"/>
  <c r="BI98" i="3" s="1"/>
  <c r="BI96" i="3" s="1"/>
  <c r="CW103" i="3"/>
  <c r="CW101" i="3" s="1"/>
  <c r="CW98" i="3" s="1"/>
  <c r="CW96" i="3" s="1"/>
  <c r="AJ103" i="3"/>
  <c r="BM103" i="3"/>
  <c r="BM101" i="3" s="1"/>
  <c r="BM98" i="3" s="1"/>
  <c r="BM96" i="3" s="1"/>
  <c r="P103" i="3"/>
  <c r="BK103" i="3"/>
  <c r="BK101" i="3" s="1"/>
  <c r="BK98" i="3" s="1"/>
  <c r="BK96" i="3" s="1"/>
  <c r="BI71" i="3"/>
  <c r="CR102" i="3"/>
  <c r="P71" i="3"/>
  <c r="AJ71" i="3"/>
  <c r="AW71" i="3" s="1"/>
  <c r="BB71" i="3" s="1"/>
  <c r="CR72" i="3"/>
  <c r="AO27" i="1" l="1"/>
  <c r="AP27" i="1" s="1"/>
  <c r="AN27" i="1"/>
  <c r="AO98" i="16"/>
  <c r="AN96" i="16"/>
  <c r="AN56" i="16" s="1"/>
  <c r="W103" i="3"/>
  <c r="AD103" i="3"/>
  <c r="BC102" i="3"/>
  <c r="BC73" i="3"/>
  <c r="AJ101" i="3"/>
  <c r="AW103" i="3"/>
  <c r="BC72" i="3"/>
  <c r="AD71" i="3"/>
  <c r="W71" i="3"/>
  <c r="BC76" i="3"/>
  <c r="BC79" i="3"/>
  <c r="AJ77" i="3"/>
  <c r="AW80" i="3"/>
  <c r="BC75" i="3"/>
  <c r="BC74" i="3"/>
  <c r="AO56" i="16"/>
  <c r="BM77" i="3"/>
  <c r="BM92" i="3"/>
  <c r="CW77" i="3"/>
  <c r="CW92" i="3"/>
  <c r="BK77" i="3"/>
  <c r="BK92" i="3"/>
  <c r="BI77" i="3"/>
  <c r="BI92" i="3"/>
  <c r="AO103" i="3"/>
  <c r="AV103" i="3" s="1"/>
  <c r="AO80" i="3"/>
  <c r="AV80" i="3" s="1"/>
  <c r="CR71" i="3"/>
  <c r="AO71" i="3"/>
  <c r="AV71" i="3" s="1"/>
  <c r="AL35" i="1"/>
  <c r="AL40" i="1"/>
  <c r="AL29" i="1"/>
  <c r="CR80" i="3"/>
  <c r="BK70" i="3"/>
  <c r="P70" i="3"/>
  <c r="CW70" i="3"/>
  <c r="BM70" i="3"/>
  <c r="AJ70" i="3"/>
  <c r="CR103" i="3"/>
  <c r="AJ65" i="3" l="1"/>
  <c r="AQ18" i="1" s="1"/>
  <c r="AJ66" i="3"/>
  <c r="AR18" i="1" s="1"/>
  <c r="AW70" i="3"/>
  <c r="AW67" i="3" s="1"/>
  <c r="AJ67" i="3"/>
  <c r="AJ64" i="3" s="1"/>
  <c r="AL18" i="1" s="1"/>
  <c r="BB103" i="3"/>
  <c r="BB101" i="3" s="1"/>
  <c r="AW101" i="3"/>
  <c r="AO29" i="1"/>
  <c r="AP29" i="1" s="1"/>
  <c r="AN29" i="1"/>
  <c r="AO40" i="1"/>
  <c r="AP40" i="1" s="1"/>
  <c r="AN40" i="1"/>
  <c r="AO35" i="1"/>
  <c r="AP35" i="1" s="1"/>
  <c r="AN35" i="1"/>
  <c r="AD70" i="3"/>
  <c r="W70" i="3"/>
  <c r="BB80" i="3"/>
  <c r="BB77" i="3" s="1"/>
  <c r="AW77" i="3"/>
  <c r="BC71" i="3"/>
  <c r="AK64" i="3"/>
  <c r="AL23" i="1" s="1"/>
  <c r="AO101" i="3"/>
  <c r="AO77" i="3"/>
  <c r="AO70" i="3"/>
  <c r="CR70" i="3"/>
  <c r="AV70" i="3" l="1"/>
  <c r="AO67" i="3"/>
  <c r="AO64" i="3" s="1"/>
  <c r="BB70" i="3"/>
  <c r="BB67" i="3" s="1"/>
  <c r="AW64" i="3"/>
  <c r="BC103" i="3"/>
  <c r="AN23" i="1"/>
  <c r="AO23" i="1"/>
  <c r="AP23" i="1" s="1"/>
  <c r="AN18" i="1"/>
  <c r="AO18" i="1"/>
  <c r="AP18" i="1" s="1"/>
  <c r="BC80" i="3"/>
  <c r="AL45" i="1"/>
  <c r="AN101" i="2"/>
  <c r="BA101" i="2" s="1"/>
  <c r="AM101" i="2"/>
  <c r="AZ101" i="2" s="1"/>
  <c r="AL101" i="2"/>
  <c r="AY101" i="2" s="1"/>
  <c r="AK101" i="2"/>
  <c r="AX101" i="2" s="1"/>
  <c r="AJ101" i="2"/>
  <c r="AW101" i="2" s="1"/>
  <c r="P101" i="2"/>
  <c r="O86" i="2"/>
  <c r="L85" i="2"/>
  <c r="AN100" i="2"/>
  <c r="BA100" i="2" s="1"/>
  <c r="AM100" i="2"/>
  <c r="AZ100" i="2" s="1"/>
  <c r="AL100" i="2"/>
  <c r="AY100" i="2" s="1"/>
  <c r="AK100" i="2"/>
  <c r="AX100" i="2" s="1"/>
  <c r="AJ100" i="2"/>
  <c r="AW100" i="2" s="1"/>
  <c r="P100" i="2"/>
  <c r="AN99" i="2"/>
  <c r="BA99" i="2" s="1"/>
  <c r="AM99" i="2"/>
  <c r="AZ99" i="2" s="1"/>
  <c r="AL99" i="2"/>
  <c r="AY99" i="2" s="1"/>
  <c r="AK99" i="2"/>
  <c r="AX99" i="2" s="1"/>
  <c r="AJ99" i="2"/>
  <c r="AW99" i="2" s="1"/>
  <c r="P99" i="2"/>
  <c r="AN98" i="2"/>
  <c r="BA98" i="2" s="1"/>
  <c r="AM98" i="2"/>
  <c r="AZ98" i="2" s="1"/>
  <c r="AL98" i="2"/>
  <c r="AY98" i="2" s="1"/>
  <c r="AK98" i="2"/>
  <c r="AX98" i="2" s="1"/>
  <c r="AJ98" i="2"/>
  <c r="AW98" i="2" s="1"/>
  <c r="P98" i="2"/>
  <c r="AN97" i="2"/>
  <c r="BA97" i="2" s="1"/>
  <c r="AM97" i="2"/>
  <c r="AZ97" i="2" s="1"/>
  <c r="AL97" i="2"/>
  <c r="AY97" i="2" s="1"/>
  <c r="AK97" i="2"/>
  <c r="AX97" i="2" s="1"/>
  <c r="AJ97" i="2"/>
  <c r="AW97" i="2" s="1"/>
  <c r="P97" i="2"/>
  <c r="AN96" i="2"/>
  <c r="BA96" i="2" s="1"/>
  <c r="AM96" i="2"/>
  <c r="AZ96" i="2" s="1"/>
  <c r="AL96" i="2"/>
  <c r="AY96" i="2" s="1"/>
  <c r="AK96" i="2"/>
  <c r="AX96" i="2" s="1"/>
  <c r="AJ96" i="2"/>
  <c r="AW96" i="2" s="1"/>
  <c r="P96" i="2"/>
  <c r="AN95" i="2"/>
  <c r="BA95" i="2" s="1"/>
  <c r="AM95" i="2"/>
  <c r="AZ95" i="2" s="1"/>
  <c r="AL95" i="2"/>
  <c r="AY95" i="2" s="1"/>
  <c r="AK95" i="2"/>
  <c r="AX95" i="2" s="1"/>
  <c r="AJ95" i="2"/>
  <c r="AW95" i="2" s="1"/>
  <c r="P95" i="2"/>
  <c r="AL89" i="2"/>
  <c r="AY89" i="2" s="1"/>
  <c r="AN89" i="2"/>
  <c r="BA89" i="2" s="1"/>
  <c r="AM89" i="2"/>
  <c r="AZ89" i="2" s="1"/>
  <c r="AK89" i="2"/>
  <c r="AX89" i="2" s="1"/>
  <c r="AJ89" i="2"/>
  <c r="AW89" i="2" s="1"/>
  <c r="BB89" i="2" s="1"/>
  <c r="P89" i="2"/>
  <c r="AN90" i="2"/>
  <c r="BA90" i="2" s="1"/>
  <c r="AM90" i="2"/>
  <c r="AZ90" i="2" s="1"/>
  <c r="AL90" i="2"/>
  <c r="AY90" i="2" s="1"/>
  <c r="AK90" i="2"/>
  <c r="AX90" i="2" s="1"/>
  <c r="AJ90" i="2"/>
  <c r="AW90" i="2" s="1"/>
  <c r="P90" i="2"/>
  <c r="P93" i="2"/>
  <c r="AN93" i="2"/>
  <c r="BA93" i="2" s="1"/>
  <c r="AM93" i="2"/>
  <c r="AZ93" i="2" s="1"/>
  <c r="AL93" i="2"/>
  <c r="AY93" i="2" s="1"/>
  <c r="AK93" i="2"/>
  <c r="AX93" i="2" s="1"/>
  <c r="BB93" i="2" s="1"/>
  <c r="AJ93" i="2"/>
  <c r="AW93" i="2" s="1"/>
  <c r="AN91" i="2"/>
  <c r="BA91" i="2" s="1"/>
  <c r="AM91" i="2"/>
  <c r="AZ91" i="2" s="1"/>
  <c r="AL91" i="2"/>
  <c r="AY91" i="2" s="1"/>
  <c r="AK91" i="2"/>
  <c r="AX91" i="2" s="1"/>
  <c r="AJ91" i="2"/>
  <c r="AW91" i="2" s="1"/>
  <c r="AM86" i="2"/>
  <c r="AZ86" i="2" s="1"/>
  <c r="AL86" i="2"/>
  <c r="AY86" i="2" s="1"/>
  <c r="AK86" i="2"/>
  <c r="AX86" i="2" s="1"/>
  <c r="AJ86" i="2"/>
  <c r="AW86" i="2" s="1"/>
  <c r="AN87" i="2"/>
  <c r="BA87" i="2" s="1"/>
  <c r="AM87" i="2"/>
  <c r="AZ87" i="2" s="1"/>
  <c r="BB87" i="2" s="1"/>
  <c r="AL87" i="2"/>
  <c r="AY87" i="2" s="1"/>
  <c r="AK87" i="2"/>
  <c r="AX87" i="2" s="1"/>
  <c r="AJ87" i="2"/>
  <c r="AW87" i="2" s="1"/>
  <c r="P94" i="2"/>
  <c r="P92" i="2"/>
  <c r="P88" i="2"/>
  <c r="P86" i="2"/>
  <c r="W86" i="2" s="1"/>
  <c r="AN94" i="2"/>
  <c r="BA94" i="2" s="1"/>
  <c r="AM94" i="2"/>
  <c r="AZ94" i="2" s="1"/>
  <c r="AL94" i="2"/>
  <c r="AY94" i="2" s="1"/>
  <c r="AK94" i="2"/>
  <c r="AX94" i="2" s="1"/>
  <c r="AJ94" i="2"/>
  <c r="AW94" i="2" s="1"/>
  <c r="BB94" i="2" s="1"/>
  <c r="AN92" i="2"/>
  <c r="BA92" i="2" s="1"/>
  <c r="AM92" i="2"/>
  <c r="AZ92" i="2" s="1"/>
  <c r="AL92" i="2"/>
  <c r="AY92" i="2" s="1"/>
  <c r="AK92" i="2"/>
  <c r="AX92" i="2" s="1"/>
  <c r="BB92" i="2" s="1"/>
  <c r="AJ92" i="2"/>
  <c r="AW92" i="2" s="1"/>
  <c r="AN88" i="2"/>
  <c r="BA88" i="2" s="1"/>
  <c r="AM88" i="2"/>
  <c r="AZ88" i="2" s="1"/>
  <c r="AL88" i="2"/>
  <c r="AY88" i="2" s="1"/>
  <c r="AK88" i="2"/>
  <c r="AX88" i="2" s="1"/>
  <c r="AJ88" i="2"/>
  <c r="AW88" i="2" s="1"/>
  <c r="AN85" i="2"/>
  <c r="BA85" i="2" s="1"/>
  <c r="AM85" i="2"/>
  <c r="AZ85" i="2" s="1"/>
  <c r="AL85" i="2"/>
  <c r="AY85" i="2" s="1"/>
  <c r="AJ85" i="2"/>
  <c r="AW85" i="2" s="1"/>
  <c r="P91" i="2"/>
  <c r="P87" i="2"/>
  <c r="P84" i="2"/>
  <c r="AL84" i="2"/>
  <c r="AY84" i="2" s="1"/>
  <c r="AK84" i="2"/>
  <c r="AX84" i="2" s="1"/>
  <c r="AN84" i="2"/>
  <c r="BA84" i="2" s="1"/>
  <c r="AM84" i="2"/>
  <c r="AZ84" i="2" s="1"/>
  <c r="AJ84" i="2"/>
  <c r="AW84" i="2" s="1"/>
  <c r="P82" i="2"/>
  <c r="AN82" i="2"/>
  <c r="BA82" i="2" s="1"/>
  <c r="AM82" i="2"/>
  <c r="AZ82" i="2" s="1"/>
  <c r="AL82" i="2"/>
  <c r="AY82" i="2" s="1"/>
  <c r="AK82" i="2"/>
  <c r="AX82" i="2" s="1"/>
  <c r="AJ82" i="2"/>
  <c r="AW82" i="2" s="1"/>
  <c r="AN83" i="2"/>
  <c r="BA83" i="2" s="1"/>
  <c r="AM83" i="2"/>
  <c r="AZ83" i="2" s="1"/>
  <c r="AL83" i="2"/>
  <c r="AY83" i="2" s="1"/>
  <c r="AK83" i="2"/>
  <c r="AX83" i="2" s="1"/>
  <c r="AJ83" i="2"/>
  <c r="AW83" i="2" s="1"/>
  <c r="P83" i="2"/>
  <c r="AB76" i="2"/>
  <c r="AA76" i="2"/>
  <c r="Z76" i="2"/>
  <c r="Y76" i="2"/>
  <c r="X76" i="2"/>
  <c r="AN45" i="1" l="1"/>
  <c r="AO45" i="1"/>
  <c r="AP45" i="1" s="1"/>
  <c r="K77" i="2"/>
  <c r="X75" i="2"/>
  <c r="AD82" i="2"/>
  <c r="W82" i="2"/>
  <c r="W87" i="2"/>
  <c r="AD87" i="2"/>
  <c r="AD94" i="2"/>
  <c r="W94" i="2"/>
  <c r="W93" i="2"/>
  <c r="AD93" i="2"/>
  <c r="BB98" i="2"/>
  <c r="BB101" i="2"/>
  <c r="AC76" i="2"/>
  <c r="AD83" i="2"/>
  <c r="W83" i="2"/>
  <c r="W90" i="2"/>
  <c r="AD90" i="2"/>
  <c r="W95" i="2"/>
  <c r="AD95" i="2"/>
  <c r="BB95" i="2"/>
  <c r="W97" i="2"/>
  <c r="AD97" i="2"/>
  <c r="AD99" i="2"/>
  <c r="W99" i="2"/>
  <c r="L77" i="2"/>
  <c r="Y75" i="2"/>
  <c r="AZ81" i="2"/>
  <c r="BB84" i="2"/>
  <c r="AY81" i="2"/>
  <c r="BB88" i="2"/>
  <c r="W88" i="2"/>
  <c r="AD88" i="2"/>
  <c r="BB86" i="2"/>
  <c r="BB91" i="2"/>
  <c r="BB90" i="2"/>
  <c r="BB96" i="2"/>
  <c r="BB97" i="2"/>
  <c r="BB99" i="2"/>
  <c r="BB100" i="2"/>
  <c r="AN86" i="2"/>
  <c r="BA86" i="2" s="1"/>
  <c r="BA81" i="2" s="1"/>
  <c r="AB86" i="2"/>
  <c r="AC86" i="2" s="1"/>
  <c r="AD86" i="2" s="1"/>
  <c r="O77" i="2"/>
  <c r="AB75" i="2"/>
  <c r="BB83" i="2"/>
  <c r="M77" i="2"/>
  <c r="Z75" i="2"/>
  <c r="W91" i="2"/>
  <c r="AD91" i="2"/>
  <c r="P85" i="2"/>
  <c r="W85" i="2" s="1"/>
  <c r="Y85" i="2"/>
  <c r="AC85" i="2" s="1"/>
  <c r="N77" i="2"/>
  <c r="AA75" i="2"/>
  <c r="AW81" i="2"/>
  <c r="BB82" i="2"/>
  <c r="W84" i="2"/>
  <c r="AD84" i="2"/>
  <c r="W92" i="2"/>
  <c r="AD92" i="2"/>
  <c r="AD89" i="2"/>
  <c r="W89" i="2"/>
  <c r="W96" i="2"/>
  <c r="AD96" i="2"/>
  <c r="W98" i="2"/>
  <c r="AD98" i="2"/>
  <c r="W100" i="2"/>
  <c r="AD100" i="2"/>
  <c r="W101" i="2"/>
  <c r="AD101" i="2"/>
  <c r="BC70" i="3"/>
  <c r="BB64" i="3"/>
  <c r="AL44" i="1"/>
  <c r="AM81" i="2"/>
  <c r="AJ81" i="2"/>
  <c r="AL81" i="2"/>
  <c r="AO101" i="2"/>
  <c r="AV101" i="2" s="1"/>
  <c r="AO82" i="2"/>
  <c r="AV82" i="2" s="1"/>
  <c r="AO83" i="2"/>
  <c r="AV83" i="2" s="1"/>
  <c r="AO87" i="2"/>
  <c r="AV87" i="2" s="1"/>
  <c r="AK85" i="2"/>
  <c r="AO91" i="2"/>
  <c r="AV91" i="2" s="1"/>
  <c r="AO100" i="2"/>
  <c r="AV100" i="2" s="1"/>
  <c r="AO95" i="2"/>
  <c r="AV95" i="2" s="1"/>
  <c r="AO99" i="2"/>
  <c r="AV99" i="2" s="1"/>
  <c r="AO97" i="2"/>
  <c r="AV97" i="2" s="1"/>
  <c r="AO98" i="2"/>
  <c r="AV98" i="2" s="1"/>
  <c r="AO96" i="2"/>
  <c r="AV96" i="2" s="1"/>
  <c r="AO94" i="2"/>
  <c r="AV94" i="2" s="1"/>
  <c r="AO93" i="2"/>
  <c r="AV93" i="2" s="1"/>
  <c r="AO90" i="2"/>
  <c r="AV90" i="2" s="1"/>
  <c r="AO89" i="2"/>
  <c r="AV89" i="2" s="1"/>
  <c r="AO92" i="2"/>
  <c r="AV92" i="2" s="1"/>
  <c r="AO88" i="2"/>
  <c r="AV88" i="2" s="1"/>
  <c r="BC87" i="2" l="1"/>
  <c r="BC96" i="2"/>
  <c r="BC83" i="2"/>
  <c r="AD85" i="2"/>
  <c r="BC100" i="2"/>
  <c r="BC90" i="2"/>
  <c r="AO44" i="1"/>
  <c r="AP44" i="1" s="1"/>
  <c r="AN44" i="1"/>
  <c r="BC82" i="2"/>
  <c r="BC97" i="2"/>
  <c r="AJ77" i="2"/>
  <c r="X77" i="2"/>
  <c r="AO85" i="2"/>
  <c r="AV85" i="2" s="1"/>
  <c r="AX85" i="2"/>
  <c r="AL77" i="2"/>
  <c r="AY77" i="2" s="1"/>
  <c r="Z77" i="2"/>
  <c r="BC94" i="2"/>
  <c r="AK77" i="2"/>
  <c r="AX77" i="2" s="1"/>
  <c r="Y77" i="2"/>
  <c r="BC92" i="2"/>
  <c r="AC75" i="2"/>
  <c r="BC95" i="2"/>
  <c r="BC101" i="2"/>
  <c r="BC93" i="2"/>
  <c r="P77" i="2"/>
  <c r="W77" i="2" s="1"/>
  <c r="AN81" i="2"/>
  <c r="AM77" i="2"/>
  <c r="AZ77" i="2" s="1"/>
  <c r="AA77" i="2"/>
  <c r="BC89" i="2"/>
  <c r="AN77" i="2"/>
  <c r="BA77" i="2" s="1"/>
  <c r="AB77" i="2"/>
  <c r="BC99" i="2"/>
  <c r="BC91" i="2"/>
  <c r="BC88" i="2"/>
  <c r="BC98" i="2"/>
  <c r="AK81" i="2"/>
  <c r="AO84" i="2"/>
  <c r="AV84" i="2" s="1"/>
  <c r="AO86" i="2"/>
  <c r="AV86" i="2" s="1"/>
  <c r="AJ76" i="2"/>
  <c r="AW76" i="2" s="1"/>
  <c r="AJ75" i="2"/>
  <c r="AN76" i="2"/>
  <c r="BA76" i="2" s="1"/>
  <c r="AM76" i="2"/>
  <c r="AZ76" i="2" s="1"/>
  <c r="AL76" i="2"/>
  <c r="AY76" i="2" s="1"/>
  <c r="AK76" i="2"/>
  <c r="AX76" i="2" s="1"/>
  <c r="AN75" i="2"/>
  <c r="AM75" i="2"/>
  <c r="AL75" i="2"/>
  <c r="AK75" i="2"/>
  <c r="P114" i="25"/>
  <c r="P113" i="25"/>
  <c r="P112" i="25"/>
  <c r="P111" i="25"/>
  <c r="P108" i="25"/>
  <c r="P107" i="25"/>
  <c r="P105" i="25"/>
  <c r="P102" i="25"/>
  <c r="P100" i="25"/>
  <c r="P99" i="25"/>
  <c r="P98" i="25"/>
  <c r="P96" i="25"/>
  <c r="P95" i="25"/>
  <c r="P94" i="25"/>
  <c r="P93" i="25"/>
  <c r="P92" i="25"/>
  <c r="P91" i="25"/>
  <c r="P90" i="25"/>
  <c r="P89" i="25"/>
  <c r="P88" i="25"/>
  <c r="P87" i="25"/>
  <c r="P86" i="25"/>
  <c r="P85" i="25"/>
  <c r="P84" i="25"/>
  <c r="P83" i="25"/>
  <c r="P82" i="25"/>
  <c r="P81" i="25"/>
  <c r="P80" i="25"/>
  <c r="P79" i="25"/>
  <c r="P78" i="25"/>
  <c r="P77" i="25"/>
  <c r="P76" i="25"/>
  <c r="P75" i="25"/>
  <c r="P74" i="25"/>
  <c r="P73" i="25"/>
  <c r="P72" i="25"/>
  <c r="P71" i="25"/>
  <c r="P70" i="25"/>
  <c r="P69" i="25"/>
  <c r="P68" i="25"/>
  <c r="P67" i="25"/>
  <c r="P66" i="25"/>
  <c r="P65" i="25"/>
  <c r="P64" i="25"/>
  <c r="P63" i="25"/>
  <c r="P62" i="25"/>
  <c r="P61" i="25"/>
  <c r="P60" i="25"/>
  <c r="P59" i="25"/>
  <c r="P58" i="25"/>
  <c r="P57" i="25"/>
  <c r="P56" i="25"/>
  <c r="P55" i="25"/>
  <c r="P54" i="25"/>
  <c r="P53" i="25"/>
  <c r="P52" i="25"/>
  <c r="P51" i="25"/>
  <c r="P50" i="25"/>
  <c r="P49" i="25"/>
  <c r="P48" i="25"/>
  <c r="P47" i="25"/>
  <c r="P46" i="25"/>
  <c r="P45" i="25"/>
  <c r="P44" i="25"/>
  <c r="P43" i="25"/>
  <c r="P42" i="25"/>
  <c r="P41" i="25"/>
  <c r="P40" i="25"/>
  <c r="P39" i="25"/>
  <c r="P38" i="25"/>
  <c r="P37" i="25"/>
  <c r="P36" i="25"/>
  <c r="P35" i="25"/>
  <c r="P34" i="25"/>
  <c r="P33" i="25"/>
  <c r="P32" i="25"/>
  <c r="P31" i="25"/>
  <c r="P30" i="25"/>
  <c r="P27" i="25"/>
  <c r="P26" i="25"/>
  <c r="P25" i="25"/>
  <c r="P24" i="25"/>
  <c r="P23" i="25"/>
  <c r="P22" i="25"/>
  <c r="P21" i="25"/>
  <c r="AA109" i="25"/>
  <c r="Z114" i="25"/>
  <c r="Z113" i="25"/>
  <c r="Z112" i="25"/>
  <c r="Z111" i="25"/>
  <c r="Z109" i="25"/>
  <c r="Z108" i="25"/>
  <c r="Z107" i="25"/>
  <c r="Z105" i="25"/>
  <c r="Z104" i="25" s="1"/>
  <c r="Z102" i="25"/>
  <c r="Z101" i="25" s="1"/>
  <c r="Z100" i="25"/>
  <c r="Z99" i="25"/>
  <c r="Z98" i="25"/>
  <c r="Z96" i="25"/>
  <c r="Z95" i="25"/>
  <c r="Z94" i="25"/>
  <c r="Z93" i="25"/>
  <c r="Z92" i="25"/>
  <c r="Z91" i="25"/>
  <c r="Z90" i="25"/>
  <c r="Z89" i="25"/>
  <c r="Z88" i="25"/>
  <c r="Z87" i="25"/>
  <c r="Z86" i="25"/>
  <c r="Z85" i="25"/>
  <c r="Z84" i="25"/>
  <c r="Z83" i="25"/>
  <c r="Z82" i="25"/>
  <c r="Z81" i="25"/>
  <c r="Z80" i="25"/>
  <c r="Z79" i="25"/>
  <c r="Z78" i="25"/>
  <c r="Z77" i="25"/>
  <c r="Z76" i="25"/>
  <c r="Z75" i="25"/>
  <c r="Z74" i="25"/>
  <c r="Z73" i="25"/>
  <c r="Z72" i="25"/>
  <c r="Z71" i="25"/>
  <c r="Z70" i="25"/>
  <c r="Z69" i="25"/>
  <c r="Z68" i="25"/>
  <c r="Z67" i="25"/>
  <c r="Z66" i="25"/>
  <c r="Z65" i="25"/>
  <c r="Z64" i="25"/>
  <c r="Z63" i="25"/>
  <c r="Z62" i="25"/>
  <c r="Z61" i="25"/>
  <c r="Z60" i="25"/>
  <c r="Z59" i="25"/>
  <c r="Z58" i="25"/>
  <c r="Z57" i="25"/>
  <c r="Z56" i="25"/>
  <c r="Z55" i="25"/>
  <c r="Z54" i="25"/>
  <c r="Z53" i="25"/>
  <c r="Z52" i="25"/>
  <c r="Z51" i="25"/>
  <c r="Z50" i="25"/>
  <c r="Z49" i="25"/>
  <c r="Z48" i="25"/>
  <c r="Z47" i="25"/>
  <c r="Z46" i="25"/>
  <c r="Z45" i="25"/>
  <c r="Z44" i="25"/>
  <c r="Z43" i="25"/>
  <c r="Z42" i="25"/>
  <c r="Z41" i="25"/>
  <c r="Z40" i="25"/>
  <c r="Z39" i="25"/>
  <c r="Z38" i="25"/>
  <c r="Z37" i="25"/>
  <c r="Z36" i="25"/>
  <c r="Z35" i="25"/>
  <c r="Z34" i="25"/>
  <c r="Z33" i="25"/>
  <c r="Z32" i="25"/>
  <c r="Z31" i="25"/>
  <c r="Z30" i="25"/>
  <c r="Z27" i="25"/>
  <c r="Z25" i="25"/>
  <c r="Z26" i="25"/>
  <c r="Z24" i="25"/>
  <c r="Z23" i="25"/>
  <c r="Z22" i="25"/>
  <c r="Z21" i="25"/>
  <c r="Y114" i="25"/>
  <c r="Y113" i="25"/>
  <c r="Y112" i="25"/>
  <c r="Y111" i="25"/>
  <c r="Y109" i="25"/>
  <c r="Y108" i="25"/>
  <c r="Y107" i="25"/>
  <c r="Y105" i="25"/>
  <c r="Y104" i="25" s="1"/>
  <c r="Y102" i="25"/>
  <c r="Y101" i="25" s="1"/>
  <c r="Y100" i="25"/>
  <c r="Y99" i="25"/>
  <c r="Y98" i="25"/>
  <c r="Y96" i="25"/>
  <c r="Y95" i="25"/>
  <c r="Y94" i="25"/>
  <c r="Y93" i="25"/>
  <c r="Y92" i="25"/>
  <c r="Y91" i="25"/>
  <c r="Y90" i="25"/>
  <c r="Y89" i="25"/>
  <c r="Y88" i="25"/>
  <c r="Y87" i="25"/>
  <c r="Y86" i="25"/>
  <c r="Y85" i="25"/>
  <c r="Y84" i="25"/>
  <c r="Y83" i="25"/>
  <c r="Y82" i="25"/>
  <c r="Y81" i="25"/>
  <c r="Y80" i="25"/>
  <c r="Y79" i="25"/>
  <c r="Y78" i="25"/>
  <c r="Y77" i="25"/>
  <c r="Y76" i="25"/>
  <c r="Y75" i="25"/>
  <c r="Y74" i="25"/>
  <c r="Y73" i="25"/>
  <c r="Y72" i="25"/>
  <c r="Y71" i="25"/>
  <c r="Y70" i="25"/>
  <c r="Y69" i="25"/>
  <c r="Y68" i="25"/>
  <c r="Y67" i="25"/>
  <c r="Y66" i="25"/>
  <c r="Y65" i="25"/>
  <c r="Y64" i="25"/>
  <c r="Y63" i="25"/>
  <c r="Y62" i="25"/>
  <c r="Y61" i="25"/>
  <c r="Y60" i="25"/>
  <c r="Y59" i="25"/>
  <c r="Y58" i="25"/>
  <c r="Y57" i="25"/>
  <c r="Y56" i="25"/>
  <c r="Y55" i="25"/>
  <c r="Y54" i="25"/>
  <c r="Y53" i="25"/>
  <c r="Y52" i="25"/>
  <c r="Y51" i="25"/>
  <c r="Y50" i="25"/>
  <c r="Y49" i="25"/>
  <c r="Y48" i="25"/>
  <c r="Y47" i="25"/>
  <c r="Y46" i="25"/>
  <c r="Y45" i="25"/>
  <c r="Y44" i="25"/>
  <c r="Y43" i="25"/>
  <c r="Y42" i="25"/>
  <c r="Y41" i="25"/>
  <c r="Y40" i="25"/>
  <c r="Y39" i="25"/>
  <c r="Y38" i="25"/>
  <c r="Y37" i="25"/>
  <c r="Y36" i="25"/>
  <c r="Y35" i="25"/>
  <c r="Y34" i="25"/>
  <c r="Y33" i="25"/>
  <c r="Y32" i="25"/>
  <c r="Y31" i="25"/>
  <c r="Y30" i="25"/>
  <c r="Y27" i="25"/>
  <c r="Y25" i="25"/>
  <c r="Y26" i="25"/>
  <c r="Y24" i="25"/>
  <c r="Y23" i="25"/>
  <c r="Y22" i="25"/>
  <c r="Y21" i="25"/>
  <c r="X114" i="25"/>
  <c r="X113" i="25"/>
  <c r="X112" i="25"/>
  <c r="X111" i="25"/>
  <c r="X109" i="25"/>
  <c r="X108" i="25"/>
  <c r="X107" i="25"/>
  <c r="X105" i="25"/>
  <c r="X104" i="25" s="1"/>
  <c r="X102" i="25"/>
  <c r="X101" i="25" s="1"/>
  <c r="X100" i="25"/>
  <c r="X99" i="25"/>
  <c r="X98" i="25"/>
  <c r="X96" i="25"/>
  <c r="X95" i="25"/>
  <c r="X94" i="25"/>
  <c r="X93" i="25"/>
  <c r="X92" i="25"/>
  <c r="X91" i="25"/>
  <c r="X90" i="25"/>
  <c r="X89" i="25"/>
  <c r="X88" i="25"/>
  <c r="X87" i="25"/>
  <c r="X86" i="25"/>
  <c r="X85" i="25"/>
  <c r="X84" i="25"/>
  <c r="X83" i="25"/>
  <c r="X82" i="25"/>
  <c r="X81" i="25"/>
  <c r="X80" i="25"/>
  <c r="X79" i="25"/>
  <c r="X78" i="25"/>
  <c r="X77" i="25"/>
  <c r="X76" i="25"/>
  <c r="X75" i="25"/>
  <c r="X74" i="25"/>
  <c r="X73" i="25"/>
  <c r="X72" i="25"/>
  <c r="X71" i="25"/>
  <c r="X70" i="25"/>
  <c r="X69" i="25"/>
  <c r="X68" i="25"/>
  <c r="X67" i="25"/>
  <c r="X66" i="25"/>
  <c r="X65" i="25"/>
  <c r="X64" i="25"/>
  <c r="X63" i="25"/>
  <c r="X62" i="25"/>
  <c r="X61" i="25"/>
  <c r="X60" i="25"/>
  <c r="X59" i="25"/>
  <c r="X58" i="25"/>
  <c r="X57" i="25"/>
  <c r="X56" i="25"/>
  <c r="X55" i="25"/>
  <c r="X54" i="25"/>
  <c r="X53" i="25"/>
  <c r="X52" i="25"/>
  <c r="X51" i="25"/>
  <c r="X50" i="25"/>
  <c r="X49" i="25"/>
  <c r="X48" i="25"/>
  <c r="X47" i="25"/>
  <c r="X46" i="25"/>
  <c r="X45" i="25"/>
  <c r="X44" i="25"/>
  <c r="X43" i="25"/>
  <c r="X42" i="25"/>
  <c r="X41" i="25"/>
  <c r="X40" i="25"/>
  <c r="X39" i="25"/>
  <c r="X38" i="25"/>
  <c r="X37" i="25"/>
  <c r="X36" i="25"/>
  <c r="X35" i="25"/>
  <c r="X34" i="25"/>
  <c r="X33" i="25"/>
  <c r="X32" i="25"/>
  <c r="X31" i="25"/>
  <c r="X30" i="25"/>
  <c r="X27" i="25"/>
  <c r="X25" i="25"/>
  <c r="X26" i="25"/>
  <c r="X24" i="25"/>
  <c r="X23" i="25"/>
  <c r="X22" i="25"/>
  <c r="X21" i="25"/>
  <c r="W114" i="25"/>
  <c r="W113" i="25"/>
  <c r="W112" i="25"/>
  <c r="W111" i="25"/>
  <c r="W109" i="25"/>
  <c r="W108" i="25"/>
  <c r="W107" i="25"/>
  <c r="W105" i="25"/>
  <c r="W104" i="25" s="1"/>
  <c r="W102" i="25"/>
  <c r="W101" i="25" s="1"/>
  <c r="W100" i="25"/>
  <c r="W99" i="25"/>
  <c r="W98" i="25"/>
  <c r="W96" i="25"/>
  <c r="W95" i="25"/>
  <c r="W94" i="25"/>
  <c r="W93" i="25"/>
  <c r="W92" i="25"/>
  <c r="W91" i="25"/>
  <c r="W90" i="25"/>
  <c r="W89" i="25"/>
  <c r="W88" i="25"/>
  <c r="W87" i="25"/>
  <c r="W86" i="25"/>
  <c r="W85" i="25"/>
  <c r="W84" i="25"/>
  <c r="W83" i="25"/>
  <c r="W82" i="25"/>
  <c r="W81" i="25"/>
  <c r="W80" i="25"/>
  <c r="W79" i="25"/>
  <c r="W78" i="25"/>
  <c r="W77" i="25"/>
  <c r="W76" i="25"/>
  <c r="W75" i="25"/>
  <c r="W74" i="25"/>
  <c r="W73" i="25"/>
  <c r="W72" i="25"/>
  <c r="W71" i="25"/>
  <c r="W70" i="25"/>
  <c r="W69" i="25"/>
  <c r="W68" i="25"/>
  <c r="W67" i="25"/>
  <c r="W66" i="25"/>
  <c r="W65" i="25"/>
  <c r="W64" i="25"/>
  <c r="W63" i="25"/>
  <c r="W62" i="25"/>
  <c r="W61" i="25"/>
  <c r="W60" i="25"/>
  <c r="W59" i="25"/>
  <c r="W58" i="25"/>
  <c r="W57" i="25"/>
  <c r="W56" i="25"/>
  <c r="W55" i="25"/>
  <c r="W54" i="25"/>
  <c r="W53" i="25"/>
  <c r="W52" i="25"/>
  <c r="W51" i="25"/>
  <c r="W50" i="25"/>
  <c r="W49" i="25"/>
  <c r="W48" i="25"/>
  <c r="W47" i="25"/>
  <c r="W46" i="25"/>
  <c r="W45" i="25"/>
  <c r="W44" i="25"/>
  <c r="W43" i="25"/>
  <c r="W42" i="25"/>
  <c r="W41" i="25"/>
  <c r="W40" i="25"/>
  <c r="W39" i="25"/>
  <c r="W38" i="25"/>
  <c r="W37" i="25"/>
  <c r="W36" i="25"/>
  <c r="W35" i="25"/>
  <c r="W34" i="25"/>
  <c r="W33" i="25"/>
  <c r="W32" i="25"/>
  <c r="W31" i="25"/>
  <c r="W30" i="25"/>
  <c r="W27" i="25"/>
  <c r="W25" i="25"/>
  <c r="W26" i="25"/>
  <c r="W24" i="25"/>
  <c r="W23" i="25"/>
  <c r="W22" i="25"/>
  <c r="W21" i="25"/>
  <c r="AC53" i="16"/>
  <c r="AL53" i="16" s="1"/>
  <c r="AC48" i="16"/>
  <c r="AL48" i="16" s="1"/>
  <c r="AC43" i="16"/>
  <c r="AL43" i="16" s="1"/>
  <c r="AC38" i="16"/>
  <c r="AL38" i="16" s="1"/>
  <c r="AC34" i="16"/>
  <c r="AL34" i="16" s="1"/>
  <c r="AC27" i="16"/>
  <c r="AL27" i="16" s="1"/>
  <c r="AC22" i="16"/>
  <c r="AL22" i="16" s="1"/>
  <c r="N33" i="16"/>
  <c r="N37" i="16"/>
  <c r="N36" i="16"/>
  <c r="N35" i="16"/>
  <c r="N39" i="16"/>
  <c r="N47" i="16"/>
  <c r="N52" i="16"/>
  <c r="N54" i="16"/>
  <c r="N55" i="16"/>
  <c r="N53" i="16"/>
  <c r="N51" i="16"/>
  <c r="N49" i="16"/>
  <c r="N48" i="16"/>
  <c r="N46" i="16"/>
  <c r="N44" i="16"/>
  <c r="N43" i="16"/>
  <c r="N42" i="16"/>
  <c r="N40" i="16"/>
  <c r="N38" i="16"/>
  <c r="N34" i="16"/>
  <c r="N32" i="16"/>
  <c r="N29" i="16"/>
  <c r="N27" i="16"/>
  <c r="N26" i="16"/>
  <c r="N25" i="16"/>
  <c r="N23" i="16"/>
  <c r="N22" i="16"/>
  <c r="N21" i="16"/>
  <c r="AD55" i="16"/>
  <c r="AM55" i="16" s="1"/>
  <c r="AD54" i="16"/>
  <c r="AM54" i="16" s="1"/>
  <c r="AD53" i="16"/>
  <c r="AM53" i="16" s="1"/>
  <c r="AD52" i="16"/>
  <c r="AM52" i="16" s="1"/>
  <c r="AD51" i="16"/>
  <c r="AM51" i="16" s="1"/>
  <c r="AD49" i="16"/>
  <c r="AM49" i="16" s="1"/>
  <c r="AD48" i="16"/>
  <c r="AM48" i="16" s="1"/>
  <c r="AD47" i="16"/>
  <c r="AM47" i="16" s="1"/>
  <c r="AD46" i="16"/>
  <c r="AM46" i="16" s="1"/>
  <c r="AD44" i="16"/>
  <c r="AM44" i="16" s="1"/>
  <c r="AD43" i="16"/>
  <c r="AM43" i="16" s="1"/>
  <c r="AD42" i="16"/>
  <c r="AM42" i="16" s="1"/>
  <c r="AD40" i="16"/>
  <c r="AM40" i="16" s="1"/>
  <c r="AD39" i="16"/>
  <c r="AM39" i="16" s="1"/>
  <c r="AD38" i="16"/>
  <c r="AM38" i="16" s="1"/>
  <c r="AD37" i="16"/>
  <c r="AM37" i="16" s="1"/>
  <c r="AD36" i="16"/>
  <c r="AM36" i="16" s="1"/>
  <c r="AD35" i="16"/>
  <c r="AM35" i="16" s="1"/>
  <c r="AD34" i="16"/>
  <c r="AM34" i="16" s="1"/>
  <c r="AD33" i="16"/>
  <c r="AM33" i="16" s="1"/>
  <c r="AD32" i="16"/>
  <c r="AM32" i="16" s="1"/>
  <c r="AD29" i="16"/>
  <c r="AD27" i="16"/>
  <c r="AM27" i="16" s="1"/>
  <c r="AD26" i="16"/>
  <c r="AM26" i="16" s="1"/>
  <c r="AD25" i="16"/>
  <c r="AM25" i="16" s="1"/>
  <c r="AD23" i="16"/>
  <c r="AM23" i="16" s="1"/>
  <c r="AD22" i="16"/>
  <c r="AM22" i="16" s="1"/>
  <c r="AD21" i="16"/>
  <c r="AM21" i="16" s="1"/>
  <c r="AB55" i="16"/>
  <c r="AK55" i="16" s="1"/>
  <c r="AB54" i="16"/>
  <c r="AK54" i="16" s="1"/>
  <c r="AB53" i="16"/>
  <c r="AK53" i="16" s="1"/>
  <c r="AB52" i="16"/>
  <c r="AK52" i="16" s="1"/>
  <c r="AB51" i="16"/>
  <c r="AK51" i="16" s="1"/>
  <c r="AB49" i="16"/>
  <c r="AK49" i="16" s="1"/>
  <c r="AB48" i="16"/>
  <c r="AB47" i="16"/>
  <c r="AK47" i="16" s="1"/>
  <c r="AB46" i="16"/>
  <c r="AK46" i="16" s="1"/>
  <c r="AB44" i="16"/>
  <c r="AK44" i="16" s="1"/>
  <c r="AB43" i="16"/>
  <c r="AK43" i="16" s="1"/>
  <c r="AB42" i="16"/>
  <c r="AK42" i="16" s="1"/>
  <c r="AB40" i="16"/>
  <c r="AK40" i="16" s="1"/>
  <c r="AB39" i="16"/>
  <c r="AK39" i="16" s="1"/>
  <c r="AB38" i="16"/>
  <c r="AK38" i="16" s="1"/>
  <c r="AB37" i="16"/>
  <c r="AK37" i="16" s="1"/>
  <c r="AB36" i="16"/>
  <c r="AK36" i="16" s="1"/>
  <c r="AB35" i="16"/>
  <c r="AK35" i="16" s="1"/>
  <c r="AB34" i="16"/>
  <c r="AK34" i="16" s="1"/>
  <c r="AB33" i="16"/>
  <c r="AK33" i="16" s="1"/>
  <c r="AB32" i="16"/>
  <c r="AK32" i="16" s="1"/>
  <c r="AB29" i="16"/>
  <c r="AK29" i="16" s="1"/>
  <c r="AB27" i="16"/>
  <c r="AB26" i="16"/>
  <c r="AK26" i="16" s="1"/>
  <c r="AB25" i="16"/>
  <c r="AK25" i="16" s="1"/>
  <c r="AB23" i="16"/>
  <c r="AK23" i="16" s="1"/>
  <c r="AB22" i="16"/>
  <c r="AK22" i="16" s="1"/>
  <c r="AB21" i="16"/>
  <c r="AC55" i="16"/>
  <c r="AL55" i="16" s="1"/>
  <c r="AC54" i="16"/>
  <c r="AL54" i="16" s="1"/>
  <c r="AC52" i="16"/>
  <c r="AL52" i="16" s="1"/>
  <c r="AC51" i="16"/>
  <c r="AL51" i="16" s="1"/>
  <c r="AC49" i="16"/>
  <c r="AL49" i="16" s="1"/>
  <c r="AC47" i="16"/>
  <c r="AL47" i="16" s="1"/>
  <c r="AC46" i="16"/>
  <c r="AL46" i="16" s="1"/>
  <c r="AC44" i="16"/>
  <c r="AL44" i="16" s="1"/>
  <c r="AC42" i="16"/>
  <c r="AL42" i="16" s="1"/>
  <c r="AC40" i="16"/>
  <c r="AL40" i="16" s="1"/>
  <c r="AC39" i="16"/>
  <c r="AL39" i="16" s="1"/>
  <c r="AC37" i="16"/>
  <c r="AL37" i="16" s="1"/>
  <c r="AC36" i="16"/>
  <c r="AL36" i="16" s="1"/>
  <c r="AC35" i="16"/>
  <c r="AL35" i="16" s="1"/>
  <c r="AN35" i="16" s="1"/>
  <c r="AC33" i="16"/>
  <c r="AL33" i="16" s="1"/>
  <c r="AC32" i="16"/>
  <c r="AL32" i="16" s="1"/>
  <c r="AC29" i="16"/>
  <c r="AC26" i="16"/>
  <c r="AL26" i="16" s="1"/>
  <c r="AC25" i="16"/>
  <c r="AL25" i="16" s="1"/>
  <c r="AC23" i="16"/>
  <c r="AL23" i="16" s="1"/>
  <c r="P60" i="2"/>
  <c r="P52" i="2"/>
  <c r="P50" i="2"/>
  <c r="P49" i="2"/>
  <c r="P45" i="2"/>
  <c r="P44" i="2"/>
  <c r="P42" i="2"/>
  <c r="P40" i="2"/>
  <c r="P38" i="2"/>
  <c r="P37" i="2"/>
  <c r="P35" i="2"/>
  <c r="P34" i="2"/>
  <c r="P31" i="2"/>
  <c r="P67" i="2"/>
  <c r="P66" i="2"/>
  <c r="P65" i="2"/>
  <c r="P64" i="2"/>
  <c r="P63" i="2"/>
  <c r="P62" i="2"/>
  <c r="P59" i="2"/>
  <c r="P57" i="2"/>
  <c r="P56" i="2"/>
  <c r="P55" i="2"/>
  <c r="P53" i="2"/>
  <c r="P51" i="2"/>
  <c r="P48" i="2"/>
  <c r="P46" i="2"/>
  <c r="P43" i="2"/>
  <c r="P41" i="2"/>
  <c r="P39" i="2"/>
  <c r="P36" i="2"/>
  <c r="P33" i="2"/>
  <c r="P32" i="2"/>
  <c r="P30" i="2"/>
  <c r="P27" i="2"/>
  <c r="P25" i="2"/>
  <c r="P24" i="2"/>
  <c r="P23" i="2"/>
  <c r="P22" i="2"/>
  <c r="P20" i="2"/>
  <c r="P19" i="2"/>
  <c r="P38" i="5"/>
  <c r="P36" i="5"/>
  <c r="P35" i="5"/>
  <c r="P34" i="5"/>
  <c r="P33" i="5"/>
  <c r="P32" i="5"/>
  <c r="P31" i="5"/>
  <c r="P30" i="5"/>
  <c r="P29" i="5"/>
  <c r="P27" i="5"/>
  <c r="P26" i="5"/>
  <c r="P25" i="5"/>
  <c r="P24" i="5"/>
  <c r="P22" i="5"/>
  <c r="P21" i="5"/>
  <c r="P20" i="5"/>
  <c r="AN37" i="5"/>
  <c r="AM37" i="5"/>
  <c r="AJ38" i="5"/>
  <c r="AW38" i="5" s="1"/>
  <c r="AJ36" i="5"/>
  <c r="AJ35" i="5"/>
  <c r="AJ34" i="5"/>
  <c r="AJ33" i="5"/>
  <c r="AJ32" i="5"/>
  <c r="AJ31" i="5"/>
  <c r="AJ30" i="5"/>
  <c r="AJ29" i="5"/>
  <c r="AJ27" i="5"/>
  <c r="AJ26" i="5"/>
  <c r="AJ25" i="5"/>
  <c r="AJ24" i="5"/>
  <c r="AJ22" i="5"/>
  <c r="AJ21" i="5"/>
  <c r="AJ20" i="5"/>
  <c r="AK37" i="5"/>
  <c r="P63" i="3"/>
  <c r="P62" i="3"/>
  <c r="P61" i="3"/>
  <c r="P59" i="3"/>
  <c r="P58" i="3"/>
  <c r="P57" i="3"/>
  <c r="P56" i="3"/>
  <c r="P54" i="3"/>
  <c r="P53" i="3"/>
  <c r="P52" i="3"/>
  <c r="P50" i="3"/>
  <c r="P49" i="3"/>
  <c r="P48" i="3"/>
  <c r="P47" i="3"/>
  <c r="P44" i="3"/>
  <c r="P42" i="3"/>
  <c r="P41" i="3"/>
  <c r="P40" i="3"/>
  <c r="P39" i="3"/>
  <c r="P38" i="3"/>
  <c r="P37" i="3"/>
  <c r="P36" i="3"/>
  <c r="P35" i="3"/>
  <c r="P34" i="3"/>
  <c r="P33" i="3"/>
  <c r="P32" i="3"/>
  <c r="P31" i="3"/>
  <c r="P29" i="3"/>
  <c r="P28" i="3"/>
  <c r="P27" i="3"/>
  <c r="P26" i="3"/>
  <c r="P25" i="3"/>
  <c r="P24" i="3"/>
  <c r="P23" i="3"/>
  <c r="P22" i="3"/>
  <c r="P21" i="3"/>
  <c r="AN43" i="3"/>
  <c r="AM43" i="3"/>
  <c r="AL43" i="3"/>
  <c r="AK43" i="3"/>
  <c r="AJ44" i="3"/>
  <c r="AW44" i="3" s="1"/>
  <c r="CW38" i="3"/>
  <c r="AJ38" i="3"/>
  <c r="AJ21" i="3"/>
  <c r="AJ25" i="3"/>
  <c r="AJ29" i="3"/>
  <c r="AJ34" i="3"/>
  <c r="AJ39" i="3"/>
  <c r="AJ47" i="3"/>
  <c r="AJ48" i="3"/>
  <c r="AJ52" i="3"/>
  <c r="AJ53" i="3"/>
  <c r="AJ57" i="3"/>
  <c r="AJ58" i="3"/>
  <c r="AJ62" i="3"/>
  <c r="AJ63" i="3"/>
  <c r="AJ61" i="3"/>
  <c r="AJ59" i="3"/>
  <c r="AJ56" i="3"/>
  <c r="AJ54" i="3"/>
  <c r="AJ50" i="3"/>
  <c r="AJ49" i="3"/>
  <c r="AJ42" i="3"/>
  <c r="AJ41" i="3"/>
  <c r="AJ40" i="3"/>
  <c r="AJ37" i="3"/>
  <c r="AJ36" i="3"/>
  <c r="AJ35" i="3"/>
  <c r="AJ33" i="3"/>
  <c r="AJ32" i="3"/>
  <c r="AJ31" i="3"/>
  <c r="AJ28" i="3"/>
  <c r="AJ27" i="3"/>
  <c r="AJ26" i="3"/>
  <c r="AJ24" i="3"/>
  <c r="AJ23" i="3"/>
  <c r="AJ22" i="3"/>
  <c r="BI21" i="3"/>
  <c r="BK21" i="3"/>
  <c r="BM21" i="3"/>
  <c r="CQ21" i="3"/>
  <c r="CS21" i="3"/>
  <c r="CT21" i="3"/>
  <c r="CU21" i="3"/>
  <c r="BI22" i="3"/>
  <c r="BK22" i="3"/>
  <c r="BM22" i="3"/>
  <c r="CQ22" i="3"/>
  <c r="CS22" i="3"/>
  <c r="CT22" i="3"/>
  <c r="CU22" i="3"/>
  <c r="BI23" i="3"/>
  <c r="BK23" i="3"/>
  <c r="BM23" i="3"/>
  <c r="CQ23" i="3"/>
  <c r="CS23" i="3"/>
  <c r="CT23" i="3"/>
  <c r="CU23" i="3"/>
  <c r="BI24" i="3"/>
  <c r="BK24" i="3"/>
  <c r="BM24" i="3"/>
  <c r="CQ24" i="3"/>
  <c r="CS24" i="3"/>
  <c r="CT24" i="3"/>
  <c r="CU24" i="3"/>
  <c r="BI25" i="3"/>
  <c r="BK25" i="3"/>
  <c r="BM25" i="3"/>
  <c r="CQ25" i="3"/>
  <c r="CS25" i="3"/>
  <c r="CT25" i="3"/>
  <c r="CU25" i="3"/>
  <c r="BI27" i="3"/>
  <c r="BK27" i="3"/>
  <c r="BM27" i="3"/>
  <c r="CQ27" i="3"/>
  <c r="CS27" i="3"/>
  <c r="CT27" i="3"/>
  <c r="CU27" i="3"/>
  <c r="BI28" i="3"/>
  <c r="BK28" i="3"/>
  <c r="BM28" i="3"/>
  <c r="CQ28" i="3"/>
  <c r="CS28" i="3"/>
  <c r="CT28" i="3"/>
  <c r="CU28" i="3"/>
  <c r="BI29" i="3"/>
  <c r="BK29" i="3"/>
  <c r="BM29" i="3"/>
  <c r="CQ29" i="3"/>
  <c r="CS29" i="3"/>
  <c r="CT29" i="3"/>
  <c r="CU29" i="3"/>
  <c r="BI31" i="3"/>
  <c r="BK31" i="3"/>
  <c r="BM31" i="3"/>
  <c r="CQ31" i="3"/>
  <c r="CS31" i="3"/>
  <c r="CT31" i="3"/>
  <c r="CU31" i="3"/>
  <c r="BI32" i="3"/>
  <c r="BK32" i="3"/>
  <c r="BM32" i="3"/>
  <c r="CQ32" i="3"/>
  <c r="CS32" i="3"/>
  <c r="CT32" i="3"/>
  <c r="CU32" i="3"/>
  <c r="BI33" i="3"/>
  <c r="BK33" i="3"/>
  <c r="BM33" i="3"/>
  <c r="CQ33" i="3"/>
  <c r="CS33" i="3"/>
  <c r="CT33" i="3"/>
  <c r="CU33" i="3"/>
  <c r="BI34" i="3"/>
  <c r="BK34" i="3"/>
  <c r="BM34" i="3"/>
  <c r="CQ34" i="3"/>
  <c r="CS34" i="3"/>
  <c r="CT34" i="3"/>
  <c r="CU34" i="3"/>
  <c r="BI35" i="3"/>
  <c r="BK35" i="3"/>
  <c r="BM35" i="3"/>
  <c r="CQ35" i="3"/>
  <c r="CS35" i="3"/>
  <c r="CT35" i="3"/>
  <c r="CU35" i="3"/>
  <c r="BI36" i="3"/>
  <c r="BK36" i="3"/>
  <c r="BM36" i="3"/>
  <c r="CQ36" i="3"/>
  <c r="CS36" i="3"/>
  <c r="CT36" i="3"/>
  <c r="CU36" i="3"/>
  <c r="BI37" i="3"/>
  <c r="BK37" i="3"/>
  <c r="BM37" i="3"/>
  <c r="CQ37" i="3"/>
  <c r="CS37" i="3"/>
  <c r="CT37" i="3"/>
  <c r="CU37" i="3"/>
  <c r="BI39" i="3"/>
  <c r="BK39" i="3"/>
  <c r="BM39" i="3"/>
  <c r="CQ39" i="3"/>
  <c r="CS39" i="3"/>
  <c r="CT39" i="3"/>
  <c r="CU39" i="3"/>
  <c r="BI40" i="3"/>
  <c r="BK40" i="3"/>
  <c r="BM40" i="3"/>
  <c r="CQ40" i="3"/>
  <c r="CS40" i="3"/>
  <c r="CT40" i="3"/>
  <c r="CU40" i="3"/>
  <c r="BI41" i="3"/>
  <c r="BK41" i="3"/>
  <c r="BM41" i="3"/>
  <c r="CQ41" i="3"/>
  <c r="CS41" i="3"/>
  <c r="CT41" i="3"/>
  <c r="CU41" i="3"/>
  <c r="BI42" i="3"/>
  <c r="BK42" i="3"/>
  <c r="BM42" i="3"/>
  <c r="CQ42" i="3"/>
  <c r="CS42" i="3"/>
  <c r="CT42" i="3"/>
  <c r="CU42" i="3"/>
  <c r="CW42" i="3"/>
  <c r="BI47" i="3"/>
  <c r="BK47" i="3"/>
  <c r="BM47" i="3"/>
  <c r="CQ47" i="3"/>
  <c r="CS47" i="3"/>
  <c r="CT47" i="3"/>
  <c r="CU47" i="3"/>
  <c r="BI48" i="3"/>
  <c r="BK48" i="3"/>
  <c r="BM48" i="3"/>
  <c r="CQ48" i="3"/>
  <c r="CS48" i="3"/>
  <c r="CT48" i="3"/>
  <c r="CU48" i="3"/>
  <c r="BI49" i="3"/>
  <c r="BK49" i="3"/>
  <c r="BM49" i="3"/>
  <c r="CQ49" i="3"/>
  <c r="CS49" i="3"/>
  <c r="CT49" i="3"/>
  <c r="CU49" i="3"/>
  <c r="BI50" i="3"/>
  <c r="BK50" i="3"/>
  <c r="BM50" i="3"/>
  <c r="CQ50" i="3"/>
  <c r="CS50" i="3"/>
  <c r="CT50" i="3"/>
  <c r="CU50" i="3"/>
  <c r="BI52" i="3"/>
  <c r="BK52" i="3"/>
  <c r="BM52" i="3"/>
  <c r="CQ52" i="3"/>
  <c r="CS52" i="3"/>
  <c r="CT52" i="3"/>
  <c r="CU52" i="3"/>
  <c r="BI53" i="3"/>
  <c r="BK53" i="3"/>
  <c r="BM53" i="3"/>
  <c r="CQ53" i="3"/>
  <c r="CS53" i="3"/>
  <c r="CT53" i="3"/>
  <c r="CU53" i="3"/>
  <c r="BI54" i="3"/>
  <c r="BK54" i="3"/>
  <c r="BM54" i="3"/>
  <c r="CQ54" i="3"/>
  <c r="CS54" i="3"/>
  <c r="CT54" i="3"/>
  <c r="CU54" i="3"/>
  <c r="BI56" i="3"/>
  <c r="BK56" i="3"/>
  <c r="BM56" i="3"/>
  <c r="CQ56" i="3"/>
  <c r="CS56" i="3"/>
  <c r="CT56" i="3"/>
  <c r="CU56" i="3"/>
  <c r="BI57" i="3"/>
  <c r="BK57" i="3"/>
  <c r="BM57" i="3"/>
  <c r="CQ57" i="3"/>
  <c r="CS57" i="3"/>
  <c r="CT57" i="3"/>
  <c r="CU57" i="3"/>
  <c r="BI58" i="3"/>
  <c r="BK58" i="3"/>
  <c r="BM58" i="3"/>
  <c r="CQ58" i="3"/>
  <c r="CS58" i="3"/>
  <c r="CT58" i="3"/>
  <c r="CU58" i="3"/>
  <c r="BI59" i="3"/>
  <c r="BK59" i="3"/>
  <c r="BM59" i="3"/>
  <c r="CQ59" i="3"/>
  <c r="CS59" i="3"/>
  <c r="CT59" i="3"/>
  <c r="CU59" i="3"/>
  <c r="BI61" i="3"/>
  <c r="BK61" i="3"/>
  <c r="BM61" i="3"/>
  <c r="CQ61" i="3"/>
  <c r="CS61" i="3"/>
  <c r="CT61" i="3"/>
  <c r="CU61" i="3"/>
  <c r="BI62" i="3"/>
  <c r="BK62" i="3"/>
  <c r="BM62" i="3"/>
  <c r="CQ62" i="3"/>
  <c r="CS62" i="3"/>
  <c r="CT62" i="3"/>
  <c r="CU62" i="3"/>
  <c r="BI63" i="3"/>
  <c r="BK63" i="3"/>
  <c r="BM63" i="3"/>
  <c r="CQ63" i="3"/>
  <c r="CS63" i="3"/>
  <c r="CT63" i="3"/>
  <c r="CU63" i="3"/>
  <c r="AN67" i="2"/>
  <c r="BA67" i="2" s="1"/>
  <c r="AM67" i="2"/>
  <c r="AZ67" i="2" s="1"/>
  <c r="AL67" i="2"/>
  <c r="AY67" i="2" s="1"/>
  <c r="AK67" i="2"/>
  <c r="AX67" i="2" s="1"/>
  <c r="AJ67" i="2"/>
  <c r="AW67" i="2" s="1"/>
  <c r="AN66" i="2"/>
  <c r="BA66" i="2" s="1"/>
  <c r="AM66" i="2"/>
  <c r="AZ66" i="2" s="1"/>
  <c r="AL66" i="2"/>
  <c r="AY66" i="2" s="1"/>
  <c r="AK66" i="2"/>
  <c r="AX66" i="2" s="1"/>
  <c r="AJ66" i="2"/>
  <c r="AW66" i="2" s="1"/>
  <c r="AN65" i="2"/>
  <c r="BA65" i="2" s="1"/>
  <c r="AM65" i="2"/>
  <c r="AZ65" i="2" s="1"/>
  <c r="AL65" i="2"/>
  <c r="AY65" i="2" s="1"/>
  <c r="AK65" i="2"/>
  <c r="AX65" i="2" s="1"/>
  <c r="AJ65" i="2"/>
  <c r="AW65" i="2" s="1"/>
  <c r="AN60" i="2"/>
  <c r="BA60" i="2" s="1"/>
  <c r="AM60" i="2"/>
  <c r="AZ60" i="2" s="1"/>
  <c r="AL60" i="2"/>
  <c r="AY60" i="2" s="1"/>
  <c r="AK60" i="2"/>
  <c r="AX60" i="2" s="1"/>
  <c r="AJ60" i="2"/>
  <c r="AW60" i="2" s="1"/>
  <c r="AN59" i="2"/>
  <c r="BA59" i="2" s="1"/>
  <c r="AM59" i="2"/>
  <c r="AZ59" i="2" s="1"/>
  <c r="AL59" i="2"/>
  <c r="AY59" i="2" s="1"/>
  <c r="AY58" i="2" s="1"/>
  <c r="AK59" i="2"/>
  <c r="AX59" i="2" s="1"/>
  <c r="AJ59" i="2"/>
  <c r="AW59" i="2" s="1"/>
  <c r="AJ19" i="2"/>
  <c r="AW19" i="2" s="1"/>
  <c r="AJ20" i="2"/>
  <c r="AW20" i="2" s="1"/>
  <c r="AJ22" i="2"/>
  <c r="AW22" i="2" s="1"/>
  <c r="AJ23" i="2"/>
  <c r="AW23" i="2" s="1"/>
  <c r="AJ24" i="2"/>
  <c r="AW24" i="2" s="1"/>
  <c r="AJ25" i="2"/>
  <c r="AW25" i="2" s="1"/>
  <c r="AJ27" i="2"/>
  <c r="AJ30" i="2"/>
  <c r="AW30" i="2" s="1"/>
  <c r="AJ31" i="2"/>
  <c r="AW31" i="2" s="1"/>
  <c r="AJ32" i="2"/>
  <c r="AW32" i="2" s="1"/>
  <c r="AJ33" i="2"/>
  <c r="AW33" i="2" s="1"/>
  <c r="AJ34" i="2"/>
  <c r="AW34" i="2" s="1"/>
  <c r="AJ35" i="2"/>
  <c r="AW35" i="2" s="1"/>
  <c r="AJ36" i="2"/>
  <c r="AW36" i="2" s="1"/>
  <c r="AJ37" i="2"/>
  <c r="AW37" i="2" s="1"/>
  <c r="AJ38" i="2"/>
  <c r="AW38" i="2" s="1"/>
  <c r="AJ39" i="2"/>
  <c r="AW39" i="2" s="1"/>
  <c r="AJ40" i="2"/>
  <c r="AW40" i="2" s="1"/>
  <c r="AJ41" i="2"/>
  <c r="AW41" i="2" s="1"/>
  <c r="AJ42" i="2"/>
  <c r="AW42" i="2" s="1"/>
  <c r="AJ43" i="2"/>
  <c r="AW43" i="2" s="1"/>
  <c r="AJ44" i="2"/>
  <c r="AW44" i="2" s="1"/>
  <c r="AJ45" i="2"/>
  <c r="AW45" i="2" s="1"/>
  <c r="AJ46" i="2"/>
  <c r="AW46" i="2" s="1"/>
  <c r="AJ48" i="2"/>
  <c r="AW48" i="2" s="1"/>
  <c r="AJ49" i="2"/>
  <c r="AW49" i="2" s="1"/>
  <c r="AJ50" i="2"/>
  <c r="AW50" i="2" s="1"/>
  <c r="AJ51" i="2"/>
  <c r="AW51" i="2" s="1"/>
  <c r="AJ52" i="2"/>
  <c r="AW52" i="2" s="1"/>
  <c r="AJ53" i="2"/>
  <c r="AW53" i="2" s="1"/>
  <c r="AJ55" i="2"/>
  <c r="AW55" i="2" s="1"/>
  <c r="AJ56" i="2"/>
  <c r="AW56" i="2" s="1"/>
  <c r="AJ57" i="2"/>
  <c r="AW57" i="2" s="1"/>
  <c r="AJ62" i="2"/>
  <c r="AW62" i="2" s="1"/>
  <c r="AJ63" i="2"/>
  <c r="AW63" i="2" s="1"/>
  <c r="AJ64" i="2"/>
  <c r="AW64" i="2" s="1"/>
  <c r="AN64" i="2"/>
  <c r="BA64" i="2" s="1"/>
  <c r="AN63" i="2"/>
  <c r="BA63" i="2" s="1"/>
  <c r="AN62" i="2"/>
  <c r="BA62" i="2" s="1"/>
  <c r="AN57" i="2"/>
  <c r="BA57" i="2" s="1"/>
  <c r="AN56" i="2"/>
  <c r="BA56" i="2" s="1"/>
  <c r="AN55" i="2"/>
  <c r="BA55" i="2" s="1"/>
  <c r="AN53" i="2"/>
  <c r="BA53" i="2" s="1"/>
  <c r="AN52" i="2"/>
  <c r="BA52" i="2" s="1"/>
  <c r="AN51" i="2"/>
  <c r="BA51" i="2" s="1"/>
  <c r="AN50" i="2"/>
  <c r="BA50" i="2" s="1"/>
  <c r="AN49" i="2"/>
  <c r="BA49" i="2" s="1"/>
  <c r="AN48" i="2"/>
  <c r="BA48" i="2" s="1"/>
  <c r="AN46" i="2"/>
  <c r="BA46" i="2" s="1"/>
  <c r="AN45" i="2"/>
  <c r="BA45" i="2" s="1"/>
  <c r="AN44" i="2"/>
  <c r="BA44" i="2" s="1"/>
  <c r="AN43" i="2"/>
  <c r="BA43" i="2" s="1"/>
  <c r="AN42" i="2"/>
  <c r="BA42" i="2" s="1"/>
  <c r="AN41" i="2"/>
  <c r="BA41" i="2" s="1"/>
  <c r="AN40" i="2"/>
  <c r="BA40" i="2" s="1"/>
  <c r="AN39" i="2"/>
  <c r="BA39" i="2" s="1"/>
  <c r="AN38" i="2"/>
  <c r="BA38" i="2" s="1"/>
  <c r="AN37" i="2"/>
  <c r="BA37" i="2" s="1"/>
  <c r="AN36" i="2"/>
  <c r="BA36" i="2" s="1"/>
  <c r="AN35" i="2"/>
  <c r="BA35" i="2" s="1"/>
  <c r="AN34" i="2"/>
  <c r="BA34" i="2" s="1"/>
  <c r="AN33" i="2"/>
  <c r="BA33" i="2" s="1"/>
  <c r="AN32" i="2"/>
  <c r="BA32" i="2" s="1"/>
  <c r="AN31" i="2"/>
  <c r="BA31" i="2" s="1"/>
  <c r="AN30" i="2"/>
  <c r="BA30" i="2" s="1"/>
  <c r="AN27" i="2"/>
  <c r="AN25" i="2"/>
  <c r="BA25" i="2" s="1"/>
  <c r="AN24" i="2"/>
  <c r="BA24" i="2" s="1"/>
  <c r="AN23" i="2"/>
  <c r="BA23" i="2" s="1"/>
  <c r="AN22" i="2"/>
  <c r="BA22" i="2" s="1"/>
  <c r="AN20" i="2"/>
  <c r="BA20" i="2" s="1"/>
  <c r="AN19" i="2"/>
  <c r="BA19" i="2" s="1"/>
  <c r="BA18" i="2" s="1"/>
  <c r="AM64" i="2"/>
  <c r="AZ64" i="2" s="1"/>
  <c r="AL64" i="2"/>
  <c r="AY64" i="2" s="1"/>
  <c r="AK64" i="2"/>
  <c r="AX64" i="2" s="1"/>
  <c r="AM63" i="2"/>
  <c r="AZ63" i="2" s="1"/>
  <c r="AL63" i="2"/>
  <c r="AY63" i="2" s="1"/>
  <c r="AK63" i="2"/>
  <c r="AX63" i="2" s="1"/>
  <c r="AM62" i="2"/>
  <c r="AZ62" i="2" s="1"/>
  <c r="AL62" i="2"/>
  <c r="AY62" i="2" s="1"/>
  <c r="AK62" i="2"/>
  <c r="AX62" i="2" s="1"/>
  <c r="AM57" i="2"/>
  <c r="AZ57" i="2" s="1"/>
  <c r="AM56" i="2"/>
  <c r="AZ56" i="2" s="1"/>
  <c r="AM55" i="2"/>
  <c r="AZ55" i="2" s="1"/>
  <c r="AM53" i="2"/>
  <c r="AZ53" i="2" s="1"/>
  <c r="AM52" i="2"/>
  <c r="AZ52" i="2" s="1"/>
  <c r="AM51" i="2"/>
  <c r="AZ51" i="2" s="1"/>
  <c r="AM50" i="2"/>
  <c r="AZ50" i="2" s="1"/>
  <c r="AM49" i="2"/>
  <c r="AZ49" i="2" s="1"/>
  <c r="AM48" i="2"/>
  <c r="AZ48" i="2" s="1"/>
  <c r="AM46" i="2"/>
  <c r="AZ46" i="2" s="1"/>
  <c r="AM45" i="2"/>
  <c r="AZ45" i="2" s="1"/>
  <c r="AM44" i="2"/>
  <c r="AZ44" i="2" s="1"/>
  <c r="AM43" i="2"/>
  <c r="AZ43" i="2" s="1"/>
  <c r="AM42" i="2"/>
  <c r="AZ42" i="2" s="1"/>
  <c r="AM41" i="2"/>
  <c r="AZ41" i="2" s="1"/>
  <c r="AM40" i="2"/>
  <c r="AZ40" i="2" s="1"/>
  <c r="AM39" i="2"/>
  <c r="AZ39" i="2" s="1"/>
  <c r="AM38" i="2"/>
  <c r="AZ38" i="2" s="1"/>
  <c r="AM37" i="2"/>
  <c r="AZ37" i="2" s="1"/>
  <c r="AM36" i="2"/>
  <c r="AZ36" i="2" s="1"/>
  <c r="AM35" i="2"/>
  <c r="AZ35" i="2" s="1"/>
  <c r="AM34" i="2"/>
  <c r="AZ34" i="2" s="1"/>
  <c r="AM33" i="2"/>
  <c r="AZ33" i="2" s="1"/>
  <c r="AM32" i="2"/>
  <c r="AZ32" i="2" s="1"/>
  <c r="AM31" i="2"/>
  <c r="AZ31" i="2" s="1"/>
  <c r="AM30" i="2"/>
  <c r="AZ30" i="2" s="1"/>
  <c r="AM27" i="2"/>
  <c r="AM25" i="2"/>
  <c r="AZ25" i="2" s="1"/>
  <c r="AM24" i="2"/>
  <c r="AZ24" i="2" s="1"/>
  <c r="AM23" i="2"/>
  <c r="AZ23" i="2" s="1"/>
  <c r="AM22" i="2"/>
  <c r="AZ22" i="2" s="1"/>
  <c r="AM20" i="2"/>
  <c r="AZ20" i="2" s="1"/>
  <c r="AM19" i="2"/>
  <c r="AZ19" i="2" s="1"/>
  <c r="AZ18" i="2" s="1"/>
  <c r="AK49" i="2"/>
  <c r="AX49" i="2" s="1"/>
  <c r="AL49" i="2"/>
  <c r="AY49" i="2" s="1"/>
  <c r="AK45" i="2"/>
  <c r="AX45" i="2" s="1"/>
  <c r="AL45" i="2"/>
  <c r="AY45" i="2" s="1"/>
  <c r="AK44" i="2"/>
  <c r="AX44" i="2" s="1"/>
  <c r="AL44" i="2"/>
  <c r="AY44" i="2" s="1"/>
  <c r="AK42" i="2"/>
  <c r="AX42" i="2" s="1"/>
  <c r="AL42" i="2"/>
  <c r="AY42" i="2" s="1"/>
  <c r="AL40" i="2"/>
  <c r="AY40" i="2" s="1"/>
  <c r="AL38" i="2"/>
  <c r="AY38" i="2" s="1"/>
  <c r="AL37" i="2"/>
  <c r="AY37" i="2" s="1"/>
  <c r="AL35" i="2"/>
  <c r="AY35" i="2" s="1"/>
  <c r="AL34" i="2"/>
  <c r="AY34" i="2" s="1"/>
  <c r="AL31" i="2"/>
  <c r="AY31" i="2" s="1"/>
  <c r="AK50" i="2"/>
  <c r="AX50" i="2" s="1"/>
  <c r="AL50" i="2"/>
  <c r="AY50" i="2" s="1"/>
  <c r="AK52" i="2"/>
  <c r="AX52" i="2" s="1"/>
  <c r="AL52" i="2"/>
  <c r="AY52" i="2" s="1"/>
  <c r="AL57" i="2"/>
  <c r="AY57" i="2" s="1"/>
  <c r="AL56" i="2"/>
  <c r="AY56" i="2" s="1"/>
  <c r="AL55" i="2"/>
  <c r="AY55" i="2" s="1"/>
  <c r="AL53" i="2"/>
  <c r="AY53" i="2" s="1"/>
  <c r="AL51" i="2"/>
  <c r="AY51" i="2" s="1"/>
  <c r="AL48" i="2"/>
  <c r="AY48" i="2" s="1"/>
  <c r="AL46" i="2"/>
  <c r="AY46" i="2" s="1"/>
  <c r="AL43" i="2"/>
  <c r="AY43" i="2" s="1"/>
  <c r="AL41" i="2"/>
  <c r="AY41" i="2" s="1"/>
  <c r="AL39" i="2"/>
  <c r="AY39" i="2" s="1"/>
  <c r="AL36" i="2"/>
  <c r="AY36" i="2" s="1"/>
  <c r="AL33" i="2"/>
  <c r="AY33" i="2" s="1"/>
  <c r="AL32" i="2"/>
  <c r="AY32" i="2" s="1"/>
  <c r="AL30" i="2"/>
  <c r="AY30" i="2" s="1"/>
  <c r="AL27" i="2"/>
  <c r="AL25" i="2"/>
  <c r="AY25" i="2" s="1"/>
  <c r="AL24" i="2"/>
  <c r="AY24" i="2" s="1"/>
  <c r="AL23" i="2"/>
  <c r="AY23" i="2" s="1"/>
  <c r="AL22" i="2"/>
  <c r="AY22" i="2" s="1"/>
  <c r="AL20" i="2"/>
  <c r="AY20" i="2" s="1"/>
  <c r="AL19" i="2"/>
  <c r="AY19" i="2" s="1"/>
  <c r="AK19" i="2"/>
  <c r="AX19" i="2" s="1"/>
  <c r="AK20" i="2"/>
  <c r="AX20" i="2" s="1"/>
  <c r="AK57" i="2"/>
  <c r="AX57" i="2" s="1"/>
  <c r="AK56" i="2"/>
  <c r="AX56" i="2" s="1"/>
  <c r="AK55" i="2"/>
  <c r="AX55" i="2" s="1"/>
  <c r="AK53" i="2"/>
  <c r="AX53" i="2" s="1"/>
  <c r="AK51" i="2"/>
  <c r="AX51" i="2" s="1"/>
  <c r="AK48" i="2"/>
  <c r="AX48" i="2" s="1"/>
  <c r="AK46" i="2"/>
  <c r="AX46" i="2" s="1"/>
  <c r="AK43" i="2"/>
  <c r="AX43" i="2" s="1"/>
  <c r="AK41" i="2"/>
  <c r="AX41" i="2" s="1"/>
  <c r="AK40" i="2"/>
  <c r="AX40" i="2" s="1"/>
  <c r="AK39" i="2"/>
  <c r="AX39" i="2" s="1"/>
  <c r="AK38" i="2"/>
  <c r="AX38" i="2" s="1"/>
  <c r="AK37" i="2"/>
  <c r="AX37" i="2" s="1"/>
  <c r="AK36" i="2"/>
  <c r="AX36" i="2" s="1"/>
  <c r="AK35" i="2"/>
  <c r="AX35" i="2" s="1"/>
  <c r="AK34" i="2"/>
  <c r="AX34" i="2" s="1"/>
  <c r="AK33" i="2"/>
  <c r="AX33" i="2" s="1"/>
  <c r="AK32" i="2"/>
  <c r="AX32" i="2" s="1"/>
  <c r="AK31" i="2"/>
  <c r="AX31" i="2" s="1"/>
  <c r="AK30" i="2"/>
  <c r="AX30" i="2" s="1"/>
  <c r="AK27" i="2"/>
  <c r="AK25" i="2"/>
  <c r="AX25" i="2" s="1"/>
  <c r="AK24" i="2"/>
  <c r="AX24" i="2" s="1"/>
  <c r="AK23" i="2"/>
  <c r="AX23" i="2" s="1"/>
  <c r="AK22" i="2"/>
  <c r="AX22" i="2" s="1"/>
  <c r="AO26" i="5" l="1"/>
  <c r="AV26" i="5" s="1"/>
  <c r="AW26" i="5"/>
  <c r="BB26" i="5" s="1"/>
  <c r="BC26" i="5" s="1"/>
  <c r="AO22" i="5"/>
  <c r="AV22" i="5" s="1"/>
  <c r="AW22" i="5"/>
  <c r="BB22" i="5" s="1"/>
  <c r="BC22" i="5" s="1"/>
  <c r="W20" i="5"/>
  <c r="AD20" i="5"/>
  <c r="AM70" i="2"/>
  <c r="AR36" i="1" s="1"/>
  <c r="AR34" i="1" s="1"/>
  <c r="AM69" i="2"/>
  <c r="AQ36" i="1" s="1"/>
  <c r="AO24" i="5"/>
  <c r="AV24" i="5" s="1"/>
  <c r="AW24" i="5"/>
  <c r="AW37" i="5"/>
  <c r="BB38" i="5"/>
  <c r="W21" i="5"/>
  <c r="AD21" i="5"/>
  <c r="W26" i="5"/>
  <c r="AD26" i="5"/>
  <c r="AN33" i="16"/>
  <c r="AN69" i="2"/>
  <c r="AQ41" i="1" s="1"/>
  <c r="AN70" i="2"/>
  <c r="AR41" i="1" s="1"/>
  <c r="AR39" i="1" s="1"/>
  <c r="AO21" i="5"/>
  <c r="AV21" i="5" s="1"/>
  <c r="AW21" i="5"/>
  <c r="BB21" i="5" s="1"/>
  <c r="W24" i="5"/>
  <c r="AD24" i="5"/>
  <c r="W38" i="5"/>
  <c r="AD38" i="5"/>
  <c r="AL70" i="2"/>
  <c r="AR30" i="1" s="1"/>
  <c r="AR28" i="1" s="1"/>
  <c r="AL69" i="2"/>
  <c r="AQ30" i="1" s="1"/>
  <c r="AO27" i="5"/>
  <c r="AV27" i="5" s="1"/>
  <c r="AW27" i="5"/>
  <c r="BB27" i="5" s="1"/>
  <c r="W25" i="5"/>
  <c r="AD25" i="5"/>
  <c r="BC86" i="2"/>
  <c r="AO20" i="5"/>
  <c r="AV20" i="5" s="1"/>
  <c r="AW20" i="5"/>
  <c r="AO25" i="5"/>
  <c r="AV25" i="5" s="1"/>
  <c r="AW25" i="5"/>
  <c r="BB25" i="5" s="1"/>
  <c r="BC25" i="5" s="1"/>
  <c r="W22" i="5"/>
  <c r="AD22" i="5"/>
  <c r="W27" i="5"/>
  <c r="AD27" i="5"/>
  <c r="AK70" i="2"/>
  <c r="AR24" i="1" s="1"/>
  <c r="AR22" i="1" s="1"/>
  <c r="AK69" i="2"/>
  <c r="AQ24" i="1" s="1"/>
  <c r="AW75" i="2"/>
  <c r="AJ70" i="2"/>
  <c r="AR17" i="1" s="1"/>
  <c r="AR16" i="1" s="1"/>
  <c r="AJ69" i="2"/>
  <c r="AQ17" i="1" s="1"/>
  <c r="AQ16" i="1" s="1"/>
  <c r="AN26" i="16"/>
  <c r="AN47" i="16"/>
  <c r="AN49" i="16"/>
  <c r="AN23" i="16"/>
  <c r="AN44" i="16"/>
  <c r="AK28" i="16"/>
  <c r="AL31" i="16"/>
  <c r="AL50" i="16"/>
  <c r="AE21" i="16"/>
  <c r="AJ21" i="16" s="1"/>
  <c r="AK21" i="16"/>
  <c r="AN37" i="16"/>
  <c r="AK41" i="16"/>
  <c r="AM20" i="16"/>
  <c r="AM41" i="16"/>
  <c r="X21" i="16"/>
  <c r="S21" i="16"/>
  <c r="X26" i="16"/>
  <c r="S26" i="16"/>
  <c r="X34" i="16"/>
  <c r="S34" i="16"/>
  <c r="X43" i="16"/>
  <c r="S43" i="16"/>
  <c r="X49" i="16"/>
  <c r="S49" i="16"/>
  <c r="X54" i="16"/>
  <c r="S54" i="16"/>
  <c r="X35" i="16"/>
  <c r="S35" i="16"/>
  <c r="AL20" i="16"/>
  <c r="AL24" i="16"/>
  <c r="AN39" i="16"/>
  <c r="AL45" i="16"/>
  <c r="AN52" i="16"/>
  <c r="AE27" i="16"/>
  <c r="AJ27" i="16" s="1"/>
  <c r="AK27" i="16"/>
  <c r="AN27" i="16" s="1"/>
  <c r="AN34" i="16"/>
  <c r="AE48" i="16"/>
  <c r="AJ48" i="16" s="1"/>
  <c r="AK48" i="16"/>
  <c r="AN48" i="16" s="1"/>
  <c r="AN22" i="16"/>
  <c r="AN43" i="16"/>
  <c r="AN53" i="16"/>
  <c r="X22" i="16"/>
  <c r="S22" i="16"/>
  <c r="X27" i="16"/>
  <c r="S27" i="16"/>
  <c r="X38" i="16"/>
  <c r="S38" i="16"/>
  <c r="X44" i="16"/>
  <c r="S44" i="16"/>
  <c r="X51" i="16"/>
  <c r="S51" i="16"/>
  <c r="X52" i="16"/>
  <c r="S52" i="16"/>
  <c r="X36" i="16"/>
  <c r="S36" i="16"/>
  <c r="AN54" i="16"/>
  <c r="AD28" i="16"/>
  <c r="AM29" i="16"/>
  <c r="AM28" i="16" s="1"/>
  <c r="X23" i="16"/>
  <c r="S23" i="16"/>
  <c r="X29" i="16"/>
  <c r="S29" i="16"/>
  <c r="X40" i="16"/>
  <c r="S40" i="16"/>
  <c r="X46" i="16"/>
  <c r="S46" i="16"/>
  <c r="X53" i="16"/>
  <c r="S53" i="16"/>
  <c r="X47" i="16"/>
  <c r="S47" i="16"/>
  <c r="X37" i="16"/>
  <c r="S37" i="16"/>
  <c r="AC28" i="16"/>
  <c r="AL29" i="16"/>
  <c r="AL28" i="16" s="1"/>
  <c r="AN42" i="16"/>
  <c r="AL41" i="16"/>
  <c r="AN25" i="16"/>
  <c r="AN32" i="16"/>
  <c r="AK31" i="16"/>
  <c r="AN36" i="16"/>
  <c r="AN40" i="16"/>
  <c r="AN46" i="16"/>
  <c r="AN51" i="16"/>
  <c r="AK50" i="16"/>
  <c r="AN55" i="16"/>
  <c r="AM24" i="16"/>
  <c r="AM31" i="16"/>
  <c r="AM45" i="16"/>
  <c r="AM50" i="16"/>
  <c r="X25" i="16"/>
  <c r="S25" i="16"/>
  <c r="X32" i="16"/>
  <c r="S32" i="16"/>
  <c r="X42" i="16"/>
  <c r="S42" i="16"/>
  <c r="X48" i="16"/>
  <c r="S48" i="16"/>
  <c r="X55" i="16"/>
  <c r="S55" i="16"/>
  <c r="X39" i="16"/>
  <c r="S39" i="16"/>
  <c r="X33" i="16"/>
  <c r="S33" i="16"/>
  <c r="AN38" i="16"/>
  <c r="AO29" i="5"/>
  <c r="AV29" i="5" s="1"/>
  <c r="AW29" i="5"/>
  <c r="W35" i="5"/>
  <c r="AD35" i="5"/>
  <c r="AO30" i="5"/>
  <c r="AV30" i="5" s="1"/>
  <c r="AW30" i="5"/>
  <c r="BB30" i="5" s="1"/>
  <c r="W36" i="5"/>
  <c r="AD36" i="5"/>
  <c r="AO31" i="5"/>
  <c r="AV31" i="5" s="1"/>
  <c r="AW31" i="5"/>
  <c r="BB31" i="5" s="1"/>
  <c r="AO35" i="5"/>
  <c r="AV35" i="5" s="1"/>
  <c r="AW35" i="5"/>
  <c r="BB35" i="5" s="1"/>
  <c r="W29" i="5"/>
  <c r="AD29" i="5"/>
  <c r="W33" i="5"/>
  <c r="AD33" i="5"/>
  <c r="AO33" i="5"/>
  <c r="AV33" i="5" s="1"/>
  <c r="AW33" i="5"/>
  <c r="BB33" i="5" s="1"/>
  <c r="W31" i="5"/>
  <c r="AD31" i="5"/>
  <c r="AO34" i="5"/>
  <c r="AV34" i="5" s="1"/>
  <c r="AW34" i="5"/>
  <c r="BB34" i="5" s="1"/>
  <c r="W32" i="5"/>
  <c r="AD32" i="5"/>
  <c r="AO32" i="5"/>
  <c r="AV32" i="5" s="1"/>
  <c r="AW32" i="5"/>
  <c r="BB32" i="5" s="1"/>
  <c r="AO36" i="5"/>
  <c r="AV36" i="5" s="1"/>
  <c r="AW36" i="5"/>
  <c r="BB36" i="5" s="1"/>
  <c r="W30" i="5"/>
  <c r="AD30" i="5"/>
  <c r="W34" i="5"/>
  <c r="AD34" i="5"/>
  <c r="AX18" i="2"/>
  <c r="BB45" i="2"/>
  <c r="BB63" i="2"/>
  <c r="BA21" i="2"/>
  <c r="BA47" i="2"/>
  <c r="BA54" i="2"/>
  <c r="BB62" i="2"/>
  <c r="BB49" i="2"/>
  <c r="BB40" i="2"/>
  <c r="BB36" i="2"/>
  <c r="BB32" i="2"/>
  <c r="BB25" i="2"/>
  <c r="BB20" i="2"/>
  <c r="AX54" i="2"/>
  <c r="AY29" i="2"/>
  <c r="AX47" i="2"/>
  <c r="AY18" i="2"/>
  <c r="AZ58" i="2"/>
  <c r="BB48" i="2"/>
  <c r="AY47" i="2"/>
  <c r="AD33" i="2"/>
  <c r="W33" i="2"/>
  <c r="W40" i="2"/>
  <c r="AD40" i="2"/>
  <c r="AW77" i="2"/>
  <c r="BB77" i="2" s="1"/>
  <c r="AO77" i="2"/>
  <c r="AV77" i="2" s="1"/>
  <c r="AY21" i="2"/>
  <c r="BB37" i="2"/>
  <c r="BB44" i="2"/>
  <c r="AX61" i="2"/>
  <c r="BB52" i="2"/>
  <c r="BB43" i="2"/>
  <c r="BB31" i="2"/>
  <c r="W22" i="2"/>
  <c r="AD22" i="2"/>
  <c r="AD46" i="2"/>
  <c r="W46" i="2"/>
  <c r="W42" i="2"/>
  <c r="AD42" i="2"/>
  <c r="AX81" i="2"/>
  <c r="BB85" i="2"/>
  <c r="BB56" i="2"/>
  <c r="AZ47" i="2"/>
  <c r="AN26" i="2"/>
  <c r="BA27" i="2"/>
  <c r="BA26" i="2" s="1"/>
  <c r="BC40" i="2"/>
  <c r="W20" i="2"/>
  <c r="AD20" i="2"/>
  <c r="W25" i="2"/>
  <c r="AD25" i="2"/>
  <c r="W43" i="2"/>
  <c r="AD43" i="2"/>
  <c r="W53" i="2"/>
  <c r="AD53" i="2"/>
  <c r="W59" i="2"/>
  <c r="AD59" i="2"/>
  <c r="W65" i="2"/>
  <c r="AD65" i="2"/>
  <c r="W34" i="2"/>
  <c r="AD34" i="2"/>
  <c r="W49" i="2"/>
  <c r="AD49" i="2"/>
  <c r="AN74" i="2"/>
  <c r="BA75" i="2"/>
  <c r="BA74" i="2" s="1"/>
  <c r="BA68" i="2" s="1"/>
  <c r="BC84" i="2"/>
  <c r="BB41" i="2"/>
  <c r="BB42" i="2"/>
  <c r="BA61" i="2"/>
  <c r="BB57" i="2"/>
  <c r="AW47" i="2"/>
  <c r="BB39" i="2"/>
  <c r="BB35" i="2"/>
  <c r="BB24" i="2"/>
  <c r="AW18" i="2"/>
  <c r="BB19" i="2"/>
  <c r="AD27" i="2"/>
  <c r="W27" i="2"/>
  <c r="W36" i="2"/>
  <c r="AD36" i="2"/>
  <c r="W55" i="2"/>
  <c r="AD55" i="2"/>
  <c r="W62" i="2"/>
  <c r="AD62" i="2"/>
  <c r="W66" i="2"/>
  <c r="AD66" i="2"/>
  <c r="AD35" i="2"/>
  <c r="W35" i="2"/>
  <c r="W50" i="2"/>
  <c r="AD50" i="2"/>
  <c r="AK74" i="2"/>
  <c r="AQ22" i="1" s="1"/>
  <c r="AX75" i="2"/>
  <c r="AX74" i="2" s="1"/>
  <c r="AW74" i="2"/>
  <c r="AW68" i="2" s="1"/>
  <c r="AX21" i="2"/>
  <c r="AX17" i="2" s="1"/>
  <c r="AK26" i="2"/>
  <c r="AX27" i="2"/>
  <c r="AX26" i="2" s="1"/>
  <c r="BB33" i="2"/>
  <c r="AM26" i="2"/>
  <c r="AZ27" i="2"/>
  <c r="AZ26" i="2" s="1"/>
  <c r="AZ54" i="2"/>
  <c r="AY61" i="2"/>
  <c r="BA29" i="2"/>
  <c r="AW61" i="2"/>
  <c r="BB64" i="2"/>
  <c r="BB51" i="2"/>
  <c r="BB46" i="2"/>
  <c r="AW29" i="2"/>
  <c r="BB30" i="2"/>
  <c r="BB23" i="2"/>
  <c r="BB59" i="2"/>
  <c r="W23" i="2"/>
  <c r="AD23" i="2"/>
  <c r="AD30" i="2"/>
  <c r="W30" i="2"/>
  <c r="AD39" i="2"/>
  <c r="W39" i="2"/>
  <c r="W48" i="2"/>
  <c r="AD48" i="2"/>
  <c r="W56" i="2"/>
  <c r="AD56" i="2"/>
  <c r="W63" i="2"/>
  <c r="AD63" i="2"/>
  <c r="W67" i="2"/>
  <c r="AD67" i="2"/>
  <c r="W37" i="2"/>
  <c r="AD37" i="2"/>
  <c r="AD44" i="2"/>
  <c r="W44" i="2"/>
  <c r="W52" i="2"/>
  <c r="AD52" i="2"/>
  <c r="AL74" i="2"/>
  <c r="AQ28" i="1" s="1"/>
  <c r="AY75" i="2"/>
  <c r="AY74" i="2" s="1"/>
  <c r="AY68" i="2" s="1"/>
  <c r="BB76" i="2"/>
  <c r="AX29" i="2"/>
  <c r="BB34" i="2"/>
  <c r="BB38" i="2"/>
  <c r="BB53" i="2"/>
  <c r="AL26" i="2"/>
  <c r="AY27" i="2"/>
  <c r="AY26" i="2" s="1"/>
  <c r="AY54" i="2"/>
  <c r="AZ21" i="2"/>
  <c r="AZ29" i="2"/>
  <c r="AZ61" i="2"/>
  <c r="AW54" i="2"/>
  <c r="BB55" i="2"/>
  <c r="BB50" i="2"/>
  <c r="AJ26" i="2"/>
  <c r="AW27" i="2"/>
  <c r="AW21" i="2"/>
  <c r="BB22" i="2"/>
  <c r="AX58" i="2"/>
  <c r="AW58" i="2"/>
  <c r="BB60" i="2"/>
  <c r="BA58" i="2"/>
  <c r="BB65" i="2"/>
  <c r="BC65" i="2" s="1"/>
  <c r="BB66" i="2"/>
  <c r="BB67" i="2"/>
  <c r="W19" i="2"/>
  <c r="AD19" i="2"/>
  <c r="W24" i="2"/>
  <c r="AD24" i="2"/>
  <c r="W32" i="2"/>
  <c r="AD32" i="2"/>
  <c r="W41" i="2"/>
  <c r="AD41" i="2"/>
  <c r="AD51" i="2"/>
  <c r="W51" i="2"/>
  <c r="W57" i="2"/>
  <c r="AD57" i="2"/>
  <c r="AD64" i="2"/>
  <c r="W64" i="2"/>
  <c r="W31" i="2"/>
  <c r="AD31" i="2"/>
  <c r="W38" i="2"/>
  <c r="AD38" i="2"/>
  <c r="AD45" i="2"/>
  <c r="W45" i="2"/>
  <c r="W60" i="2"/>
  <c r="AD60" i="2"/>
  <c r="AM74" i="2"/>
  <c r="AZ75" i="2"/>
  <c r="AZ74" i="2" s="1"/>
  <c r="AZ68" i="2" s="1"/>
  <c r="AC77" i="2"/>
  <c r="AD77" i="2" s="1"/>
  <c r="AE53" i="16"/>
  <c r="AJ53" i="16" s="1"/>
  <c r="AO58" i="3"/>
  <c r="AV58" i="3" s="1"/>
  <c r="AW58" i="3"/>
  <c r="BB58" i="3" s="1"/>
  <c r="W47" i="3"/>
  <c r="AD47" i="3"/>
  <c r="W57" i="3"/>
  <c r="AD57" i="3"/>
  <c r="AO50" i="3"/>
  <c r="AV50" i="3" s="1"/>
  <c r="AW50" i="3"/>
  <c r="BB50" i="3" s="1"/>
  <c r="AO61" i="3"/>
  <c r="AV61" i="3" s="1"/>
  <c r="AW61" i="3"/>
  <c r="AO57" i="3"/>
  <c r="AV57" i="3" s="1"/>
  <c r="AW57" i="3"/>
  <c r="BB57" i="3" s="1"/>
  <c r="AO47" i="3"/>
  <c r="AV47" i="3" s="1"/>
  <c r="AW47" i="3"/>
  <c r="AW43" i="3"/>
  <c r="BB44" i="3"/>
  <c r="W48" i="3"/>
  <c r="AD48" i="3"/>
  <c r="W53" i="3"/>
  <c r="AD53" i="3"/>
  <c r="W58" i="3"/>
  <c r="AD58" i="3"/>
  <c r="W63" i="3"/>
  <c r="AD63" i="3"/>
  <c r="AO49" i="3"/>
  <c r="AV49" i="3" s="1"/>
  <c r="AW49" i="3"/>
  <c r="BB49" i="3" s="1"/>
  <c r="AO59" i="3"/>
  <c r="AV59" i="3" s="1"/>
  <c r="AW59" i="3"/>
  <c r="BB59" i="3" s="1"/>
  <c r="AO48" i="3"/>
  <c r="AV48" i="3" s="1"/>
  <c r="AW48" i="3"/>
  <c r="BB48" i="3" s="1"/>
  <c r="W52" i="3"/>
  <c r="AD52" i="3"/>
  <c r="W62" i="3"/>
  <c r="AD62" i="3"/>
  <c r="AO54" i="3"/>
  <c r="AV54" i="3" s="1"/>
  <c r="AW54" i="3"/>
  <c r="BB54" i="3" s="1"/>
  <c r="AO63" i="3"/>
  <c r="AV63" i="3" s="1"/>
  <c r="AW63" i="3"/>
  <c r="BB63" i="3" s="1"/>
  <c r="AO53" i="3"/>
  <c r="AV53" i="3" s="1"/>
  <c r="AW53" i="3"/>
  <c r="BB53" i="3" s="1"/>
  <c r="W21" i="3"/>
  <c r="AD21" i="3"/>
  <c r="W49" i="3"/>
  <c r="AD49" i="3"/>
  <c r="W54" i="3"/>
  <c r="AD54" i="3"/>
  <c r="W59" i="3"/>
  <c r="AD59" i="3"/>
  <c r="AO56" i="3"/>
  <c r="AV56" i="3" s="1"/>
  <c r="AW56" i="3"/>
  <c r="AO62" i="3"/>
  <c r="AV62" i="3" s="1"/>
  <c r="AW62" i="3"/>
  <c r="BB62" i="3" s="1"/>
  <c r="AO52" i="3"/>
  <c r="AV52" i="3" s="1"/>
  <c r="AW52" i="3"/>
  <c r="AD44" i="3"/>
  <c r="W44" i="3"/>
  <c r="W50" i="3"/>
  <c r="AD50" i="3"/>
  <c r="W56" i="3"/>
  <c r="AD56" i="3"/>
  <c r="W61" i="3"/>
  <c r="AD61" i="3"/>
  <c r="AO42" i="3"/>
  <c r="AV42" i="3" s="1"/>
  <c r="AW42" i="3"/>
  <c r="BB42" i="3" s="1"/>
  <c r="W22" i="3"/>
  <c r="AD22" i="3"/>
  <c r="W39" i="3"/>
  <c r="AD39" i="3"/>
  <c r="AO22" i="3"/>
  <c r="AV22" i="3" s="1"/>
  <c r="AW22" i="3"/>
  <c r="BB22" i="3" s="1"/>
  <c r="AO27" i="3"/>
  <c r="AV27" i="3" s="1"/>
  <c r="AW27" i="3"/>
  <c r="BB27" i="3" s="1"/>
  <c r="AO33" i="3"/>
  <c r="AV33" i="3" s="1"/>
  <c r="AW33" i="3"/>
  <c r="BB33" i="3" s="1"/>
  <c r="AO40" i="3"/>
  <c r="AV40" i="3" s="1"/>
  <c r="AW40" i="3"/>
  <c r="BB40" i="3" s="1"/>
  <c r="AO25" i="3"/>
  <c r="AV25" i="3" s="1"/>
  <c r="AW25" i="3"/>
  <c r="BB25" i="3" s="1"/>
  <c r="W24" i="3"/>
  <c r="AD24" i="3"/>
  <c r="AD28" i="3"/>
  <c r="W28" i="3"/>
  <c r="W33" i="3"/>
  <c r="AD33" i="3"/>
  <c r="AD37" i="3"/>
  <c r="W37" i="3"/>
  <c r="W41" i="3"/>
  <c r="AD41" i="3"/>
  <c r="AO31" i="3"/>
  <c r="AV31" i="3" s="1"/>
  <c r="AW31" i="3"/>
  <c r="AO34" i="3"/>
  <c r="AV34" i="3" s="1"/>
  <c r="AW34" i="3"/>
  <c r="BB34" i="3" s="1"/>
  <c r="W26" i="3"/>
  <c r="AD26" i="3"/>
  <c r="AD35" i="3"/>
  <c r="W35" i="3"/>
  <c r="AO23" i="3"/>
  <c r="AV23" i="3" s="1"/>
  <c r="AW23" i="3"/>
  <c r="BB23" i="3" s="1"/>
  <c r="AO28" i="3"/>
  <c r="AV28" i="3" s="1"/>
  <c r="AW28" i="3"/>
  <c r="BB28" i="3" s="1"/>
  <c r="AO35" i="3"/>
  <c r="AV35" i="3" s="1"/>
  <c r="AW35" i="3"/>
  <c r="BB35" i="3" s="1"/>
  <c r="AO41" i="3"/>
  <c r="AV41" i="3" s="1"/>
  <c r="AW41" i="3"/>
  <c r="BB41" i="3" s="1"/>
  <c r="AO39" i="3"/>
  <c r="AV39" i="3" s="1"/>
  <c r="AW39" i="3"/>
  <c r="BB39" i="3" s="1"/>
  <c r="AO21" i="3"/>
  <c r="AV21" i="3" s="1"/>
  <c r="AW21" i="3"/>
  <c r="W25" i="3"/>
  <c r="AD25" i="3"/>
  <c r="W29" i="3"/>
  <c r="AD29" i="3"/>
  <c r="W34" i="3"/>
  <c r="AD34" i="3"/>
  <c r="W38" i="3"/>
  <c r="AD38" i="3"/>
  <c r="W42" i="3"/>
  <c r="AD42" i="3"/>
  <c r="AO24" i="3"/>
  <c r="AV24" i="3" s="1"/>
  <c r="AW24" i="3"/>
  <c r="BB24" i="3" s="1"/>
  <c r="AO36" i="3"/>
  <c r="AV36" i="3" s="1"/>
  <c r="AW36" i="3"/>
  <c r="BB36" i="3" s="1"/>
  <c r="AO38" i="3"/>
  <c r="AV38" i="3" s="1"/>
  <c r="AW38" i="3"/>
  <c r="BB38" i="3" s="1"/>
  <c r="AD31" i="3"/>
  <c r="W31" i="3"/>
  <c r="AO26" i="3"/>
  <c r="AV26" i="3" s="1"/>
  <c r="AW26" i="3"/>
  <c r="BB26" i="3" s="1"/>
  <c r="AO32" i="3"/>
  <c r="AV32" i="3" s="1"/>
  <c r="AW32" i="3"/>
  <c r="BB32" i="3" s="1"/>
  <c r="AO37" i="3"/>
  <c r="AV37" i="3" s="1"/>
  <c r="AW37" i="3"/>
  <c r="BB37" i="3" s="1"/>
  <c r="AO29" i="3"/>
  <c r="AV29" i="3" s="1"/>
  <c r="AW29" i="3"/>
  <c r="BB29" i="3" s="1"/>
  <c r="W23" i="3"/>
  <c r="AD23" i="3"/>
  <c r="AD27" i="3"/>
  <c r="W27" i="3"/>
  <c r="W32" i="3"/>
  <c r="AD32" i="3"/>
  <c r="AD36" i="3"/>
  <c r="W36" i="3"/>
  <c r="W40" i="3"/>
  <c r="AD40" i="3"/>
  <c r="AJ37" i="5"/>
  <c r="AO38" i="5"/>
  <c r="AV38" i="5" s="1"/>
  <c r="AE51" i="16"/>
  <c r="AJ51" i="16" s="1"/>
  <c r="AE34" i="16"/>
  <c r="AJ34" i="16" s="1"/>
  <c r="AE22" i="16"/>
  <c r="AJ22" i="16" s="1"/>
  <c r="AE43" i="16"/>
  <c r="AJ43" i="16" s="1"/>
  <c r="AD41" i="16"/>
  <c r="AE38" i="16"/>
  <c r="AJ38" i="16" s="1"/>
  <c r="AE25" i="16"/>
  <c r="AJ25" i="16" s="1"/>
  <c r="AE46" i="16"/>
  <c r="AJ46" i="16" s="1"/>
  <c r="AE55" i="16"/>
  <c r="AJ55" i="16" s="1"/>
  <c r="AE26" i="16"/>
  <c r="AJ26" i="16" s="1"/>
  <c r="AE33" i="16"/>
  <c r="AJ33" i="16" s="1"/>
  <c r="AE42" i="16"/>
  <c r="AJ42" i="16" s="1"/>
  <c r="AE47" i="16"/>
  <c r="AJ47" i="16" s="1"/>
  <c r="AE52" i="16"/>
  <c r="AJ52" i="16" s="1"/>
  <c r="AE23" i="16"/>
  <c r="AJ23" i="16" s="1"/>
  <c r="AE29" i="16"/>
  <c r="AJ29" i="16" s="1"/>
  <c r="AE44" i="16"/>
  <c r="AJ44" i="16" s="1"/>
  <c r="AE49" i="16"/>
  <c r="AJ49" i="16" s="1"/>
  <c r="AE54" i="16"/>
  <c r="AJ54" i="16" s="1"/>
  <c r="AE32" i="16"/>
  <c r="AJ32" i="16" s="1"/>
  <c r="AE36" i="16"/>
  <c r="AJ36" i="16" s="1"/>
  <c r="AE40" i="16"/>
  <c r="AJ40" i="16" s="1"/>
  <c r="AE37" i="16"/>
  <c r="AJ37" i="16" s="1"/>
  <c r="AE35" i="16"/>
  <c r="AJ35" i="16" s="1"/>
  <c r="AE39" i="16"/>
  <c r="AJ39" i="16" s="1"/>
  <c r="AJ43" i="3"/>
  <c r="AO44" i="3"/>
  <c r="AV44" i="3" s="1"/>
  <c r="AL37" i="5"/>
  <c r="AO81" i="2"/>
  <c r="AD24" i="16"/>
  <c r="AD31" i="16"/>
  <c r="AD45" i="16"/>
  <c r="AD50" i="16"/>
  <c r="AD20" i="16"/>
  <c r="AB20" i="16"/>
  <c r="AJ23" i="5"/>
  <c r="AK28" i="5"/>
  <c r="AJ28" i="5"/>
  <c r="AK19" i="5"/>
  <c r="AJ19" i="5"/>
  <c r="AM19" i="5"/>
  <c r="W106" i="25"/>
  <c r="Y106" i="25"/>
  <c r="AK30" i="3"/>
  <c r="AN51" i="3"/>
  <c r="AK51" i="3"/>
  <c r="AK60" i="3"/>
  <c r="AK20" i="3"/>
  <c r="AK46" i="3"/>
  <c r="AK55" i="3"/>
  <c r="AJ74" i="2"/>
  <c r="P76" i="2"/>
  <c r="P75" i="2"/>
  <c r="W75" i="2" s="1"/>
  <c r="AK58" i="2"/>
  <c r="AO57" i="2"/>
  <c r="AV57" i="2" s="1"/>
  <c r="AO19" i="2"/>
  <c r="AV19" i="2" s="1"/>
  <c r="AO66" i="2"/>
  <c r="AV66" i="2" s="1"/>
  <c r="AO24" i="2"/>
  <c r="AV24" i="2" s="1"/>
  <c r="AO39" i="2"/>
  <c r="AV39" i="2" s="1"/>
  <c r="AO35" i="2"/>
  <c r="AV35" i="2" s="1"/>
  <c r="AO31" i="2"/>
  <c r="AV31" i="2" s="1"/>
  <c r="AO76" i="2"/>
  <c r="AV76" i="2" s="1"/>
  <c r="AO48" i="2"/>
  <c r="AV48" i="2" s="1"/>
  <c r="AO56" i="2"/>
  <c r="AV56" i="2" s="1"/>
  <c r="AO46" i="2"/>
  <c r="AV46" i="2" s="1"/>
  <c r="AO42" i="2"/>
  <c r="AV42" i="2" s="1"/>
  <c r="AO34" i="2"/>
  <c r="AV34" i="2" s="1"/>
  <c r="AO30" i="2"/>
  <c r="AV30" i="2" s="1"/>
  <c r="AO23" i="2"/>
  <c r="AV23" i="2" s="1"/>
  <c r="AO67" i="2"/>
  <c r="AV67" i="2" s="1"/>
  <c r="AO38" i="2"/>
  <c r="AV38" i="2" s="1"/>
  <c r="AO43" i="2"/>
  <c r="AV43" i="2" s="1"/>
  <c r="AO52" i="2"/>
  <c r="AV52" i="2" s="1"/>
  <c r="AO51" i="2"/>
  <c r="AV51" i="2" s="1"/>
  <c r="AO64" i="2"/>
  <c r="AV64" i="2" s="1"/>
  <c r="AO32" i="2"/>
  <c r="AV32" i="2" s="1"/>
  <c r="AO63" i="2"/>
  <c r="AV63" i="2" s="1"/>
  <c r="AO55" i="2"/>
  <c r="AV55" i="2" s="1"/>
  <c r="AO50" i="2"/>
  <c r="AV50" i="2" s="1"/>
  <c r="AO45" i="2"/>
  <c r="AV45" i="2" s="1"/>
  <c r="AO41" i="2"/>
  <c r="AV41" i="2" s="1"/>
  <c r="AO37" i="2"/>
  <c r="AV37" i="2" s="1"/>
  <c r="AO33" i="2"/>
  <c r="AV33" i="2" s="1"/>
  <c r="AO22" i="2"/>
  <c r="AV22" i="2" s="1"/>
  <c r="AO60" i="2"/>
  <c r="AV60" i="2" s="1"/>
  <c r="AO62" i="2"/>
  <c r="AV62" i="2" s="1"/>
  <c r="AO53" i="2"/>
  <c r="AV53" i="2" s="1"/>
  <c r="AO49" i="2"/>
  <c r="AV49" i="2" s="1"/>
  <c r="AO44" i="2"/>
  <c r="AV44" i="2" s="1"/>
  <c r="AO40" i="2"/>
  <c r="AV40" i="2" s="1"/>
  <c r="AO36" i="2"/>
  <c r="AV36" i="2" s="1"/>
  <c r="AO25" i="2"/>
  <c r="AV25" i="2" s="1"/>
  <c r="AO20" i="2"/>
  <c r="AV20" i="2" s="1"/>
  <c r="AO65" i="2"/>
  <c r="AV65" i="2" s="1"/>
  <c r="AO59" i="2"/>
  <c r="AV59" i="2" s="1"/>
  <c r="AO27" i="2"/>
  <c r="Y29" i="25"/>
  <c r="Z97" i="25"/>
  <c r="Z20" i="25"/>
  <c r="Z19" i="25" s="1"/>
  <c r="Y97" i="25"/>
  <c r="W97" i="25"/>
  <c r="X20" i="25"/>
  <c r="X19" i="25" s="1"/>
  <c r="W29" i="25"/>
  <c r="X97" i="25"/>
  <c r="X110" i="25"/>
  <c r="Z29" i="25"/>
  <c r="Z110" i="25"/>
  <c r="W110" i="25"/>
  <c r="X29" i="25"/>
  <c r="X106" i="25"/>
  <c r="Y20" i="25"/>
  <c r="Y19" i="25" s="1"/>
  <c r="Y110" i="25"/>
  <c r="Z106" i="25"/>
  <c r="W20" i="25"/>
  <c r="W19" i="25" s="1"/>
  <c r="AB41" i="16"/>
  <c r="AC20" i="16"/>
  <c r="AC41" i="16"/>
  <c r="AC31" i="16"/>
  <c r="AC50" i="16"/>
  <c r="AC24" i="16"/>
  <c r="AC45" i="16"/>
  <c r="AB28" i="16"/>
  <c r="AB31" i="16"/>
  <c r="AB50" i="16"/>
  <c r="AB24" i="16"/>
  <c r="AB45" i="16"/>
  <c r="AN23" i="5"/>
  <c r="AM28" i="5"/>
  <c r="AL28" i="5"/>
  <c r="AL19" i="5"/>
  <c r="AN19" i="5"/>
  <c r="AN28" i="5"/>
  <c r="AM23" i="5"/>
  <c r="AL23" i="5"/>
  <c r="AK23" i="5"/>
  <c r="AL20" i="3"/>
  <c r="AN55" i="3"/>
  <c r="AN60" i="3"/>
  <c r="AN46" i="3"/>
  <c r="AN30" i="3"/>
  <c r="AN20" i="3"/>
  <c r="AM60" i="3"/>
  <c r="AM55" i="3"/>
  <c r="AM46" i="3"/>
  <c r="AM51" i="3"/>
  <c r="AM20" i="3"/>
  <c r="AL60" i="3"/>
  <c r="AL55" i="3"/>
  <c r="AL51" i="3"/>
  <c r="AL46" i="3"/>
  <c r="AL30" i="3"/>
  <c r="AM30" i="3"/>
  <c r="AJ60" i="3"/>
  <c r="AJ46" i="3"/>
  <c r="AJ30" i="3"/>
  <c r="AJ55" i="3"/>
  <c r="AJ20" i="3"/>
  <c r="AJ51" i="3"/>
  <c r="BI51" i="3"/>
  <c r="AM61" i="2"/>
  <c r="BI60" i="3"/>
  <c r="BI55" i="3"/>
  <c r="BK51" i="3"/>
  <c r="BK46" i="3"/>
  <c r="BM60" i="3"/>
  <c r="BM55" i="3"/>
  <c r="BK30" i="3"/>
  <c r="BK20" i="3"/>
  <c r="BI46" i="3"/>
  <c r="BM30" i="3"/>
  <c r="BM20" i="3"/>
  <c r="BK60" i="3"/>
  <c r="BK55" i="3"/>
  <c r="BM51" i="3"/>
  <c r="BM46" i="3"/>
  <c r="BI30" i="3"/>
  <c r="BI20" i="3"/>
  <c r="AL61" i="2"/>
  <c r="AJ61" i="2"/>
  <c r="AK61" i="2"/>
  <c r="AL58" i="2"/>
  <c r="AM58" i="2"/>
  <c r="AN61" i="2"/>
  <c r="AJ58" i="2"/>
  <c r="AN58" i="2"/>
  <c r="AN18" i="2"/>
  <c r="AJ54" i="2"/>
  <c r="AJ21" i="2"/>
  <c r="AJ29" i="2"/>
  <c r="AJ47" i="2"/>
  <c r="AJ18" i="2"/>
  <c r="AN54" i="2"/>
  <c r="AN47" i="2"/>
  <c r="AN29" i="2"/>
  <c r="AN21" i="2"/>
  <c r="AK18" i="2"/>
  <c r="AL18" i="2"/>
  <c r="AM54" i="2"/>
  <c r="AM47" i="2"/>
  <c r="AM29" i="2"/>
  <c r="AM21" i="2"/>
  <c r="AM18" i="2"/>
  <c r="AL54" i="2"/>
  <c r="AL29" i="2"/>
  <c r="AL47" i="2"/>
  <c r="AL21" i="2"/>
  <c r="AK21" i="2"/>
  <c r="AK29" i="2"/>
  <c r="AK54" i="2"/>
  <c r="AK47" i="2"/>
  <c r="BC34" i="2" l="1"/>
  <c r="AR15" i="1"/>
  <c r="BC38" i="5"/>
  <c r="BB37" i="5"/>
  <c r="AK24" i="16"/>
  <c r="AO48" i="16"/>
  <c r="AW19" i="5"/>
  <c r="BB20" i="5"/>
  <c r="AW23" i="5"/>
  <c r="BB24" i="5"/>
  <c r="AQ34" i="1"/>
  <c r="AQ15" i="1" s="1"/>
  <c r="AQ39" i="1"/>
  <c r="BC27" i="5"/>
  <c r="BC21" i="5"/>
  <c r="AO47" i="16"/>
  <c r="AO23" i="16"/>
  <c r="AO40" i="16"/>
  <c r="AO54" i="16"/>
  <c r="AO53" i="16"/>
  <c r="AO38" i="16"/>
  <c r="AM30" i="16"/>
  <c r="AO33" i="16"/>
  <c r="AL30" i="16"/>
  <c r="AK45" i="16"/>
  <c r="AK30" i="16" s="1"/>
  <c r="AO43" i="16"/>
  <c r="AO34" i="16"/>
  <c r="AN29" i="16"/>
  <c r="AO55" i="16"/>
  <c r="AO46" i="16"/>
  <c r="AN45" i="16"/>
  <c r="AO32" i="16"/>
  <c r="AN31" i="16"/>
  <c r="AO42" i="16"/>
  <c r="AN41" i="16"/>
  <c r="AO44" i="16"/>
  <c r="AO22" i="16"/>
  <c r="AO27" i="16"/>
  <c r="AO39" i="16"/>
  <c r="AO37" i="16"/>
  <c r="AL19" i="16"/>
  <c r="AL18" i="16" s="1"/>
  <c r="AO51" i="16"/>
  <c r="AN50" i="16"/>
  <c r="AO36" i="16"/>
  <c r="AO25" i="16"/>
  <c r="AN24" i="16"/>
  <c r="AO26" i="16"/>
  <c r="AO52" i="16"/>
  <c r="AM19" i="16"/>
  <c r="AM18" i="16" s="1"/>
  <c r="AK20" i="16"/>
  <c r="AK19" i="16" s="1"/>
  <c r="AN21" i="16"/>
  <c r="AO49" i="16"/>
  <c r="AO35" i="16"/>
  <c r="BC36" i="5"/>
  <c r="BC35" i="5"/>
  <c r="BC32" i="5"/>
  <c r="BC34" i="5"/>
  <c r="BC33" i="5"/>
  <c r="BC31" i="5"/>
  <c r="BC30" i="5"/>
  <c r="AW28" i="5"/>
  <c r="AW18" i="5" s="1"/>
  <c r="AW17" i="5" s="1"/>
  <c r="BB29" i="5"/>
  <c r="BA17" i="2"/>
  <c r="BC37" i="2"/>
  <c r="BC36" i="2"/>
  <c r="AY28" i="2"/>
  <c r="BB61" i="2"/>
  <c r="BC25" i="2"/>
  <c r="BC43" i="2"/>
  <c r="AJ68" i="2"/>
  <c r="AL17" i="1" s="1"/>
  <c r="BC22" i="2"/>
  <c r="BB21" i="2"/>
  <c r="BC50" i="2"/>
  <c r="AZ28" i="2"/>
  <c r="AX28" i="2"/>
  <c r="AX16" i="2" s="1"/>
  <c r="BC59" i="2"/>
  <c r="BB58" i="2"/>
  <c r="BC46" i="2"/>
  <c r="BA28" i="2"/>
  <c r="BA16" i="2" s="1"/>
  <c r="AX68" i="2"/>
  <c r="BC19" i="2"/>
  <c r="BB18" i="2"/>
  <c r="BC39" i="2"/>
  <c r="BC42" i="2"/>
  <c r="AN68" i="2"/>
  <c r="AL41" i="1" s="1"/>
  <c r="BC49" i="2"/>
  <c r="BC52" i="2"/>
  <c r="AY17" i="2"/>
  <c r="W76" i="2"/>
  <c r="AD76" i="2"/>
  <c r="BC67" i="2"/>
  <c r="BC60" i="2"/>
  <c r="BC55" i="2"/>
  <c r="BB54" i="2"/>
  <c r="AZ17" i="2"/>
  <c r="AZ16" i="2" s="1"/>
  <c r="BC53" i="2"/>
  <c r="BC76" i="2"/>
  <c r="BC23" i="2"/>
  <c r="BC51" i="2"/>
  <c r="BC33" i="2"/>
  <c r="AD75" i="2"/>
  <c r="AK68" i="2"/>
  <c r="AL24" i="1" s="1"/>
  <c r="AW28" i="2"/>
  <c r="BC41" i="2"/>
  <c r="BC20" i="2"/>
  <c r="BC63" i="2"/>
  <c r="BC56" i="2"/>
  <c r="AO26" i="2"/>
  <c r="AV27" i="2"/>
  <c r="AL68" i="2"/>
  <c r="AL30" i="1" s="1"/>
  <c r="BC35" i="2"/>
  <c r="BC45" i="2"/>
  <c r="AM68" i="2"/>
  <c r="AL36" i="1" s="1"/>
  <c r="BC66" i="2"/>
  <c r="AW26" i="2"/>
  <c r="AW17" i="2" s="1"/>
  <c r="AW16" i="2" s="1"/>
  <c r="BB27" i="2"/>
  <c r="BC38" i="2"/>
  <c r="BC30" i="2"/>
  <c r="BB29" i="2"/>
  <c r="BC64" i="2"/>
  <c r="BB75" i="2"/>
  <c r="BC24" i="2"/>
  <c r="BC57" i="2"/>
  <c r="BC32" i="2"/>
  <c r="BC62" i="2"/>
  <c r="BC85" i="2"/>
  <c r="BB81" i="2"/>
  <c r="BC31" i="2"/>
  <c r="BC44" i="2"/>
  <c r="BC77" i="2"/>
  <c r="BC48" i="2"/>
  <c r="BB47" i="2"/>
  <c r="BC37" i="3"/>
  <c r="BC26" i="3"/>
  <c r="BC38" i="3"/>
  <c r="BC24" i="3"/>
  <c r="BC41" i="3"/>
  <c r="BC28" i="3"/>
  <c r="BC34" i="3"/>
  <c r="BC40" i="3"/>
  <c r="BC27" i="3"/>
  <c r="BC42" i="3"/>
  <c r="BC62" i="3"/>
  <c r="BC53" i="3"/>
  <c r="BC54" i="3"/>
  <c r="BC59" i="3"/>
  <c r="BC57" i="3"/>
  <c r="BC50" i="3"/>
  <c r="BC29" i="3"/>
  <c r="BC32" i="3"/>
  <c r="BC36" i="3"/>
  <c r="BC39" i="3"/>
  <c r="BC35" i="3"/>
  <c r="BC23" i="3"/>
  <c r="BC25" i="3"/>
  <c r="BC33" i="3"/>
  <c r="BC22" i="3"/>
  <c r="BC63" i="3"/>
  <c r="BC48" i="3"/>
  <c r="BC49" i="3"/>
  <c r="BC58" i="3"/>
  <c r="BB43" i="3"/>
  <c r="BC44" i="3"/>
  <c r="BB52" i="3"/>
  <c r="AW51" i="3"/>
  <c r="BB56" i="3"/>
  <c r="AW55" i="3"/>
  <c r="BB47" i="3"/>
  <c r="AW46" i="3"/>
  <c r="BB61" i="3"/>
  <c r="AW60" i="3"/>
  <c r="AW20" i="3"/>
  <c r="BB21" i="3"/>
  <c r="BB31" i="3"/>
  <c r="AW30" i="3"/>
  <c r="AO37" i="5"/>
  <c r="AE28" i="16"/>
  <c r="AO43" i="3"/>
  <c r="AD30" i="16"/>
  <c r="AD19" i="16"/>
  <c r="AE31" i="16"/>
  <c r="AE24" i="16"/>
  <c r="AE50" i="16"/>
  <c r="AJ18" i="5"/>
  <c r="AJ17" i="5" s="1"/>
  <c r="AG20" i="1" s="1"/>
  <c r="AK18" i="5"/>
  <c r="AK17" i="5" s="1"/>
  <c r="AG26" i="1" s="1"/>
  <c r="AI26" i="1" s="1"/>
  <c r="W103" i="25"/>
  <c r="Y103" i="25"/>
  <c r="AO30" i="3"/>
  <c r="AO55" i="3"/>
  <c r="AO20" i="3"/>
  <c r="AO51" i="3"/>
  <c r="AK19" i="3"/>
  <c r="AO46" i="3"/>
  <c r="AO60" i="3"/>
  <c r="AK45" i="3"/>
  <c r="AN17" i="2"/>
  <c r="AO18" i="2"/>
  <c r="AO75" i="2"/>
  <c r="AO21" i="2"/>
  <c r="AO61" i="2"/>
  <c r="AO29" i="2"/>
  <c r="AO54" i="2"/>
  <c r="AO47" i="2"/>
  <c r="AO58" i="2"/>
  <c r="X28" i="25"/>
  <c r="Y28" i="25"/>
  <c r="X103" i="25"/>
  <c r="Z28" i="25"/>
  <c r="Z103" i="25"/>
  <c r="W28" i="25"/>
  <c r="AC30" i="16"/>
  <c r="AE45" i="16"/>
  <c r="AC19" i="16"/>
  <c r="AE20" i="16"/>
  <c r="AE41" i="16"/>
  <c r="AB30" i="16"/>
  <c r="AB19" i="16"/>
  <c r="AN18" i="5"/>
  <c r="AN17" i="5" s="1"/>
  <c r="AG43" i="1" s="1"/>
  <c r="AM18" i="5"/>
  <c r="AM17" i="5" s="1"/>
  <c r="AG38" i="1" s="1"/>
  <c r="AO28" i="5"/>
  <c r="AL18" i="5"/>
  <c r="AL17" i="5" s="1"/>
  <c r="AG32" i="1" s="1"/>
  <c r="AO19" i="5"/>
  <c r="AO23" i="5"/>
  <c r="AM45" i="3"/>
  <c r="AN45" i="3"/>
  <c r="AL19" i="3"/>
  <c r="AJ19" i="3"/>
  <c r="AN19" i="3"/>
  <c r="AM19" i="3"/>
  <c r="AL45" i="3"/>
  <c r="AJ45" i="3"/>
  <c r="BM19" i="3"/>
  <c r="BK45" i="3"/>
  <c r="BK19" i="3"/>
  <c r="BI45" i="3"/>
  <c r="AK28" i="2"/>
  <c r="BI19" i="3"/>
  <c r="BM45" i="3"/>
  <c r="AJ17" i="2"/>
  <c r="AM28" i="2"/>
  <c r="AN28" i="2"/>
  <c r="AL28" i="2"/>
  <c r="AJ28" i="2"/>
  <c r="AJ16" i="2" s="1"/>
  <c r="AG17" i="1" s="1"/>
  <c r="AK17" i="2"/>
  <c r="AL17" i="2"/>
  <c r="AM17" i="2"/>
  <c r="X48" i="30"/>
  <c r="V48" i="30"/>
  <c r="T48" i="30"/>
  <c r="X46" i="30"/>
  <c r="V46" i="30"/>
  <c r="T46" i="30"/>
  <c r="BC20" i="5" l="1"/>
  <c r="BB19" i="5"/>
  <c r="BC24" i="5"/>
  <c r="BB23" i="5"/>
  <c r="AO29" i="16"/>
  <c r="AN28" i="16"/>
  <c r="AO21" i="16"/>
  <c r="AN20" i="16"/>
  <c r="AK18" i="16"/>
  <c r="AN30" i="16"/>
  <c r="BC29" i="5"/>
  <c r="BB28" i="5"/>
  <c r="BB18" i="5" s="1"/>
  <c r="BB17" i="5" s="1"/>
  <c r="AY16" i="2"/>
  <c r="AO17" i="1"/>
  <c r="AP17" i="1" s="1"/>
  <c r="AL16" i="1"/>
  <c r="AO16" i="1" s="1"/>
  <c r="AP16" i="1" s="1"/>
  <c r="AO24" i="1"/>
  <c r="AP24" i="1" s="1"/>
  <c r="AL22" i="1"/>
  <c r="AN24" i="1"/>
  <c r="AO30" i="1"/>
  <c r="AP30" i="1" s="1"/>
  <c r="AL28" i="1"/>
  <c r="AN30" i="1"/>
  <c r="AN17" i="1"/>
  <c r="BB28" i="2"/>
  <c r="BC27" i="2"/>
  <c r="BB26" i="2"/>
  <c r="BB17" i="2" s="1"/>
  <c r="AN36" i="1"/>
  <c r="AO36" i="1"/>
  <c r="AP36" i="1" s="1"/>
  <c r="AL34" i="1"/>
  <c r="AL39" i="1"/>
  <c r="AO41" i="1"/>
  <c r="AP41" i="1" s="1"/>
  <c r="AN41" i="1"/>
  <c r="AO74" i="2"/>
  <c r="AO68" i="2" s="1"/>
  <c r="AV68" i="2" s="1"/>
  <c r="AV75" i="2"/>
  <c r="BC75" i="2"/>
  <c r="BB74" i="2"/>
  <c r="BB68" i="2" s="1"/>
  <c r="AW45" i="3"/>
  <c r="BC47" i="3"/>
  <c r="BB46" i="3"/>
  <c r="BC52" i="3"/>
  <c r="BB51" i="3"/>
  <c r="BC61" i="3"/>
  <c r="BB60" i="3"/>
  <c r="BC56" i="3"/>
  <c r="BB55" i="3"/>
  <c r="AI43" i="1"/>
  <c r="AJ43" i="1"/>
  <c r="AK43" i="1" s="1"/>
  <c r="AI32" i="1"/>
  <c r="AJ32" i="1"/>
  <c r="AK32" i="1" s="1"/>
  <c r="AJ26" i="1"/>
  <c r="AK26" i="1" s="1"/>
  <c r="AI17" i="1"/>
  <c r="AJ17" i="1"/>
  <c r="AK17" i="1" s="1"/>
  <c r="AI38" i="1"/>
  <c r="AJ38" i="1"/>
  <c r="AK38" i="1" s="1"/>
  <c r="AI20" i="1"/>
  <c r="AJ20" i="1"/>
  <c r="AK20" i="1" s="1"/>
  <c r="BC31" i="3"/>
  <c r="BB30" i="3"/>
  <c r="BC21" i="3"/>
  <c r="BB20" i="3"/>
  <c r="AW19" i="3"/>
  <c r="AS26" i="1"/>
  <c r="AS20" i="1"/>
  <c r="AD18" i="16"/>
  <c r="AG33" i="1" s="1"/>
  <c r="AL18" i="3"/>
  <c r="AG29" i="1" s="1"/>
  <c r="AJ18" i="3"/>
  <c r="AG18" i="1" s="1"/>
  <c r="AI18" i="1" s="1"/>
  <c r="AE19" i="16"/>
  <c r="AC18" i="16"/>
  <c r="AG27" i="1" s="1"/>
  <c r="AS38" i="1"/>
  <c r="AS32" i="1"/>
  <c r="AS43" i="1"/>
  <c r="AS17" i="1"/>
  <c r="AS42" i="1"/>
  <c r="AS19" i="1"/>
  <c r="AS25" i="1"/>
  <c r="AS31" i="1"/>
  <c r="AS37" i="1"/>
  <c r="W18" i="25"/>
  <c r="AG47" i="1" s="1"/>
  <c r="Y18" i="25"/>
  <c r="AG49" i="1" s="1"/>
  <c r="AO19" i="3"/>
  <c r="AO45" i="3"/>
  <c r="AK18" i="3"/>
  <c r="AG23" i="1" s="1"/>
  <c r="AM18" i="3"/>
  <c r="AG35" i="1" s="1"/>
  <c r="AN18" i="3"/>
  <c r="AG40" i="1" s="1"/>
  <c r="AN16" i="2"/>
  <c r="AG41" i="1" s="1"/>
  <c r="AO17" i="2"/>
  <c r="AO28" i="2"/>
  <c r="X18" i="25"/>
  <c r="AG48" i="1" s="1"/>
  <c r="Z18" i="25"/>
  <c r="AG50" i="1" s="1"/>
  <c r="AE30" i="16"/>
  <c r="AB18" i="16"/>
  <c r="AG21" i="1" s="1"/>
  <c r="AO18" i="5"/>
  <c r="AO17" i="5" s="1"/>
  <c r="AV17" i="5" s="1"/>
  <c r="BM18" i="3"/>
  <c r="BK18" i="3"/>
  <c r="BI18" i="3"/>
  <c r="AK16" i="2"/>
  <c r="AG24" i="1" s="1"/>
  <c r="AM16" i="2"/>
  <c r="AG36" i="1" s="1"/>
  <c r="AL16" i="2"/>
  <c r="X82" i="31"/>
  <c r="V82" i="31"/>
  <c r="T82" i="31"/>
  <c r="X81" i="31"/>
  <c r="V81" i="31"/>
  <c r="T81" i="31"/>
  <c r="X80" i="31"/>
  <c r="V80" i="31"/>
  <c r="T80" i="31"/>
  <c r="X79" i="31"/>
  <c r="V79" i="31"/>
  <c r="T79" i="31"/>
  <c r="X78" i="31"/>
  <c r="V78" i="31"/>
  <c r="T78" i="31"/>
  <c r="X77" i="31"/>
  <c r="V77" i="31"/>
  <c r="T77" i="31"/>
  <c r="X76" i="31"/>
  <c r="V76" i="31"/>
  <c r="T76" i="31"/>
  <c r="X75" i="31"/>
  <c r="V75" i="31"/>
  <c r="T75" i="31"/>
  <c r="X74" i="31"/>
  <c r="V74" i="31"/>
  <c r="T74" i="31"/>
  <c r="X73" i="31"/>
  <c r="V73" i="31"/>
  <c r="T73" i="31"/>
  <c r="X72" i="31"/>
  <c r="V72" i="31"/>
  <c r="T72" i="31"/>
  <c r="X71" i="31"/>
  <c r="V71" i="31"/>
  <c r="T71" i="31"/>
  <c r="X70" i="31"/>
  <c r="V70" i="31"/>
  <c r="T70" i="31"/>
  <c r="X69" i="31"/>
  <c r="V69" i="31"/>
  <c r="T69" i="31"/>
  <c r="X68" i="31"/>
  <c r="V68" i="31"/>
  <c r="T68" i="31"/>
  <c r="X67" i="31"/>
  <c r="V67" i="31"/>
  <c r="T67" i="31"/>
  <c r="X66" i="31"/>
  <c r="V66" i="31"/>
  <c r="T66" i="31"/>
  <c r="X64" i="31"/>
  <c r="V64" i="31"/>
  <c r="T64" i="31"/>
  <c r="X63" i="31"/>
  <c r="V63" i="31"/>
  <c r="T63" i="31"/>
  <c r="X62" i="31"/>
  <c r="V62" i="31"/>
  <c r="T62" i="31"/>
  <c r="X61" i="31"/>
  <c r="V61" i="31"/>
  <c r="T61" i="31"/>
  <c r="X59" i="31"/>
  <c r="V59" i="31"/>
  <c r="T59" i="31"/>
  <c r="X58" i="31"/>
  <c r="V58" i="31"/>
  <c r="T58" i="31"/>
  <c r="X60" i="31"/>
  <c r="V60" i="31"/>
  <c r="T60" i="31"/>
  <c r="X57" i="31"/>
  <c r="V57" i="31"/>
  <c r="T57" i="31"/>
  <c r="X56" i="31"/>
  <c r="V56" i="31"/>
  <c r="T56" i="31"/>
  <c r="X55" i="31"/>
  <c r="V55" i="31"/>
  <c r="T55" i="31"/>
  <c r="X54" i="31"/>
  <c r="V54" i="31"/>
  <c r="T54" i="31"/>
  <c r="X53" i="31"/>
  <c r="V53" i="31"/>
  <c r="T53" i="31"/>
  <c r="X52" i="31"/>
  <c r="V52" i="31"/>
  <c r="T52" i="31"/>
  <c r="X51" i="31"/>
  <c r="V51" i="31"/>
  <c r="T51" i="31"/>
  <c r="X50" i="31"/>
  <c r="V50" i="31"/>
  <c r="T50" i="31"/>
  <c r="X49" i="31"/>
  <c r="V49" i="31"/>
  <c r="T49" i="31"/>
  <c r="X48" i="31"/>
  <c r="V48" i="31"/>
  <c r="T48" i="31"/>
  <c r="X46" i="31"/>
  <c r="V46" i="31"/>
  <c r="T46" i="31"/>
  <c r="X45" i="31"/>
  <c r="V45" i="31"/>
  <c r="T45" i="31"/>
  <c r="X44" i="31"/>
  <c r="V44" i="31"/>
  <c r="T44" i="31"/>
  <c r="X43" i="31"/>
  <c r="V43" i="31"/>
  <c r="T43" i="31"/>
  <c r="X42" i="31"/>
  <c r="V42" i="31"/>
  <c r="T42" i="31"/>
  <c r="X41" i="31"/>
  <c r="V41" i="31"/>
  <c r="T41" i="31"/>
  <c r="X40" i="31"/>
  <c r="V40" i="31"/>
  <c r="T40" i="31"/>
  <c r="X39" i="31"/>
  <c r="V39" i="31"/>
  <c r="T39" i="31"/>
  <c r="X38" i="31"/>
  <c r="V38" i="31"/>
  <c r="T38" i="31"/>
  <c r="X37" i="31"/>
  <c r="V37" i="31"/>
  <c r="T37" i="31"/>
  <c r="X36" i="31"/>
  <c r="V36" i="31"/>
  <c r="T36" i="31"/>
  <c r="X28" i="31"/>
  <c r="V28" i="31"/>
  <c r="T28" i="31"/>
  <c r="X24" i="31"/>
  <c r="V24" i="31"/>
  <c r="T24" i="31"/>
  <c r="AK96" i="25"/>
  <c r="AI96" i="25"/>
  <c r="AG96" i="25"/>
  <c r="AK94" i="25"/>
  <c r="AI94" i="25"/>
  <c r="AG94" i="25"/>
  <c r="AK92" i="25"/>
  <c r="AI92" i="25"/>
  <c r="AG92" i="25"/>
  <c r="AK66" i="25"/>
  <c r="AI66" i="25"/>
  <c r="AG66" i="25"/>
  <c r="AK49" i="25"/>
  <c r="AI49" i="25"/>
  <c r="AG49" i="25"/>
  <c r="AK48" i="25"/>
  <c r="AI48" i="25"/>
  <c r="AG48" i="25"/>
  <c r="AK47" i="25"/>
  <c r="AI47" i="25"/>
  <c r="AG47" i="25"/>
  <c r="AK37" i="25"/>
  <c r="AI37" i="25"/>
  <c r="AG37" i="25"/>
  <c r="AK35" i="25"/>
  <c r="AI35" i="25"/>
  <c r="AG35" i="25"/>
  <c r="AK33" i="25"/>
  <c r="AI33" i="25"/>
  <c r="AG33" i="25"/>
  <c r="AY54" i="16"/>
  <c r="AW54" i="16"/>
  <c r="AU54" i="16"/>
  <c r="AY52" i="16"/>
  <c r="AW52" i="16"/>
  <c r="AU52" i="16"/>
  <c r="AY47" i="16"/>
  <c r="AW47" i="16"/>
  <c r="AU47" i="16"/>
  <c r="AY43" i="16"/>
  <c r="AW43" i="16"/>
  <c r="AU43" i="16"/>
  <c r="AY39" i="16"/>
  <c r="AW39" i="16"/>
  <c r="AU39" i="16"/>
  <c r="AY36" i="16"/>
  <c r="AW36" i="16"/>
  <c r="AU36" i="16"/>
  <c r="AY35" i="16"/>
  <c r="AW35" i="16"/>
  <c r="AU35" i="16"/>
  <c r="AY34" i="16"/>
  <c r="AW34" i="16"/>
  <c r="AU34" i="16"/>
  <c r="AY33" i="16"/>
  <c r="AW33" i="16"/>
  <c r="AU33" i="16"/>
  <c r="AY23" i="16"/>
  <c r="AW23" i="16"/>
  <c r="AU23" i="16"/>
  <c r="AY22" i="16"/>
  <c r="AW22" i="16"/>
  <c r="AU22" i="16"/>
  <c r="AN19" i="16" l="1"/>
  <c r="AN18" i="16" s="1"/>
  <c r="BC17" i="5"/>
  <c r="AN16" i="1"/>
  <c r="AN39" i="1"/>
  <c r="AO39" i="1"/>
  <c r="AP39" i="1" s="1"/>
  <c r="AN34" i="1"/>
  <c r="AO34" i="1"/>
  <c r="AP34" i="1" s="1"/>
  <c r="AN22" i="1"/>
  <c r="AO22" i="1"/>
  <c r="AP22" i="1" s="1"/>
  <c r="BC68" i="2"/>
  <c r="BB16" i="2"/>
  <c r="AO28" i="1"/>
  <c r="AP28" i="1" s="1"/>
  <c r="AN28" i="1"/>
  <c r="AW18" i="3"/>
  <c r="BB45" i="3"/>
  <c r="AI24" i="1"/>
  <c r="AJ24" i="1"/>
  <c r="AK24" i="1" s="1"/>
  <c r="AI48" i="1"/>
  <c r="AJ48" i="1"/>
  <c r="AK48" i="1" s="1"/>
  <c r="AI40" i="1"/>
  <c r="AJ40" i="1"/>
  <c r="AK40" i="1" s="1"/>
  <c r="AI27" i="1"/>
  <c r="AJ27" i="1"/>
  <c r="AK27" i="1" s="1"/>
  <c r="AI33" i="1"/>
  <c r="AJ33" i="1"/>
  <c r="AK33" i="1" s="1"/>
  <c r="AI21" i="1"/>
  <c r="AJ21" i="1"/>
  <c r="AK21" i="1" s="1"/>
  <c r="AI35" i="1"/>
  <c r="AJ35" i="1"/>
  <c r="AK35" i="1" s="1"/>
  <c r="AI49" i="1"/>
  <c r="AJ49" i="1"/>
  <c r="AK49" i="1" s="1"/>
  <c r="AI23" i="1"/>
  <c r="AJ23" i="1"/>
  <c r="AK23" i="1" s="1"/>
  <c r="AI47" i="1"/>
  <c r="AJ47" i="1"/>
  <c r="AK47" i="1" s="1"/>
  <c r="AJ18" i="1"/>
  <c r="AK18" i="1" s="1"/>
  <c r="AI36" i="1"/>
  <c r="AJ36" i="1"/>
  <c r="AK36" i="1" s="1"/>
  <c r="AI50" i="1"/>
  <c r="AJ50" i="1"/>
  <c r="AK50" i="1" s="1"/>
  <c r="AI41" i="1"/>
  <c r="AJ41" i="1"/>
  <c r="AK41" i="1" s="1"/>
  <c r="AI29" i="1"/>
  <c r="AJ29" i="1"/>
  <c r="AK29" i="1" s="1"/>
  <c r="BB19" i="3"/>
  <c r="AS27" i="1"/>
  <c r="AS33" i="1"/>
  <c r="AE18" i="16"/>
  <c r="AO18" i="16" s="1"/>
  <c r="AS29" i="1"/>
  <c r="AG16" i="1"/>
  <c r="AS18" i="1"/>
  <c r="AG30" i="1"/>
  <c r="AS21" i="1"/>
  <c r="AG39" i="1"/>
  <c r="AG34" i="1"/>
  <c r="AG22" i="1"/>
  <c r="AI22" i="1" s="1"/>
  <c r="AS41" i="1"/>
  <c r="AS40" i="1"/>
  <c r="AS36" i="1"/>
  <c r="AS35" i="1"/>
  <c r="AS49" i="1"/>
  <c r="AS24" i="1"/>
  <c r="AS50" i="1"/>
  <c r="AS23" i="1"/>
  <c r="AS47" i="1"/>
  <c r="AS48" i="1"/>
  <c r="AO18" i="3"/>
  <c r="AO16" i="2"/>
  <c r="AV16" i="2" s="1"/>
  <c r="CW63" i="3"/>
  <c r="CW62" i="3"/>
  <c r="CW61" i="3"/>
  <c r="CW59" i="3"/>
  <c r="CW58" i="3"/>
  <c r="CW57" i="3"/>
  <c r="CW56" i="3"/>
  <c r="CW54" i="3"/>
  <c r="CW53" i="3"/>
  <c r="CW52" i="3"/>
  <c r="CW50" i="3"/>
  <c r="CW49" i="3"/>
  <c r="CW48" i="3"/>
  <c r="CW47" i="3"/>
  <c r="CW41" i="3"/>
  <c r="CW40" i="3"/>
  <c r="CW39" i="3"/>
  <c r="CW37" i="3"/>
  <c r="CW36" i="3"/>
  <c r="CW35" i="3"/>
  <c r="CW34" i="3"/>
  <c r="CW33" i="3"/>
  <c r="CW32" i="3"/>
  <c r="CW31" i="3"/>
  <c r="CW29" i="3"/>
  <c r="CW28" i="3"/>
  <c r="CW27" i="3"/>
  <c r="CW25" i="3"/>
  <c r="CW24" i="3"/>
  <c r="CW23" i="3"/>
  <c r="CW22" i="3"/>
  <c r="BC16" i="2" l="1"/>
  <c r="BB18" i="3"/>
  <c r="AI30" i="1"/>
  <c r="AJ30" i="1"/>
  <c r="AK30" i="1" s="1"/>
  <c r="AI39" i="1"/>
  <c r="AJ39" i="1"/>
  <c r="AK39" i="1" s="1"/>
  <c r="AI16" i="1"/>
  <c r="AJ16" i="1"/>
  <c r="AK16" i="1" s="1"/>
  <c r="AJ22" i="1"/>
  <c r="AK22" i="1" s="1"/>
  <c r="AI34" i="1"/>
  <c r="AJ34" i="1"/>
  <c r="AK34" i="1" s="1"/>
  <c r="AS16" i="1"/>
  <c r="AS30" i="1"/>
  <c r="AG28" i="1"/>
  <c r="CW60" i="3"/>
  <c r="CW30" i="3"/>
  <c r="CW21" i="3"/>
  <c r="CW20" i="3" s="1"/>
  <c r="CR21" i="3"/>
  <c r="CW46" i="3"/>
  <c r="CW51" i="3"/>
  <c r="CW55" i="3"/>
  <c r="BB53" i="1"/>
  <c r="BA53" i="1"/>
  <c r="N83" i="31"/>
  <c r="X65" i="31"/>
  <c r="T35" i="31"/>
  <c r="N17" i="31"/>
  <c r="BB52" i="1"/>
  <c r="BA52" i="1"/>
  <c r="BF82" i="31"/>
  <c r="BE82" i="31"/>
  <c r="BD82" i="31"/>
  <c r="BB82" i="31"/>
  <c r="BH82" i="31"/>
  <c r="N82" i="31"/>
  <c r="BC82" i="31" s="1"/>
  <c r="BF81" i="31"/>
  <c r="BE81" i="31"/>
  <c r="BD81" i="31"/>
  <c r="BB81" i="31"/>
  <c r="BH81" i="31"/>
  <c r="N81" i="31"/>
  <c r="BC81" i="31" s="1"/>
  <c r="BF80" i="31"/>
  <c r="BE80" i="31"/>
  <c r="BD80" i="31"/>
  <c r="BB80" i="31"/>
  <c r="BH80" i="31"/>
  <c r="N80" i="31"/>
  <c r="BC80" i="31" s="1"/>
  <c r="BF79" i="31"/>
  <c r="BE79" i="31"/>
  <c r="BD79" i="31"/>
  <c r="BB79" i="31"/>
  <c r="BH79" i="31"/>
  <c r="N79" i="31"/>
  <c r="BC79" i="31" s="1"/>
  <c r="BF78" i="31"/>
  <c r="BE78" i="31"/>
  <c r="BD78" i="31"/>
  <c r="BB78" i="31"/>
  <c r="BH78" i="31"/>
  <c r="N78" i="31"/>
  <c r="BC78" i="31" s="1"/>
  <c r="BF77" i="31"/>
  <c r="BE77" i="31"/>
  <c r="BD77" i="31"/>
  <c r="BB77" i="31"/>
  <c r="BH77" i="31"/>
  <c r="N77" i="31"/>
  <c r="BC77" i="31" s="1"/>
  <c r="BF76" i="31"/>
  <c r="BE76" i="31"/>
  <c r="BD76" i="31"/>
  <c r="BB76" i="31"/>
  <c r="BH76" i="31"/>
  <c r="N76" i="31"/>
  <c r="BC76" i="31" s="1"/>
  <c r="BF75" i="31"/>
  <c r="BE75" i="31"/>
  <c r="BD75" i="31"/>
  <c r="BB75" i="31"/>
  <c r="BH75" i="31"/>
  <c r="N75" i="31"/>
  <c r="BC75" i="31" s="1"/>
  <c r="BF74" i="31"/>
  <c r="BE74" i="31"/>
  <c r="BD74" i="31"/>
  <c r="BB74" i="31"/>
  <c r="BH74" i="31"/>
  <c r="N74" i="31"/>
  <c r="BC74" i="31" s="1"/>
  <c r="BF73" i="31"/>
  <c r="BE73" i="31"/>
  <c r="BD73" i="31"/>
  <c r="BB73" i="31"/>
  <c r="BH73" i="31"/>
  <c r="N73" i="31"/>
  <c r="BC73" i="31" s="1"/>
  <c r="BF72" i="31"/>
  <c r="BE72" i="31"/>
  <c r="BD72" i="31"/>
  <c r="BB72" i="31"/>
  <c r="BH72" i="31"/>
  <c r="N72" i="31"/>
  <c r="BC72" i="31" s="1"/>
  <c r="BF71" i="31"/>
  <c r="BE71" i="31"/>
  <c r="BD71" i="31"/>
  <c r="BB71" i="31"/>
  <c r="BH71" i="31"/>
  <c r="N71" i="31"/>
  <c r="BC71" i="31" s="1"/>
  <c r="BF70" i="31"/>
  <c r="BE70" i="31"/>
  <c r="BD70" i="31"/>
  <c r="BB70" i="31"/>
  <c r="BH70" i="31"/>
  <c r="N70" i="31"/>
  <c r="BC70" i="31" s="1"/>
  <c r="BF69" i="31"/>
  <c r="BE69" i="31"/>
  <c r="BD69" i="31"/>
  <c r="BB69" i="31"/>
  <c r="BH69" i="31"/>
  <c r="N69" i="31"/>
  <c r="BC69" i="31" s="1"/>
  <c r="BF68" i="31"/>
  <c r="BE68" i="31"/>
  <c r="BD68" i="31"/>
  <c r="BB68" i="31"/>
  <c r="BH68" i="31"/>
  <c r="N68" i="31"/>
  <c r="BC68" i="31" s="1"/>
  <c r="BF67" i="31"/>
  <c r="BE67" i="31"/>
  <c r="BD67" i="31"/>
  <c r="BB67" i="31"/>
  <c r="BH67" i="31"/>
  <c r="N67" i="31"/>
  <c r="BC67" i="31" s="1"/>
  <c r="BF66" i="31"/>
  <c r="BE66" i="31"/>
  <c r="BD66" i="31"/>
  <c r="BB66" i="31"/>
  <c r="V65" i="31"/>
  <c r="T65" i="31"/>
  <c r="BH66" i="31"/>
  <c r="N66" i="31"/>
  <c r="BC66" i="31" s="1"/>
  <c r="BF64" i="31"/>
  <c r="BE64" i="31"/>
  <c r="BD64" i="31"/>
  <c r="BB64" i="31"/>
  <c r="BH64" i="31"/>
  <c r="N64" i="31"/>
  <c r="BC64" i="31" s="1"/>
  <c r="BF63" i="31"/>
  <c r="BE63" i="31"/>
  <c r="BD63" i="31"/>
  <c r="BB63" i="31"/>
  <c r="BH63" i="31"/>
  <c r="N63" i="31"/>
  <c r="BC63" i="31" s="1"/>
  <c r="BF62" i="31"/>
  <c r="BE62" i="31"/>
  <c r="BD62" i="31"/>
  <c r="BB62" i="31"/>
  <c r="BH62" i="31"/>
  <c r="N62" i="31"/>
  <c r="BC62" i="31" s="1"/>
  <c r="BF61" i="31"/>
  <c r="BE61" i="31"/>
  <c r="BD61" i="31"/>
  <c r="BB61" i="31"/>
  <c r="BH61" i="31"/>
  <c r="N61" i="31"/>
  <c r="BC61" i="31" s="1"/>
  <c r="BF60" i="31"/>
  <c r="BE60" i="31"/>
  <c r="BD60" i="31"/>
  <c r="BB60" i="31"/>
  <c r="BH60" i="31"/>
  <c r="N60" i="31"/>
  <c r="BC60" i="31" s="1"/>
  <c r="BF59" i="31"/>
  <c r="BE59" i="31"/>
  <c r="BD59" i="31"/>
  <c r="BB59" i="31"/>
  <c r="BH59" i="31"/>
  <c r="N59" i="31"/>
  <c r="BC59" i="31" s="1"/>
  <c r="BF58" i="31"/>
  <c r="BE58" i="31"/>
  <c r="BD58" i="31"/>
  <c r="BB58" i="31"/>
  <c r="BH58" i="31"/>
  <c r="N58" i="31"/>
  <c r="BC58" i="31" s="1"/>
  <c r="BF57" i="31"/>
  <c r="BE57" i="31"/>
  <c r="BD57" i="31"/>
  <c r="BB57" i="31"/>
  <c r="BH57" i="31"/>
  <c r="N57" i="31"/>
  <c r="BC57" i="31" s="1"/>
  <c r="BF56" i="31"/>
  <c r="BE56" i="31"/>
  <c r="BD56" i="31"/>
  <c r="BB56" i="31"/>
  <c r="BH56" i="31"/>
  <c r="N56" i="31"/>
  <c r="BC56" i="31" s="1"/>
  <c r="BF55" i="31"/>
  <c r="BE55" i="31"/>
  <c r="BD55" i="31"/>
  <c r="BB55" i="31"/>
  <c r="BH55" i="31"/>
  <c r="N55" i="31"/>
  <c r="BC55" i="31" s="1"/>
  <c r="BF54" i="31"/>
  <c r="BE54" i="31"/>
  <c r="BD54" i="31"/>
  <c r="BB54" i="31"/>
  <c r="BH54" i="31"/>
  <c r="N54" i="31"/>
  <c r="BC54" i="31" s="1"/>
  <c r="BF53" i="31"/>
  <c r="BE53" i="31"/>
  <c r="BD53" i="31"/>
  <c r="BB53" i="31"/>
  <c r="BH53" i="31"/>
  <c r="N53" i="31"/>
  <c r="BC53" i="31" s="1"/>
  <c r="BF52" i="31"/>
  <c r="BE52" i="31"/>
  <c r="BD52" i="31"/>
  <c r="BB52" i="31"/>
  <c r="BH52" i="31"/>
  <c r="N52" i="31"/>
  <c r="BC52" i="31" s="1"/>
  <c r="BF51" i="31"/>
  <c r="BE51" i="31"/>
  <c r="BD51" i="31"/>
  <c r="BB51" i="31"/>
  <c r="BH51" i="31"/>
  <c r="N51" i="31"/>
  <c r="BC51" i="31" s="1"/>
  <c r="BF50" i="31"/>
  <c r="BE50" i="31"/>
  <c r="BD50" i="31"/>
  <c r="BB50" i="31"/>
  <c r="BH50" i="31"/>
  <c r="N50" i="31"/>
  <c r="BC50" i="31" s="1"/>
  <c r="BF49" i="31"/>
  <c r="BE49" i="31"/>
  <c r="BD49" i="31"/>
  <c r="BB49" i="31"/>
  <c r="BH49" i="31"/>
  <c r="N49" i="31"/>
  <c r="BC49" i="31" s="1"/>
  <c r="BF48" i="31"/>
  <c r="BE48" i="31"/>
  <c r="BD48" i="31"/>
  <c r="BB48" i="31"/>
  <c r="V47" i="31"/>
  <c r="T47" i="31"/>
  <c r="BH48" i="31"/>
  <c r="N48" i="31"/>
  <c r="BC48" i="31" s="1"/>
  <c r="BF46" i="31"/>
  <c r="BE46" i="31"/>
  <c r="BD46" i="31"/>
  <c r="BB46" i="31"/>
  <c r="BH46" i="31"/>
  <c r="N46" i="31"/>
  <c r="BC46" i="31" s="1"/>
  <c r="BF45" i="31"/>
  <c r="BE45" i="31"/>
  <c r="BD45" i="31"/>
  <c r="BB45" i="31"/>
  <c r="BH45" i="31"/>
  <c r="N45" i="31"/>
  <c r="BC45" i="31" s="1"/>
  <c r="BF44" i="31"/>
  <c r="BE44" i="31"/>
  <c r="BD44" i="31"/>
  <c r="BB44" i="31"/>
  <c r="BH44" i="31"/>
  <c r="N44" i="31"/>
  <c r="BC44" i="31" s="1"/>
  <c r="BF43" i="31"/>
  <c r="BE43" i="31"/>
  <c r="BD43" i="31"/>
  <c r="BB43" i="31"/>
  <c r="BH43" i="31"/>
  <c r="N43" i="31"/>
  <c r="BC43" i="31" s="1"/>
  <c r="BF42" i="31"/>
  <c r="BE42" i="31"/>
  <c r="BD42" i="31"/>
  <c r="BB42" i="31"/>
  <c r="BH42" i="31"/>
  <c r="N42" i="31"/>
  <c r="BC42" i="31" s="1"/>
  <c r="BF41" i="31"/>
  <c r="BE41" i="31"/>
  <c r="BD41" i="31"/>
  <c r="BB41" i="31"/>
  <c r="BH41" i="31"/>
  <c r="N41" i="31"/>
  <c r="BC41" i="31" s="1"/>
  <c r="BF40" i="31"/>
  <c r="BE40" i="31"/>
  <c r="BD40" i="31"/>
  <c r="BB40" i="31"/>
  <c r="BH40" i="31"/>
  <c r="N40" i="31"/>
  <c r="BC40" i="31" s="1"/>
  <c r="BF39" i="31"/>
  <c r="BE39" i="31"/>
  <c r="BD39" i="31"/>
  <c r="BB39" i="31"/>
  <c r="BH39" i="31"/>
  <c r="N39" i="31"/>
  <c r="BC39" i="31" s="1"/>
  <c r="BF38" i="31"/>
  <c r="BE38" i="31"/>
  <c r="BD38" i="31"/>
  <c r="BB38" i="31"/>
  <c r="BH38" i="31"/>
  <c r="N38" i="31"/>
  <c r="BC38" i="31" s="1"/>
  <c r="BF37" i="31"/>
  <c r="BE37" i="31"/>
  <c r="BD37" i="31"/>
  <c r="BB37" i="31"/>
  <c r="BH37" i="31"/>
  <c r="N37" i="31"/>
  <c r="BC37" i="31" s="1"/>
  <c r="BF36" i="31"/>
  <c r="BE36" i="31"/>
  <c r="BD36" i="31"/>
  <c r="BB36" i="31"/>
  <c r="X35" i="31"/>
  <c r="V35" i="31"/>
  <c r="BH36" i="31"/>
  <c r="N36" i="31"/>
  <c r="BC36" i="31" s="1"/>
  <c r="BF34" i="31"/>
  <c r="BE34" i="31"/>
  <c r="BD34" i="31"/>
  <c r="BB34" i="31"/>
  <c r="X34" i="31"/>
  <c r="V34" i="31"/>
  <c r="T34" i="31"/>
  <c r="BH34" i="31"/>
  <c r="N34" i="31"/>
  <c r="BC34" i="31" s="1"/>
  <c r="BF33" i="31"/>
  <c r="BE33" i="31"/>
  <c r="BD33" i="31"/>
  <c r="BB33" i="31"/>
  <c r="X33" i="31"/>
  <c r="V33" i="31"/>
  <c r="T33" i="31"/>
  <c r="BH33" i="31"/>
  <c r="N33" i="31"/>
  <c r="BC33" i="31" s="1"/>
  <c r="BF32" i="31"/>
  <c r="BE32" i="31"/>
  <c r="BD32" i="31"/>
  <c r="BB32" i="31"/>
  <c r="X32" i="31"/>
  <c r="V32" i="31"/>
  <c r="T32" i="31"/>
  <c r="BH32" i="31"/>
  <c r="N32" i="31"/>
  <c r="BC32" i="31" s="1"/>
  <c r="BF31" i="31"/>
  <c r="BE31" i="31"/>
  <c r="BD31" i="31"/>
  <c r="BB31" i="31"/>
  <c r="X31" i="31"/>
  <c r="V31" i="31"/>
  <c r="T31" i="31"/>
  <c r="BH31" i="31"/>
  <c r="N31" i="31"/>
  <c r="BC31" i="31" s="1"/>
  <c r="BF30" i="31"/>
  <c r="BE30" i="31"/>
  <c r="BD30" i="31"/>
  <c r="BB30" i="31"/>
  <c r="X30" i="31"/>
  <c r="V30" i="31"/>
  <c r="T30" i="31"/>
  <c r="BH30" i="31"/>
  <c r="N30" i="31"/>
  <c r="BC30" i="31" s="1"/>
  <c r="BF29" i="31"/>
  <c r="BE29" i="31"/>
  <c r="BD29" i="31"/>
  <c r="BB29" i="31"/>
  <c r="X29" i="31"/>
  <c r="V29" i="31"/>
  <c r="T29" i="31"/>
  <c r="BH29" i="31"/>
  <c r="N29" i="31"/>
  <c r="BC29" i="31" s="1"/>
  <c r="BF28" i="31"/>
  <c r="BE28" i="31"/>
  <c r="BD28" i="31"/>
  <c r="BB28" i="31"/>
  <c r="BH28" i="31"/>
  <c r="N28" i="31"/>
  <c r="BC28" i="31" s="1"/>
  <c r="BF27" i="31"/>
  <c r="BE27" i="31"/>
  <c r="BD27" i="31"/>
  <c r="BB27" i="31"/>
  <c r="X27" i="31"/>
  <c r="V27" i="31"/>
  <c r="T27" i="31"/>
  <c r="BH27" i="31"/>
  <c r="N27" i="31"/>
  <c r="BC27" i="31" s="1"/>
  <c r="BF26" i="31"/>
  <c r="BE26" i="31"/>
  <c r="BD26" i="31"/>
  <c r="BB26" i="31"/>
  <c r="X26" i="31"/>
  <c r="V26" i="31"/>
  <c r="T26" i="31"/>
  <c r="BH26" i="31"/>
  <c r="N26" i="31"/>
  <c r="BC26" i="31" s="1"/>
  <c r="BF25" i="31"/>
  <c r="BE25" i="31"/>
  <c r="BD25" i="31"/>
  <c r="BB25" i="31"/>
  <c r="X25" i="31"/>
  <c r="V25" i="31"/>
  <c r="T25" i="31"/>
  <c r="BH25" i="31"/>
  <c r="N25" i="31"/>
  <c r="BC25" i="31" s="1"/>
  <c r="BF24" i="31"/>
  <c r="BE24" i="31"/>
  <c r="BD24" i="31"/>
  <c r="BB24" i="31"/>
  <c r="BH24" i="31"/>
  <c r="N24" i="31"/>
  <c r="BC24" i="31" s="1"/>
  <c r="BF23" i="31"/>
  <c r="BE23" i="31"/>
  <c r="BD23" i="31"/>
  <c r="BB23" i="31"/>
  <c r="X23" i="31"/>
  <c r="V23" i="31"/>
  <c r="T23" i="31"/>
  <c r="BH23" i="31"/>
  <c r="N23" i="31"/>
  <c r="BC23" i="31" s="1"/>
  <c r="BF22" i="31"/>
  <c r="BE22" i="31"/>
  <c r="BD22" i="31"/>
  <c r="BB22" i="31"/>
  <c r="X22" i="31"/>
  <c r="V22" i="31"/>
  <c r="T22" i="31"/>
  <c r="BH22" i="31"/>
  <c r="N22" i="31"/>
  <c r="BC22" i="31" s="1"/>
  <c r="BF21" i="31"/>
  <c r="BE21" i="31"/>
  <c r="BD21" i="31"/>
  <c r="BB21" i="31"/>
  <c r="X21" i="31"/>
  <c r="V21" i="31"/>
  <c r="T21" i="31"/>
  <c r="BH21" i="31"/>
  <c r="N21" i="31"/>
  <c r="BC21" i="31" s="1"/>
  <c r="BF20" i="31"/>
  <c r="BE20" i="31"/>
  <c r="BD20" i="31"/>
  <c r="BB20" i="31"/>
  <c r="X20" i="31"/>
  <c r="V20" i="31"/>
  <c r="T20" i="31"/>
  <c r="BH20" i="31"/>
  <c r="N20" i="31"/>
  <c r="BC20" i="31" s="1"/>
  <c r="BF19" i="31"/>
  <c r="BE19" i="31"/>
  <c r="BD19" i="31"/>
  <c r="BB19" i="31"/>
  <c r="X19" i="31"/>
  <c r="V19" i="31"/>
  <c r="T19" i="31"/>
  <c r="BH19" i="31"/>
  <c r="N19" i="31"/>
  <c r="BC19" i="31" s="1"/>
  <c r="N61" i="30"/>
  <c r="BB51" i="1"/>
  <c r="BA51" i="1"/>
  <c r="BF60" i="30"/>
  <c r="BE60" i="30"/>
  <c r="BD60" i="30"/>
  <c r="BB60" i="30"/>
  <c r="X60" i="30"/>
  <c r="X59" i="30" s="1"/>
  <c r="V60" i="30"/>
  <c r="V59" i="30" s="1"/>
  <c r="T60" i="30"/>
  <c r="T59" i="30" s="1"/>
  <c r="BH60" i="30"/>
  <c r="BH59" i="30" s="1"/>
  <c r="N59" i="30" s="1"/>
  <c r="N60" i="30"/>
  <c r="BC60" i="30" s="1"/>
  <c r="BF58" i="30"/>
  <c r="BE58" i="30"/>
  <c r="BD58" i="30"/>
  <c r="BB58" i="30"/>
  <c r="X58" i="30"/>
  <c r="X57" i="30" s="1"/>
  <c r="V58" i="30"/>
  <c r="V57" i="30" s="1"/>
  <c r="T58" i="30"/>
  <c r="T57" i="30" s="1"/>
  <c r="BH58" i="30"/>
  <c r="BH57" i="30" s="1"/>
  <c r="N57" i="30" s="1"/>
  <c r="N58" i="30"/>
  <c r="BC58" i="30" s="1"/>
  <c r="BF56" i="30"/>
  <c r="BE56" i="30"/>
  <c r="BD56" i="30"/>
  <c r="BB56" i="30"/>
  <c r="X56" i="30"/>
  <c r="V56" i="30"/>
  <c r="T56" i="30"/>
  <c r="BH56" i="30"/>
  <c r="N56" i="30"/>
  <c r="BC56" i="30" s="1"/>
  <c r="BF55" i="30"/>
  <c r="BE55" i="30"/>
  <c r="BD55" i="30"/>
  <c r="BB55" i="30"/>
  <c r="X55" i="30"/>
  <c r="V55" i="30"/>
  <c r="T55" i="30"/>
  <c r="BH55" i="30"/>
  <c r="N55" i="30"/>
  <c r="BC55" i="30" s="1"/>
  <c r="BF52" i="30"/>
  <c r="BE52" i="30"/>
  <c r="BD52" i="30"/>
  <c r="BB52" i="30"/>
  <c r="X52" i="30"/>
  <c r="X51" i="30" s="1"/>
  <c r="X50" i="30" s="1"/>
  <c r="V52" i="30"/>
  <c r="V51" i="30" s="1"/>
  <c r="V50" i="30" s="1"/>
  <c r="T52" i="30"/>
  <c r="T51" i="30" s="1"/>
  <c r="T50" i="30" s="1"/>
  <c r="BH52" i="30"/>
  <c r="BH51" i="30" s="1"/>
  <c r="N51" i="30" s="1"/>
  <c r="N52" i="30"/>
  <c r="BC52" i="30" s="1"/>
  <c r="BF49" i="30"/>
  <c r="BE49" i="30"/>
  <c r="BD49" i="30"/>
  <c r="BB49" i="30"/>
  <c r="X49" i="30"/>
  <c r="V49" i="30"/>
  <c r="T49" i="30"/>
  <c r="BH49" i="30"/>
  <c r="N49" i="30"/>
  <c r="BC49" i="30" s="1"/>
  <c r="BF48" i="30"/>
  <c r="BE48" i="30"/>
  <c r="BD48" i="30"/>
  <c r="BB48" i="30"/>
  <c r="BH48" i="30"/>
  <c r="N48" i="30"/>
  <c r="BC48" i="30" s="1"/>
  <c r="BF47" i="30"/>
  <c r="BE47" i="30"/>
  <c r="BD47" i="30"/>
  <c r="BB47" i="30"/>
  <c r="X47" i="30"/>
  <c r="V47" i="30"/>
  <c r="T47" i="30"/>
  <c r="BH47" i="30"/>
  <c r="N47" i="30"/>
  <c r="BC47" i="30" s="1"/>
  <c r="BF46" i="30"/>
  <c r="BE46" i="30"/>
  <c r="BD46" i="30"/>
  <c r="BB46" i="30"/>
  <c r="BH46" i="30"/>
  <c r="N46" i="30"/>
  <c r="BC46" i="30" s="1"/>
  <c r="BF45" i="30"/>
  <c r="BE45" i="30"/>
  <c r="BD45" i="30"/>
  <c r="BB45" i="30"/>
  <c r="X45" i="30"/>
  <c r="V45" i="30"/>
  <c r="T45" i="30"/>
  <c r="BH45" i="30"/>
  <c r="N45" i="30"/>
  <c r="BC45" i="30" s="1"/>
  <c r="BF44" i="30"/>
  <c r="BE44" i="30"/>
  <c r="BD44" i="30"/>
  <c r="BB44" i="30"/>
  <c r="X44" i="30"/>
  <c r="V44" i="30"/>
  <c r="T44" i="30"/>
  <c r="BH44" i="30"/>
  <c r="N44" i="30"/>
  <c r="BC44" i="30" s="1"/>
  <c r="BF43" i="30"/>
  <c r="BE43" i="30"/>
  <c r="BD43" i="30"/>
  <c r="BB43" i="30"/>
  <c r="X43" i="30"/>
  <c r="V43" i="30"/>
  <c r="T43" i="30"/>
  <c r="BH43" i="30"/>
  <c r="N43" i="30"/>
  <c r="BC43" i="30" s="1"/>
  <c r="BF42" i="30"/>
  <c r="BE42" i="30"/>
  <c r="BD42" i="30"/>
  <c r="BB42" i="30"/>
  <c r="X42" i="30"/>
  <c r="V42" i="30"/>
  <c r="T42" i="30"/>
  <c r="BH42" i="30"/>
  <c r="N42" i="30"/>
  <c r="BC42" i="30" s="1"/>
  <c r="BF41" i="30"/>
  <c r="BE41" i="30"/>
  <c r="BD41" i="30"/>
  <c r="BB41" i="30"/>
  <c r="X41" i="30"/>
  <c r="V41" i="30"/>
  <c r="T41" i="30"/>
  <c r="BH41" i="30"/>
  <c r="N41" i="30"/>
  <c r="BC41" i="30" s="1"/>
  <c r="BF40" i="30"/>
  <c r="BE40" i="30"/>
  <c r="BD40" i="30"/>
  <c r="BB40" i="30"/>
  <c r="X40" i="30"/>
  <c r="V40" i="30"/>
  <c r="T40" i="30"/>
  <c r="BH40" i="30"/>
  <c r="N40" i="30"/>
  <c r="BC40" i="30" s="1"/>
  <c r="BF39" i="30"/>
  <c r="BE39" i="30"/>
  <c r="BD39" i="30"/>
  <c r="BB39" i="30"/>
  <c r="X39" i="30"/>
  <c r="V39" i="30"/>
  <c r="T39" i="30"/>
  <c r="BH39" i="30"/>
  <c r="N39" i="30"/>
  <c r="BC39" i="30" s="1"/>
  <c r="BF38" i="30"/>
  <c r="BE38" i="30"/>
  <c r="BD38" i="30"/>
  <c r="BB38" i="30"/>
  <c r="X38" i="30"/>
  <c r="V38" i="30"/>
  <c r="T38" i="30"/>
  <c r="BH38" i="30"/>
  <c r="N38" i="30"/>
  <c r="BC38" i="30" s="1"/>
  <c r="BF37" i="30"/>
  <c r="BE37" i="30"/>
  <c r="BD37" i="30"/>
  <c r="BB37" i="30"/>
  <c r="X37" i="30"/>
  <c r="V37" i="30"/>
  <c r="T37" i="30"/>
  <c r="BH37" i="30"/>
  <c r="N37" i="30"/>
  <c r="BC37" i="30" s="1"/>
  <c r="BF36" i="30"/>
  <c r="BE36" i="30"/>
  <c r="BD36" i="30"/>
  <c r="BB36" i="30"/>
  <c r="X36" i="30"/>
  <c r="V36" i="30"/>
  <c r="T36" i="30"/>
  <c r="BH36" i="30"/>
  <c r="N36" i="30"/>
  <c r="BC36" i="30" s="1"/>
  <c r="BF35" i="30"/>
  <c r="BE35" i="30"/>
  <c r="BD35" i="30"/>
  <c r="BB35" i="30"/>
  <c r="X35" i="30"/>
  <c r="V35" i="30"/>
  <c r="T35" i="30"/>
  <c r="BH35" i="30"/>
  <c r="N35" i="30"/>
  <c r="BC35" i="30" s="1"/>
  <c r="BF34" i="30"/>
  <c r="BE34" i="30"/>
  <c r="BD34" i="30"/>
  <c r="BB34" i="30"/>
  <c r="X34" i="30"/>
  <c r="V34" i="30"/>
  <c r="T34" i="30"/>
  <c r="BH34" i="30"/>
  <c r="N34" i="30"/>
  <c r="BC34" i="30" s="1"/>
  <c r="BF33" i="30"/>
  <c r="BE33" i="30"/>
  <c r="BD33" i="30"/>
  <c r="BB33" i="30"/>
  <c r="X33" i="30"/>
  <c r="V33" i="30"/>
  <c r="T33" i="30"/>
  <c r="BH33" i="30"/>
  <c r="N33" i="30"/>
  <c r="BC33" i="30" s="1"/>
  <c r="BF32" i="30"/>
  <c r="BE32" i="30"/>
  <c r="BD32" i="30"/>
  <c r="BB32" i="30"/>
  <c r="X32" i="30"/>
  <c r="V32" i="30"/>
  <c r="T32" i="30"/>
  <c r="BH32" i="30"/>
  <c r="N32" i="30"/>
  <c r="BC32" i="30" s="1"/>
  <c r="BF31" i="30"/>
  <c r="BE31" i="30"/>
  <c r="BD31" i="30"/>
  <c r="BB31" i="30"/>
  <c r="X31" i="30"/>
  <c r="V31" i="30"/>
  <c r="T31" i="30"/>
  <c r="BH31" i="30"/>
  <c r="N31" i="30"/>
  <c r="BC31" i="30" s="1"/>
  <c r="BF30" i="30"/>
  <c r="BE30" i="30"/>
  <c r="BD30" i="30"/>
  <c r="BB30" i="30"/>
  <c r="X30" i="30"/>
  <c r="V30" i="30"/>
  <c r="T30" i="30"/>
  <c r="BH30" i="30"/>
  <c r="N30" i="30"/>
  <c r="BC30" i="30" s="1"/>
  <c r="BF29" i="30"/>
  <c r="BE29" i="30"/>
  <c r="BD29" i="30"/>
  <c r="BB29" i="30"/>
  <c r="X29" i="30"/>
  <c r="V29" i="30"/>
  <c r="T29" i="30"/>
  <c r="BH29" i="30"/>
  <c r="N29" i="30"/>
  <c r="BC29" i="30" s="1"/>
  <c r="BF28" i="30"/>
  <c r="BE28" i="30"/>
  <c r="BD28" i="30"/>
  <c r="BB28" i="30"/>
  <c r="X28" i="30"/>
  <c r="V28" i="30"/>
  <c r="T28" i="30"/>
  <c r="BH28" i="30"/>
  <c r="N28" i="30"/>
  <c r="BC28" i="30" s="1"/>
  <c r="BF27" i="30"/>
  <c r="BE27" i="30"/>
  <c r="BD27" i="30"/>
  <c r="BB27" i="30"/>
  <c r="X27" i="30"/>
  <c r="V27" i="30"/>
  <c r="T27" i="30"/>
  <c r="BH27" i="30"/>
  <c r="N27" i="30"/>
  <c r="BC27" i="30" s="1"/>
  <c r="BF26" i="30"/>
  <c r="BE26" i="30"/>
  <c r="BD26" i="30"/>
  <c r="BB26" i="30"/>
  <c r="X26" i="30"/>
  <c r="V26" i="30"/>
  <c r="T26" i="30"/>
  <c r="BH26" i="30"/>
  <c r="N26" i="30"/>
  <c r="BC26" i="30" s="1"/>
  <c r="BF25" i="30"/>
  <c r="BE25" i="30"/>
  <c r="BD25" i="30"/>
  <c r="BB25" i="30"/>
  <c r="X25" i="30"/>
  <c r="V25" i="30"/>
  <c r="T25" i="30"/>
  <c r="BH25" i="30"/>
  <c r="N25" i="30"/>
  <c r="BC25" i="30" s="1"/>
  <c r="BF24" i="30"/>
  <c r="BE24" i="30"/>
  <c r="BD24" i="30"/>
  <c r="BB24" i="30"/>
  <c r="X24" i="30"/>
  <c r="V24" i="30"/>
  <c r="T24" i="30"/>
  <c r="BH24" i="30"/>
  <c r="N24" i="30"/>
  <c r="BC24" i="30" s="1"/>
  <c r="BF23" i="30"/>
  <c r="BE23" i="30"/>
  <c r="BD23" i="30"/>
  <c r="BB23" i="30"/>
  <c r="X23" i="30"/>
  <c r="V23" i="30"/>
  <c r="T23" i="30"/>
  <c r="BH23" i="30"/>
  <c r="N23" i="30"/>
  <c r="BC23" i="30" s="1"/>
  <c r="BF22" i="30"/>
  <c r="BE22" i="30"/>
  <c r="BD22" i="30"/>
  <c r="BB22" i="30"/>
  <c r="X22" i="30"/>
  <c r="V22" i="30"/>
  <c r="T22" i="30"/>
  <c r="BH22" i="30"/>
  <c r="N22" i="30"/>
  <c r="BC22" i="30" s="1"/>
  <c r="BF21" i="30"/>
  <c r="BE21" i="30"/>
  <c r="BD21" i="30"/>
  <c r="BB21" i="30"/>
  <c r="X21" i="30"/>
  <c r="V21" i="30"/>
  <c r="T21" i="30"/>
  <c r="BH21" i="30"/>
  <c r="N21" i="30"/>
  <c r="BC21" i="30" s="1"/>
  <c r="BF20" i="30"/>
  <c r="BE20" i="30"/>
  <c r="BD20" i="30"/>
  <c r="BB20" i="30"/>
  <c r="X20" i="30"/>
  <c r="V20" i="30"/>
  <c r="T20" i="30"/>
  <c r="BH20" i="30"/>
  <c r="N20" i="30"/>
  <c r="BC20" i="30" s="1"/>
  <c r="BB50" i="1"/>
  <c r="BA50" i="1"/>
  <c r="BB49" i="1"/>
  <c r="BA49" i="1"/>
  <c r="BB48" i="1"/>
  <c r="BA48" i="1"/>
  <c r="BB47" i="1"/>
  <c r="BA47" i="1"/>
  <c r="V109" i="25"/>
  <c r="BB46" i="1"/>
  <c r="BA46" i="1"/>
  <c r="BS114" i="25"/>
  <c r="BR114" i="25"/>
  <c r="BQ114" i="25"/>
  <c r="BO114" i="25"/>
  <c r="AK114" i="25"/>
  <c r="AI114" i="25"/>
  <c r="AG114" i="25"/>
  <c r="BU114" i="25"/>
  <c r="V114" i="25"/>
  <c r="BS113" i="25"/>
  <c r="BR113" i="25"/>
  <c r="BQ113" i="25"/>
  <c r="BO113" i="25"/>
  <c r="AK113" i="25"/>
  <c r="AI113" i="25"/>
  <c r="AG113" i="25"/>
  <c r="BU113" i="25"/>
  <c r="V113" i="25"/>
  <c r="BS112" i="25"/>
  <c r="BR112" i="25"/>
  <c r="BQ112" i="25"/>
  <c r="BO112" i="25"/>
  <c r="AK112" i="25"/>
  <c r="AI112" i="25"/>
  <c r="AG112" i="25"/>
  <c r="BU112" i="25"/>
  <c r="V112" i="25"/>
  <c r="BS111" i="25"/>
  <c r="BR111" i="25"/>
  <c r="BQ111" i="25"/>
  <c r="BO111" i="25"/>
  <c r="AK111" i="25"/>
  <c r="AI111" i="25"/>
  <c r="AG111" i="25"/>
  <c r="BU111" i="25"/>
  <c r="V111" i="25"/>
  <c r="BS108" i="25"/>
  <c r="BR108" i="25"/>
  <c r="BQ108" i="25"/>
  <c r="BO108" i="25"/>
  <c r="AK108" i="25"/>
  <c r="AI108" i="25"/>
  <c r="AG108" i="25"/>
  <c r="BU108" i="25"/>
  <c r="V108" i="25"/>
  <c r="BS107" i="25"/>
  <c r="BR107" i="25"/>
  <c r="BQ107" i="25"/>
  <c r="BO107" i="25"/>
  <c r="AK107" i="25"/>
  <c r="AI107" i="25"/>
  <c r="AG107" i="25"/>
  <c r="BU107" i="25"/>
  <c r="V107" i="25"/>
  <c r="BS105" i="25"/>
  <c r="BR105" i="25"/>
  <c r="BQ105" i="25"/>
  <c r="BO105" i="25"/>
  <c r="AK105" i="25"/>
  <c r="AK104" i="25" s="1"/>
  <c r="AI105" i="25"/>
  <c r="AI104" i="25" s="1"/>
  <c r="AG105" i="25"/>
  <c r="AG104" i="25" s="1"/>
  <c r="BU105" i="25"/>
  <c r="BU104" i="25" s="1"/>
  <c r="V105" i="25"/>
  <c r="BS102" i="25"/>
  <c r="BR102" i="25"/>
  <c r="BQ102" i="25"/>
  <c r="BO102" i="25"/>
  <c r="AK102" i="25"/>
  <c r="AK101" i="25" s="1"/>
  <c r="AI102" i="25"/>
  <c r="AI101" i="25" s="1"/>
  <c r="AG102" i="25"/>
  <c r="AG101" i="25" s="1"/>
  <c r="BU102" i="25"/>
  <c r="BU101" i="25" s="1"/>
  <c r="V102" i="25"/>
  <c r="BS100" i="25"/>
  <c r="BR100" i="25"/>
  <c r="BQ100" i="25"/>
  <c r="BO100" i="25"/>
  <c r="AK100" i="25"/>
  <c r="AI100" i="25"/>
  <c r="AG100" i="25"/>
  <c r="BU100" i="25"/>
  <c r="V100" i="25"/>
  <c r="BS99" i="25"/>
  <c r="BR99" i="25"/>
  <c r="BQ99" i="25"/>
  <c r="BO99" i="25"/>
  <c r="AK99" i="25"/>
  <c r="AI99" i="25"/>
  <c r="AG99" i="25"/>
  <c r="BU99" i="25"/>
  <c r="V99" i="25"/>
  <c r="BS98" i="25"/>
  <c r="BR98" i="25"/>
  <c r="BQ98" i="25"/>
  <c r="BO98" i="25"/>
  <c r="AK98" i="25"/>
  <c r="AI98" i="25"/>
  <c r="AG98" i="25"/>
  <c r="BU98" i="25"/>
  <c r="V98" i="25"/>
  <c r="BS96" i="25"/>
  <c r="BR96" i="25"/>
  <c r="BQ96" i="25"/>
  <c r="BO96" i="25"/>
  <c r="BU96" i="25"/>
  <c r="V96" i="25"/>
  <c r="BS95" i="25"/>
  <c r="BR95" i="25"/>
  <c r="BQ95" i="25"/>
  <c r="BO95" i="25"/>
  <c r="AK95" i="25"/>
  <c r="AI95" i="25"/>
  <c r="AG95" i="25"/>
  <c r="BU95" i="25"/>
  <c r="V95" i="25"/>
  <c r="BS94" i="25"/>
  <c r="BR94" i="25"/>
  <c r="BQ94" i="25"/>
  <c r="BO94" i="25"/>
  <c r="BU94" i="25"/>
  <c r="V94" i="25"/>
  <c r="BS93" i="25"/>
  <c r="BR93" i="25"/>
  <c r="BQ93" i="25"/>
  <c r="BO93" i="25"/>
  <c r="AK93" i="25"/>
  <c r="AI93" i="25"/>
  <c r="AG93" i="25"/>
  <c r="BU93" i="25"/>
  <c r="V93" i="25"/>
  <c r="BS92" i="25"/>
  <c r="BR92" i="25"/>
  <c r="BQ92" i="25"/>
  <c r="BO92" i="25"/>
  <c r="BU92" i="25"/>
  <c r="V92" i="25"/>
  <c r="BS91" i="25"/>
  <c r="BR91" i="25"/>
  <c r="BQ91" i="25"/>
  <c r="BO91" i="25"/>
  <c r="AK91" i="25"/>
  <c r="AI91" i="25"/>
  <c r="AG91" i="25"/>
  <c r="BU91" i="25"/>
  <c r="V91" i="25"/>
  <c r="BS90" i="25"/>
  <c r="BR90" i="25"/>
  <c r="BQ90" i="25"/>
  <c r="BO90" i="25"/>
  <c r="AK90" i="25"/>
  <c r="AI90" i="25"/>
  <c r="AG90" i="25"/>
  <c r="BU90" i="25"/>
  <c r="V90" i="25"/>
  <c r="BS89" i="25"/>
  <c r="BR89" i="25"/>
  <c r="BQ89" i="25"/>
  <c r="BO89" i="25"/>
  <c r="AK89" i="25"/>
  <c r="AI89" i="25"/>
  <c r="AG89" i="25"/>
  <c r="BU89" i="25"/>
  <c r="V89" i="25"/>
  <c r="BS88" i="25"/>
  <c r="BR88" i="25"/>
  <c r="BQ88" i="25"/>
  <c r="BO88" i="25"/>
  <c r="AK88" i="25"/>
  <c r="AI88" i="25"/>
  <c r="AG88" i="25"/>
  <c r="BU88" i="25"/>
  <c r="V88" i="25"/>
  <c r="BS87" i="25"/>
  <c r="BR87" i="25"/>
  <c r="BQ87" i="25"/>
  <c r="BO87" i="25"/>
  <c r="AK87" i="25"/>
  <c r="AI87" i="25"/>
  <c r="AG87" i="25"/>
  <c r="BU87" i="25"/>
  <c r="V87" i="25"/>
  <c r="BS86" i="25"/>
  <c r="BR86" i="25"/>
  <c r="BQ86" i="25"/>
  <c r="BO86" i="25"/>
  <c r="AK86" i="25"/>
  <c r="AI86" i="25"/>
  <c r="AG86" i="25"/>
  <c r="BU86" i="25"/>
  <c r="V86" i="25"/>
  <c r="BS85" i="25"/>
  <c r="BR85" i="25"/>
  <c r="BQ85" i="25"/>
  <c r="BO85" i="25"/>
  <c r="AK85" i="25"/>
  <c r="AI85" i="25"/>
  <c r="AG85" i="25"/>
  <c r="BU85" i="25"/>
  <c r="V85" i="25"/>
  <c r="BS84" i="25"/>
  <c r="BR84" i="25"/>
  <c r="BQ84" i="25"/>
  <c r="BO84" i="25"/>
  <c r="AK84" i="25"/>
  <c r="AI84" i="25"/>
  <c r="AG84" i="25"/>
  <c r="BU84" i="25"/>
  <c r="V84" i="25"/>
  <c r="BS83" i="25"/>
  <c r="BR83" i="25"/>
  <c r="BQ83" i="25"/>
  <c r="BO83" i="25"/>
  <c r="AK83" i="25"/>
  <c r="AI83" i="25"/>
  <c r="AG83" i="25"/>
  <c r="BU83" i="25"/>
  <c r="V83" i="25"/>
  <c r="BS82" i="25"/>
  <c r="BR82" i="25"/>
  <c r="BQ82" i="25"/>
  <c r="BO82" i="25"/>
  <c r="AK82" i="25"/>
  <c r="AI82" i="25"/>
  <c r="AG82" i="25"/>
  <c r="BU82" i="25"/>
  <c r="V82" i="25"/>
  <c r="BS81" i="25"/>
  <c r="BR81" i="25"/>
  <c r="BQ81" i="25"/>
  <c r="BO81" i="25"/>
  <c r="AK81" i="25"/>
  <c r="AI81" i="25"/>
  <c r="AG81" i="25"/>
  <c r="BU81" i="25"/>
  <c r="V81" i="25"/>
  <c r="BS80" i="25"/>
  <c r="BR80" i="25"/>
  <c r="BQ80" i="25"/>
  <c r="BO80" i="25"/>
  <c r="AK80" i="25"/>
  <c r="AI80" i="25"/>
  <c r="AG80" i="25"/>
  <c r="BU80" i="25"/>
  <c r="V80" i="25"/>
  <c r="BS79" i="25"/>
  <c r="BR79" i="25"/>
  <c r="BQ79" i="25"/>
  <c r="BO79" i="25"/>
  <c r="AK79" i="25"/>
  <c r="AI79" i="25"/>
  <c r="AG79" i="25"/>
  <c r="BU79" i="25"/>
  <c r="V79" i="25"/>
  <c r="BS78" i="25"/>
  <c r="BR78" i="25"/>
  <c r="BQ78" i="25"/>
  <c r="BO78" i="25"/>
  <c r="AK78" i="25"/>
  <c r="AI78" i="25"/>
  <c r="AG78" i="25"/>
  <c r="BU78" i="25"/>
  <c r="V78" i="25"/>
  <c r="BS77" i="25"/>
  <c r="BR77" i="25"/>
  <c r="BQ77" i="25"/>
  <c r="BO77" i="25"/>
  <c r="AK77" i="25"/>
  <c r="AI77" i="25"/>
  <c r="AG77" i="25"/>
  <c r="BU77" i="25"/>
  <c r="V77" i="25"/>
  <c r="BS76" i="25"/>
  <c r="BR76" i="25"/>
  <c r="BQ76" i="25"/>
  <c r="BO76" i="25"/>
  <c r="AK76" i="25"/>
  <c r="AI76" i="25"/>
  <c r="AG76" i="25"/>
  <c r="BU76" i="25"/>
  <c r="V76" i="25"/>
  <c r="BS75" i="25"/>
  <c r="BR75" i="25"/>
  <c r="BQ75" i="25"/>
  <c r="BO75" i="25"/>
  <c r="AK75" i="25"/>
  <c r="AI75" i="25"/>
  <c r="AG75" i="25"/>
  <c r="BU75" i="25"/>
  <c r="V75" i="25"/>
  <c r="BS74" i="25"/>
  <c r="BR74" i="25"/>
  <c r="BQ74" i="25"/>
  <c r="BO74" i="25"/>
  <c r="AK74" i="25"/>
  <c r="AI74" i="25"/>
  <c r="AG74" i="25"/>
  <c r="BU74" i="25"/>
  <c r="V74" i="25"/>
  <c r="BS73" i="25"/>
  <c r="BR73" i="25"/>
  <c r="BQ73" i="25"/>
  <c r="BO73" i="25"/>
  <c r="AK73" i="25"/>
  <c r="AI73" i="25"/>
  <c r="AG73" i="25"/>
  <c r="BU73" i="25"/>
  <c r="V73" i="25"/>
  <c r="BS72" i="25"/>
  <c r="BR72" i="25"/>
  <c r="BQ72" i="25"/>
  <c r="BO72" i="25"/>
  <c r="AK72" i="25"/>
  <c r="AI72" i="25"/>
  <c r="AG72" i="25"/>
  <c r="BU72" i="25"/>
  <c r="V72" i="25"/>
  <c r="BS71" i="25"/>
  <c r="BR71" i="25"/>
  <c r="BQ71" i="25"/>
  <c r="BO71" i="25"/>
  <c r="AK71" i="25"/>
  <c r="AI71" i="25"/>
  <c r="AG71" i="25"/>
  <c r="BU71" i="25"/>
  <c r="V71" i="25"/>
  <c r="BS70" i="25"/>
  <c r="BR70" i="25"/>
  <c r="BQ70" i="25"/>
  <c r="BO70" i="25"/>
  <c r="AK70" i="25"/>
  <c r="AI70" i="25"/>
  <c r="AG70" i="25"/>
  <c r="BU70" i="25"/>
  <c r="V70" i="25"/>
  <c r="BS69" i="25"/>
  <c r="BR69" i="25"/>
  <c r="BQ69" i="25"/>
  <c r="BO69" i="25"/>
  <c r="AK69" i="25"/>
  <c r="AI69" i="25"/>
  <c r="AG69" i="25"/>
  <c r="BU69" i="25"/>
  <c r="V69" i="25"/>
  <c r="BS68" i="25"/>
  <c r="BR68" i="25"/>
  <c r="BQ68" i="25"/>
  <c r="BO68" i="25"/>
  <c r="AK68" i="25"/>
  <c r="AI68" i="25"/>
  <c r="AG68" i="25"/>
  <c r="BU68" i="25"/>
  <c r="V68" i="25"/>
  <c r="BS67" i="25"/>
  <c r="BR67" i="25"/>
  <c r="BQ67" i="25"/>
  <c r="BO67" i="25"/>
  <c r="AK67" i="25"/>
  <c r="AI67" i="25"/>
  <c r="AG67" i="25"/>
  <c r="BU67" i="25"/>
  <c r="V67" i="25"/>
  <c r="BS66" i="25"/>
  <c r="BR66" i="25"/>
  <c r="BQ66" i="25"/>
  <c r="BO66" i="25"/>
  <c r="BU66" i="25"/>
  <c r="V66" i="25"/>
  <c r="BS65" i="25"/>
  <c r="BR65" i="25"/>
  <c r="BQ65" i="25"/>
  <c r="BO65" i="25"/>
  <c r="AK65" i="25"/>
  <c r="AI65" i="25"/>
  <c r="AG65" i="25"/>
  <c r="BU65" i="25"/>
  <c r="V65" i="25"/>
  <c r="BS64" i="25"/>
  <c r="BR64" i="25"/>
  <c r="BQ64" i="25"/>
  <c r="BO64" i="25"/>
  <c r="AK64" i="25"/>
  <c r="AI64" i="25"/>
  <c r="AG64" i="25"/>
  <c r="BU64" i="25"/>
  <c r="V64" i="25"/>
  <c r="BS63" i="25"/>
  <c r="BR63" i="25"/>
  <c r="BQ63" i="25"/>
  <c r="BO63" i="25"/>
  <c r="AK63" i="25"/>
  <c r="AI63" i="25"/>
  <c r="AG63" i="25"/>
  <c r="BU63" i="25"/>
  <c r="V63" i="25"/>
  <c r="BS62" i="25"/>
  <c r="BR62" i="25"/>
  <c r="BQ62" i="25"/>
  <c r="BO62" i="25"/>
  <c r="AK62" i="25"/>
  <c r="AI62" i="25"/>
  <c r="AG62" i="25"/>
  <c r="BU62" i="25"/>
  <c r="V62" i="25"/>
  <c r="BS61" i="25"/>
  <c r="BR61" i="25"/>
  <c r="BQ61" i="25"/>
  <c r="BO61" i="25"/>
  <c r="AK61" i="25"/>
  <c r="AI61" i="25"/>
  <c r="AG61" i="25"/>
  <c r="BU61" i="25"/>
  <c r="V61" i="25"/>
  <c r="BS60" i="25"/>
  <c r="BR60" i="25"/>
  <c r="BQ60" i="25"/>
  <c r="BO60" i="25"/>
  <c r="AK60" i="25"/>
  <c r="AI60" i="25"/>
  <c r="AG60" i="25"/>
  <c r="BU60" i="25"/>
  <c r="V60" i="25"/>
  <c r="BS59" i="25"/>
  <c r="BR59" i="25"/>
  <c r="BQ59" i="25"/>
  <c r="BO59" i="25"/>
  <c r="AK59" i="25"/>
  <c r="AI59" i="25"/>
  <c r="AG59" i="25"/>
  <c r="BU59" i="25"/>
  <c r="V59" i="25"/>
  <c r="BS58" i="25"/>
  <c r="BR58" i="25"/>
  <c r="BQ58" i="25"/>
  <c r="BO58" i="25"/>
  <c r="AK58" i="25"/>
  <c r="AI58" i="25"/>
  <c r="AG58" i="25"/>
  <c r="BU58" i="25"/>
  <c r="V58" i="25"/>
  <c r="BS57" i="25"/>
  <c r="BR57" i="25"/>
  <c r="BQ57" i="25"/>
  <c r="BO57" i="25"/>
  <c r="AK57" i="25"/>
  <c r="AI57" i="25"/>
  <c r="AG57" i="25"/>
  <c r="BU57" i="25"/>
  <c r="V57" i="25"/>
  <c r="BS56" i="25"/>
  <c r="BR56" i="25"/>
  <c r="BQ56" i="25"/>
  <c r="BO56" i="25"/>
  <c r="AK56" i="25"/>
  <c r="AI56" i="25"/>
  <c r="AG56" i="25"/>
  <c r="BU56" i="25"/>
  <c r="V56" i="25"/>
  <c r="BS55" i="25"/>
  <c r="BR55" i="25"/>
  <c r="BQ55" i="25"/>
  <c r="BO55" i="25"/>
  <c r="AK55" i="25"/>
  <c r="AI55" i="25"/>
  <c r="AG55" i="25"/>
  <c r="BU55" i="25"/>
  <c r="V55" i="25"/>
  <c r="BS54" i="25"/>
  <c r="BR54" i="25"/>
  <c r="BQ54" i="25"/>
  <c r="BO54" i="25"/>
  <c r="AK54" i="25"/>
  <c r="AI54" i="25"/>
  <c r="AG54" i="25"/>
  <c r="BU54" i="25"/>
  <c r="V54" i="25"/>
  <c r="BS53" i="25"/>
  <c r="BR53" i="25"/>
  <c r="BQ53" i="25"/>
  <c r="BO53" i="25"/>
  <c r="AK53" i="25"/>
  <c r="AI53" i="25"/>
  <c r="AG53" i="25"/>
  <c r="BU53" i="25"/>
  <c r="V53" i="25"/>
  <c r="BS52" i="25"/>
  <c r="BR52" i="25"/>
  <c r="BQ52" i="25"/>
  <c r="BO52" i="25"/>
  <c r="AK52" i="25"/>
  <c r="AI52" i="25"/>
  <c r="AG52" i="25"/>
  <c r="BU52" i="25"/>
  <c r="V52" i="25"/>
  <c r="BS51" i="25"/>
  <c r="BR51" i="25"/>
  <c r="BQ51" i="25"/>
  <c r="BO51" i="25"/>
  <c r="AK51" i="25"/>
  <c r="AI51" i="25"/>
  <c r="AG51" i="25"/>
  <c r="BU51" i="25"/>
  <c r="V51" i="25"/>
  <c r="BS50" i="25"/>
  <c r="BR50" i="25"/>
  <c r="BQ50" i="25"/>
  <c r="BO50" i="25"/>
  <c r="AK50" i="25"/>
  <c r="AI50" i="25"/>
  <c r="AG50" i="25"/>
  <c r="BU50" i="25"/>
  <c r="V50" i="25"/>
  <c r="BS49" i="25"/>
  <c r="BR49" i="25"/>
  <c r="BQ49" i="25"/>
  <c r="BO49" i="25"/>
  <c r="BU49" i="25"/>
  <c r="V49" i="25"/>
  <c r="BS48" i="25"/>
  <c r="BR48" i="25"/>
  <c r="BQ48" i="25"/>
  <c r="BO48" i="25"/>
  <c r="BU48" i="25"/>
  <c r="V48" i="25"/>
  <c r="BS47" i="25"/>
  <c r="BR47" i="25"/>
  <c r="BQ47" i="25"/>
  <c r="BO47" i="25"/>
  <c r="BU47" i="25"/>
  <c r="V47" i="25"/>
  <c r="BS46" i="25"/>
  <c r="BR46" i="25"/>
  <c r="BQ46" i="25"/>
  <c r="BO46" i="25"/>
  <c r="AK46" i="25"/>
  <c r="AI46" i="25"/>
  <c r="AG46" i="25"/>
  <c r="BU46" i="25"/>
  <c r="V46" i="25"/>
  <c r="BS45" i="25"/>
  <c r="BR45" i="25"/>
  <c r="BQ45" i="25"/>
  <c r="BO45" i="25"/>
  <c r="AK45" i="25"/>
  <c r="AI45" i="25"/>
  <c r="AG45" i="25"/>
  <c r="BU45" i="25"/>
  <c r="V45" i="25"/>
  <c r="BS44" i="25"/>
  <c r="BR44" i="25"/>
  <c r="BQ44" i="25"/>
  <c r="BO44" i="25"/>
  <c r="AK44" i="25"/>
  <c r="AI44" i="25"/>
  <c r="AG44" i="25"/>
  <c r="BU44" i="25"/>
  <c r="V44" i="25"/>
  <c r="BS43" i="25"/>
  <c r="BR43" i="25"/>
  <c r="BQ43" i="25"/>
  <c r="BO43" i="25"/>
  <c r="AK43" i="25"/>
  <c r="AI43" i="25"/>
  <c r="AG43" i="25"/>
  <c r="BU43" i="25"/>
  <c r="V43" i="25"/>
  <c r="BS42" i="25"/>
  <c r="BR42" i="25"/>
  <c r="BQ42" i="25"/>
  <c r="BO42" i="25"/>
  <c r="AK42" i="25"/>
  <c r="AI42" i="25"/>
  <c r="AG42" i="25"/>
  <c r="BU42" i="25"/>
  <c r="V42" i="25"/>
  <c r="BS41" i="25"/>
  <c r="BR41" i="25"/>
  <c r="BQ41" i="25"/>
  <c r="BO41" i="25"/>
  <c r="AK41" i="25"/>
  <c r="AI41" i="25"/>
  <c r="AG41" i="25"/>
  <c r="BU41" i="25"/>
  <c r="V41" i="25"/>
  <c r="BS40" i="25"/>
  <c r="BR40" i="25"/>
  <c r="BQ40" i="25"/>
  <c r="BO40" i="25"/>
  <c r="AK40" i="25"/>
  <c r="AI40" i="25"/>
  <c r="AG40" i="25"/>
  <c r="BU40" i="25"/>
  <c r="V40" i="25"/>
  <c r="BS39" i="25"/>
  <c r="BR39" i="25"/>
  <c r="BQ39" i="25"/>
  <c r="BO39" i="25"/>
  <c r="AK39" i="25"/>
  <c r="AI39" i="25"/>
  <c r="AG39" i="25"/>
  <c r="BU39" i="25"/>
  <c r="V39" i="25"/>
  <c r="BS38" i="25"/>
  <c r="BR38" i="25"/>
  <c r="BQ38" i="25"/>
  <c r="BO38" i="25"/>
  <c r="AK38" i="25"/>
  <c r="AI38" i="25"/>
  <c r="AG38" i="25"/>
  <c r="BU38" i="25"/>
  <c r="V38" i="25"/>
  <c r="BS37" i="25"/>
  <c r="BR37" i="25"/>
  <c r="BQ37" i="25"/>
  <c r="BO37" i="25"/>
  <c r="BU37" i="25"/>
  <c r="V37" i="25"/>
  <c r="BS36" i="25"/>
  <c r="BR36" i="25"/>
  <c r="BQ36" i="25"/>
  <c r="BO36" i="25"/>
  <c r="AK36" i="25"/>
  <c r="AI36" i="25"/>
  <c r="AG36" i="25"/>
  <c r="BU36" i="25"/>
  <c r="V36" i="25"/>
  <c r="BS35" i="25"/>
  <c r="BR35" i="25"/>
  <c r="BQ35" i="25"/>
  <c r="BO35" i="25"/>
  <c r="BU35" i="25"/>
  <c r="V35" i="25"/>
  <c r="BS34" i="25"/>
  <c r="BR34" i="25"/>
  <c r="BQ34" i="25"/>
  <c r="BO34" i="25"/>
  <c r="AK34" i="25"/>
  <c r="AI34" i="25"/>
  <c r="AG34" i="25"/>
  <c r="BU34" i="25"/>
  <c r="V34" i="25"/>
  <c r="BS33" i="25"/>
  <c r="BR33" i="25"/>
  <c r="BQ33" i="25"/>
  <c r="BO33" i="25"/>
  <c r="BU33" i="25"/>
  <c r="V33" i="25"/>
  <c r="BS32" i="25"/>
  <c r="BR32" i="25"/>
  <c r="BQ32" i="25"/>
  <c r="BO32" i="25"/>
  <c r="AK32" i="25"/>
  <c r="AI32" i="25"/>
  <c r="AG32" i="25"/>
  <c r="BU32" i="25"/>
  <c r="V32" i="25"/>
  <c r="BS31" i="25"/>
  <c r="BR31" i="25"/>
  <c r="BQ31" i="25"/>
  <c r="BO31" i="25"/>
  <c r="AK31" i="25"/>
  <c r="AI31" i="25"/>
  <c r="AG31" i="25"/>
  <c r="BU31" i="25"/>
  <c r="V31" i="25"/>
  <c r="BS30" i="25"/>
  <c r="BR30" i="25"/>
  <c r="BQ30" i="25"/>
  <c r="BO30" i="25"/>
  <c r="AK30" i="25"/>
  <c r="AI30" i="25"/>
  <c r="AG30" i="25"/>
  <c r="BU30" i="25"/>
  <c r="V30" i="25"/>
  <c r="BS27" i="25"/>
  <c r="BR27" i="25"/>
  <c r="BQ27" i="25"/>
  <c r="BO27" i="25"/>
  <c r="AK27" i="25"/>
  <c r="AI27" i="25"/>
  <c r="AG27" i="25"/>
  <c r="BU27" i="25"/>
  <c r="V27" i="25"/>
  <c r="BS25" i="25"/>
  <c r="BR25" i="25"/>
  <c r="BQ25" i="25"/>
  <c r="BO25" i="25"/>
  <c r="AK25" i="25"/>
  <c r="AI25" i="25"/>
  <c r="AG25" i="25"/>
  <c r="BU25" i="25"/>
  <c r="V25" i="25"/>
  <c r="BS26" i="25"/>
  <c r="BR26" i="25"/>
  <c r="BQ26" i="25"/>
  <c r="BO26" i="25"/>
  <c r="AK26" i="25"/>
  <c r="AI26" i="25"/>
  <c r="AG26" i="25"/>
  <c r="BU26" i="25"/>
  <c r="V26" i="25"/>
  <c r="BS24" i="25"/>
  <c r="BR24" i="25"/>
  <c r="BQ24" i="25"/>
  <c r="BO24" i="25"/>
  <c r="AK24" i="25"/>
  <c r="AI24" i="25"/>
  <c r="AG24" i="25"/>
  <c r="BU24" i="25"/>
  <c r="V24" i="25"/>
  <c r="BS23" i="25"/>
  <c r="BR23" i="25"/>
  <c r="BQ23" i="25"/>
  <c r="BO23" i="25"/>
  <c r="AK23" i="25"/>
  <c r="AI23" i="25"/>
  <c r="AG23" i="25"/>
  <c r="BU23" i="25"/>
  <c r="V23" i="25"/>
  <c r="BS22" i="25"/>
  <c r="BR22" i="25"/>
  <c r="BQ22" i="25"/>
  <c r="BO22" i="25"/>
  <c r="AK22" i="25"/>
  <c r="AI22" i="25"/>
  <c r="AG22" i="25"/>
  <c r="BU22" i="25"/>
  <c r="V22" i="25"/>
  <c r="BS21" i="25"/>
  <c r="BR21" i="25"/>
  <c r="BQ21" i="25"/>
  <c r="BO21" i="25"/>
  <c r="AK21" i="25"/>
  <c r="AI21" i="25"/>
  <c r="AG21" i="25"/>
  <c r="BU21" i="25"/>
  <c r="V21" i="25"/>
  <c r="BB43" i="1"/>
  <c r="BA43" i="1"/>
  <c r="BB42" i="1"/>
  <c r="BA42" i="1"/>
  <c r="BB41" i="1"/>
  <c r="BA41" i="1"/>
  <c r="BB40" i="1"/>
  <c r="BA40" i="1"/>
  <c r="BB38" i="1"/>
  <c r="BA38" i="1"/>
  <c r="BB37" i="1"/>
  <c r="BA37" i="1"/>
  <c r="BB36" i="1"/>
  <c r="BA36" i="1"/>
  <c r="BB35" i="1"/>
  <c r="BA35" i="1"/>
  <c r="BB33" i="1"/>
  <c r="BA33" i="1"/>
  <c r="CG55" i="16"/>
  <c r="CF55" i="16"/>
  <c r="CE55" i="16"/>
  <c r="CC55" i="16"/>
  <c r="AY55" i="16"/>
  <c r="AW55" i="16"/>
  <c r="AU55" i="16"/>
  <c r="CI55" i="16"/>
  <c r="CD55" i="16"/>
  <c r="CG54" i="16"/>
  <c r="CF54" i="16"/>
  <c r="CE54" i="16"/>
  <c r="CC54" i="16"/>
  <c r="CI54" i="16"/>
  <c r="CD54" i="16"/>
  <c r="CG53" i="16"/>
  <c r="CF53" i="16"/>
  <c r="CE53" i="16"/>
  <c r="CC53" i="16"/>
  <c r="AY53" i="16"/>
  <c r="AW53" i="16"/>
  <c r="AU53" i="16"/>
  <c r="CI53" i="16"/>
  <c r="CD53" i="16"/>
  <c r="CG52" i="16"/>
  <c r="CF52" i="16"/>
  <c r="CE52" i="16"/>
  <c r="CC52" i="16"/>
  <c r="CI52" i="16"/>
  <c r="CD52" i="16"/>
  <c r="CG51" i="16"/>
  <c r="CF51" i="16"/>
  <c r="CE51" i="16"/>
  <c r="CC51" i="16"/>
  <c r="AY51" i="16"/>
  <c r="AW51" i="16"/>
  <c r="AU51" i="16"/>
  <c r="CI51" i="16"/>
  <c r="CD51" i="16"/>
  <c r="CG49" i="16"/>
  <c r="CF49" i="16"/>
  <c r="CE49" i="16"/>
  <c r="CC49" i="16"/>
  <c r="AY49" i="16"/>
  <c r="AW49" i="16"/>
  <c r="AU49" i="16"/>
  <c r="CI49" i="16"/>
  <c r="CD49" i="16"/>
  <c r="CG48" i="16"/>
  <c r="CF48" i="16"/>
  <c r="CE48" i="16"/>
  <c r="CC48" i="16"/>
  <c r="AY48" i="16"/>
  <c r="AW48" i="16"/>
  <c r="AU48" i="16"/>
  <c r="CI48" i="16"/>
  <c r="CD48" i="16"/>
  <c r="CG47" i="16"/>
  <c r="CF47" i="16"/>
  <c r="CE47" i="16"/>
  <c r="CC47" i="16"/>
  <c r="CI47" i="16"/>
  <c r="CD47" i="16"/>
  <c r="CG46" i="16"/>
  <c r="CF46" i="16"/>
  <c r="CE46" i="16"/>
  <c r="CC46" i="16"/>
  <c r="AY46" i="16"/>
  <c r="AW46" i="16"/>
  <c r="AU46" i="16"/>
  <c r="CI46" i="16"/>
  <c r="CD46" i="16"/>
  <c r="CG44" i="16"/>
  <c r="CF44" i="16"/>
  <c r="CE44" i="16"/>
  <c r="CC44" i="16"/>
  <c r="AY44" i="16"/>
  <c r="AW44" i="16"/>
  <c r="AU44" i="16"/>
  <c r="CI44" i="16"/>
  <c r="CD44" i="16"/>
  <c r="CG43" i="16"/>
  <c r="CF43" i="16"/>
  <c r="CE43" i="16"/>
  <c r="CC43" i="16"/>
  <c r="CI43" i="16"/>
  <c r="CD43" i="16"/>
  <c r="CG42" i="16"/>
  <c r="CF42" i="16"/>
  <c r="CE42" i="16"/>
  <c r="CC42" i="16"/>
  <c r="AY42" i="16"/>
  <c r="AW42" i="16"/>
  <c r="AU42" i="16"/>
  <c r="CI42" i="16"/>
  <c r="CD42" i="16"/>
  <c r="CG40" i="16"/>
  <c r="CF40" i="16"/>
  <c r="CE40" i="16"/>
  <c r="CC40" i="16"/>
  <c r="AY40" i="16"/>
  <c r="AW40" i="16"/>
  <c r="AU40" i="16"/>
  <c r="CI40" i="16"/>
  <c r="CD40" i="16"/>
  <c r="CG39" i="16"/>
  <c r="CF39" i="16"/>
  <c r="CE39" i="16"/>
  <c r="CC39" i="16"/>
  <c r="CI39" i="16"/>
  <c r="CD39" i="16"/>
  <c r="CG38" i="16"/>
  <c r="CF38" i="16"/>
  <c r="CE38" i="16"/>
  <c r="CC38" i="16"/>
  <c r="AY38" i="16"/>
  <c r="AW38" i="16"/>
  <c r="AU38" i="16"/>
  <c r="CI38" i="16"/>
  <c r="CD38" i="16"/>
  <c r="CG37" i="16"/>
  <c r="CF37" i="16"/>
  <c r="CE37" i="16"/>
  <c r="CC37" i="16"/>
  <c r="AY37" i="16"/>
  <c r="AW37" i="16"/>
  <c r="AU37" i="16"/>
  <c r="CI37" i="16"/>
  <c r="CD37" i="16"/>
  <c r="CG36" i="16"/>
  <c r="CF36" i="16"/>
  <c r="CE36" i="16"/>
  <c r="CC36" i="16"/>
  <c r="CI36" i="16"/>
  <c r="CD36" i="16"/>
  <c r="CG35" i="16"/>
  <c r="CF35" i="16"/>
  <c r="CE35" i="16"/>
  <c r="CC35" i="16"/>
  <c r="CI35" i="16"/>
  <c r="CD35" i="16"/>
  <c r="CG34" i="16"/>
  <c r="CF34" i="16"/>
  <c r="CE34" i="16"/>
  <c r="CC34" i="16"/>
  <c r="CI34" i="16"/>
  <c r="CD34" i="16"/>
  <c r="CG33" i="16"/>
  <c r="CF33" i="16"/>
  <c r="CE33" i="16"/>
  <c r="CC33" i="16"/>
  <c r="CI33" i="16"/>
  <c r="CD33" i="16"/>
  <c r="CG32" i="16"/>
  <c r="CF32" i="16"/>
  <c r="CE32" i="16"/>
  <c r="CC32" i="16"/>
  <c r="AY32" i="16"/>
  <c r="AW32" i="16"/>
  <c r="AU32" i="16"/>
  <c r="CI32" i="16"/>
  <c r="CD32" i="16"/>
  <c r="CG29" i="16"/>
  <c r="CF29" i="16"/>
  <c r="CE29" i="16"/>
  <c r="CC29" i="16"/>
  <c r="AY29" i="16"/>
  <c r="AY28" i="16" s="1"/>
  <c r="AW29" i="16"/>
  <c r="AW28" i="16" s="1"/>
  <c r="AU29" i="16"/>
  <c r="AU28" i="16" s="1"/>
  <c r="CI29" i="16"/>
  <c r="CI28" i="16" s="1"/>
  <c r="CD29" i="16"/>
  <c r="CG27" i="16"/>
  <c r="CF27" i="16"/>
  <c r="CE27" i="16"/>
  <c r="CC27" i="16"/>
  <c r="AY27" i="16"/>
  <c r="AW27" i="16"/>
  <c r="AU27" i="16"/>
  <c r="CI27" i="16"/>
  <c r="CD27" i="16"/>
  <c r="CG26" i="16"/>
  <c r="CF26" i="16"/>
  <c r="CE26" i="16"/>
  <c r="CC26" i="16"/>
  <c r="AY26" i="16"/>
  <c r="AW26" i="16"/>
  <c r="AU26" i="16"/>
  <c r="CI26" i="16"/>
  <c r="CD26" i="16"/>
  <c r="CG25" i="16"/>
  <c r="CF25" i="16"/>
  <c r="CE25" i="16"/>
  <c r="CC25" i="16"/>
  <c r="AY25" i="16"/>
  <c r="AW25" i="16"/>
  <c r="AU25" i="16"/>
  <c r="CI25" i="16"/>
  <c r="CD25" i="16"/>
  <c r="CG23" i="16"/>
  <c r="CF23" i="16"/>
  <c r="CE23" i="16"/>
  <c r="CC23" i="16"/>
  <c r="CI23" i="16"/>
  <c r="CD23" i="16"/>
  <c r="CG22" i="16"/>
  <c r="CF22" i="16"/>
  <c r="CE22" i="16"/>
  <c r="CC22" i="16"/>
  <c r="CI22" i="16"/>
  <c r="CD22" i="16"/>
  <c r="CG21" i="16"/>
  <c r="CF21" i="16"/>
  <c r="CE21" i="16"/>
  <c r="CC21" i="16"/>
  <c r="AY21" i="16"/>
  <c r="AY20" i="16" s="1"/>
  <c r="AW21" i="16"/>
  <c r="AW20" i="16" s="1"/>
  <c r="AU21" i="16"/>
  <c r="CI21" i="16"/>
  <c r="CD21" i="16"/>
  <c r="BB32" i="1"/>
  <c r="BA32" i="1"/>
  <c r="BB31" i="1"/>
  <c r="BA31" i="1"/>
  <c r="BB30" i="1"/>
  <c r="BA30" i="1"/>
  <c r="BB29" i="1"/>
  <c r="BA29" i="1"/>
  <c r="BB27" i="1"/>
  <c r="BA27" i="1"/>
  <c r="BB26" i="1"/>
  <c r="BA26" i="1"/>
  <c r="BB25" i="1"/>
  <c r="BA25" i="1"/>
  <c r="BB24" i="1"/>
  <c r="BA24" i="1"/>
  <c r="BB23" i="1"/>
  <c r="BA23" i="1"/>
  <c r="BB21" i="1"/>
  <c r="BA21" i="1"/>
  <c r="BB20" i="1"/>
  <c r="BA20" i="1"/>
  <c r="CU38" i="5"/>
  <c r="CT38" i="5"/>
  <c r="CS38" i="5"/>
  <c r="CQ38" i="5"/>
  <c r="BM38" i="5"/>
  <c r="BM37" i="5" s="1"/>
  <c r="BK38" i="5"/>
  <c r="BK37" i="5" s="1"/>
  <c r="BI38" i="5"/>
  <c r="BI37" i="5" s="1"/>
  <c r="CW38" i="5"/>
  <c r="CW37" i="5" s="1"/>
  <c r="CR38" i="5"/>
  <c r="CU36" i="5"/>
  <c r="CT36" i="5"/>
  <c r="CS36" i="5"/>
  <c r="CQ36" i="5"/>
  <c r="BM36" i="5"/>
  <c r="BK36" i="5"/>
  <c r="BI36" i="5"/>
  <c r="CW36" i="5"/>
  <c r="CR36" i="5"/>
  <c r="CU35" i="5"/>
  <c r="CT35" i="5"/>
  <c r="CS35" i="5"/>
  <c r="CQ35" i="5"/>
  <c r="BM35" i="5"/>
  <c r="BK35" i="5"/>
  <c r="BI35" i="5"/>
  <c r="CW35" i="5"/>
  <c r="CR35" i="5"/>
  <c r="CU34" i="5"/>
  <c r="CT34" i="5"/>
  <c r="CS34" i="5"/>
  <c r="CQ34" i="5"/>
  <c r="BM34" i="5"/>
  <c r="BK34" i="5"/>
  <c r="BI34" i="5"/>
  <c r="CW34" i="5"/>
  <c r="CR34" i="5"/>
  <c r="CU33" i="5"/>
  <c r="CT33" i="5"/>
  <c r="CS33" i="5"/>
  <c r="CQ33" i="5"/>
  <c r="BM33" i="5"/>
  <c r="BK33" i="5"/>
  <c r="BI33" i="5"/>
  <c r="CW33" i="5"/>
  <c r="CR33" i="5"/>
  <c r="CU32" i="5"/>
  <c r="CT32" i="5"/>
  <c r="CS32" i="5"/>
  <c r="CQ32" i="5"/>
  <c r="BM32" i="5"/>
  <c r="BK32" i="5"/>
  <c r="BI32" i="5"/>
  <c r="CW32" i="5"/>
  <c r="CR32" i="5"/>
  <c r="CU31" i="5"/>
  <c r="CT31" i="5"/>
  <c r="CS31" i="5"/>
  <c r="CQ31" i="5"/>
  <c r="BM31" i="5"/>
  <c r="BK31" i="5"/>
  <c r="BI31" i="5"/>
  <c r="CW31" i="5"/>
  <c r="CR31" i="5"/>
  <c r="CU30" i="5"/>
  <c r="CT30" i="5"/>
  <c r="CS30" i="5"/>
  <c r="CQ30" i="5"/>
  <c r="BM30" i="5"/>
  <c r="BK30" i="5"/>
  <c r="BI30" i="5"/>
  <c r="CW30" i="5"/>
  <c r="CR30" i="5"/>
  <c r="CU29" i="5"/>
  <c r="CT29" i="5"/>
  <c r="CS29" i="5"/>
  <c r="CQ29" i="5"/>
  <c r="BM29" i="5"/>
  <c r="BK29" i="5"/>
  <c r="BI29" i="5"/>
  <c r="CW29" i="5"/>
  <c r="CR29" i="5"/>
  <c r="CU27" i="5"/>
  <c r="CT27" i="5"/>
  <c r="CS27" i="5"/>
  <c r="CQ27" i="5"/>
  <c r="BM27" i="5"/>
  <c r="BK27" i="5"/>
  <c r="BI27" i="5"/>
  <c r="CW27" i="5"/>
  <c r="CR27" i="5"/>
  <c r="CU26" i="5"/>
  <c r="CT26" i="5"/>
  <c r="CS26" i="5"/>
  <c r="CQ26" i="5"/>
  <c r="BM26" i="5"/>
  <c r="BK26" i="5"/>
  <c r="BI26" i="5"/>
  <c r="CW26" i="5"/>
  <c r="CR26" i="5"/>
  <c r="CU25" i="5"/>
  <c r="CT25" i="5"/>
  <c r="CS25" i="5"/>
  <c r="CQ25" i="5"/>
  <c r="BM25" i="5"/>
  <c r="BK25" i="5"/>
  <c r="BI25" i="5"/>
  <c r="CW25" i="5"/>
  <c r="CR25" i="5"/>
  <c r="CU24" i="5"/>
  <c r="CT24" i="5"/>
  <c r="CS24" i="5"/>
  <c r="CQ24" i="5"/>
  <c r="BM24" i="5"/>
  <c r="BK24" i="5"/>
  <c r="BI24" i="5"/>
  <c r="CW24" i="5"/>
  <c r="CR24" i="5"/>
  <c r="CU22" i="5"/>
  <c r="CT22" i="5"/>
  <c r="CS22" i="5"/>
  <c r="CQ22" i="5"/>
  <c r="BM22" i="5"/>
  <c r="BK22" i="5"/>
  <c r="BI22" i="5"/>
  <c r="CW22" i="5"/>
  <c r="CR22" i="5"/>
  <c r="CU21" i="5"/>
  <c r="CT21" i="5"/>
  <c r="CS21" i="5"/>
  <c r="CQ21" i="5"/>
  <c r="BM21" i="5"/>
  <c r="BK21" i="5"/>
  <c r="BI21" i="5"/>
  <c r="CW21" i="5"/>
  <c r="CR21" i="5"/>
  <c r="CU20" i="5"/>
  <c r="CT20" i="5"/>
  <c r="CS20" i="5"/>
  <c r="CQ20" i="5"/>
  <c r="BM20" i="5"/>
  <c r="BK20" i="5"/>
  <c r="BI20" i="5"/>
  <c r="CW20" i="5"/>
  <c r="CR20" i="5"/>
  <c r="BB19" i="1"/>
  <c r="BA19" i="1"/>
  <c r="BB18" i="1"/>
  <c r="BA18" i="1"/>
  <c r="CR63" i="3"/>
  <c r="CR62" i="3"/>
  <c r="CR61" i="3"/>
  <c r="CR59" i="3"/>
  <c r="CR58" i="3"/>
  <c r="CR57" i="3"/>
  <c r="CR56" i="3"/>
  <c r="CR54" i="3"/>
  <c r="CR53" i="3"/>
  <c r="CR52" i="3"/>
  <c r="CR50" i="3"/>
  <c r="CR49" i="3"/>
  <c r="CR48" i="3"/>
  <c r="CR47" i="3"/>
  <c r="CR42" i="3"/>
  <c r="CR41" i="3"/>
  <c r="CR40" i="3"/>
  <c r="CR39" i="3"/>
  <c r="CR37" i="3"/>
  <c r="CR36" i="3"/>
  <c r="CR35" i="3"/>
  <c r="CR34" i="3"/>
  <c r="CR33" i="3"/>
  <c r="CR32" i="3"/>
  <c r="CR31" i="3"/>
  <c r="CR29" i="3"/>
  <c r="CR28" i="3"/>
  <c r="CR27" i="3"/>
  <c r="CR25" i="3"/>
  <c r="CR24" i="3"/>
  <c r="CR23" i="3"/>
  <c r="CR22" i="3"/>
  <c r="BB17" i="1"/>
  <c r="BA17" i="1"/>
  <c r="V54" i="30" l="1"/>
  <c r="AI28" i="1"/>
  <c r="AJ28" i="1"/>
  <c r="AK28" i="1" s="1"/>
  <c r="AW41" i="16"/>
  <c r="AW45" i="16"/>
  <c r="CW19" i="3"/>
  <c r="BP27" i="25"/>
  <c r="AA27" i="25"/>
  <c r="BP33" i="25"/>
  <c r="AA33" i="25"/>
  <c r="BP38" i="25"/>
  <c r="AA38" i="25"/>
  <c r="BP42" i="25"/>
  <c r="AA42" i="25"/>
  <c r="BP70" i="25"/>
  <c r="AA70" i="25"/>
  <c r="BP82" i="25"/>
  <c r="AA82" i="25"/>
  <c r="BP93" i="25"/>
  <c r="AA93" i="25"/>
  <c r="BP96" i="25"/>
  <c r="AA96" i="25"/>
  <c r="BP100" i="25"/>
  <c r="AA100" i="25"/>
  <c r="BP108" i="25"/>
  <c r="AA108" i="25"/>
  <c r="BP24" i="25"/>
  <c r="AA24" i="25"/>
  <c r="BP30" i="25"/>
  <c r="V29" i="25"/>
  <c r="AA30" i="25"/>
  <c r="BP36" i="25"/>
  <c r="AA36" i="25"/>
  <c r="BP39" i="25"/>
  <c r="AA39" i="25"/>
  <c r="BP56" i="25"/>
  <c r="AA56" i="25"/>
  <c r="BP75" i="25"/>
  <c r="AA75" i="25"/>
  <c r="BP79" i="25"/>
  <c r="AA79" i="25"/>
  <c r="BP94" i="25"/>
  <c r="AA94" i="25"/>
  <c r="BP21" i="25"/>
  <c r="V20" i="25"/>
  <c r="V19" i="25" s="1"/>
  <c r="AA21" i="25"/>
  <c r="BP26" i="25"/>
  <c r="AA26" i="25"/>
  <c r="BP31" i="25"/>
  <c r="AA31" i="25"/>
  <c r="BP34" i="25"/>
  <c r="AA34" i="25"/>
  <c r="BP37" i="25"/>
  <c r="AA37" i="25"/>
  <c r="BP40" i="25"/>
  <c r="AA40" i="25"/>
  <c r="BP44" i="25"/>
  <c r="AA44" i="25"/>
  <c r="BP53" i="25"/>
  <c r="AA53" i="25"/>
  <c r="BP57" i="25"/>
  <c r="AA57" i="25"/>
  <c r="BP61" i="25"/>
  <c r="AA61" i="25"/>
  <c r="BP65" i="25"/>
  <c r="AA65" i="25"/>
  <c r="BP68" i="25"/>
  <c r="AA68" i="25"/>
  <c r="BP72" i="25"/>
  <c r="AA72" i="25"/>
  <c r="BP76" i="25"/>
  <c r="AA76" i="25"/>
  <c r="BP80" i="25"/>
  <c r="AA80" i="25"/>
  <c r="BP84" i="25"/>
  <c r="AA84" i="25"/>
  <c r="BP88" i="25"/>
  <c r="AA88" i="25"/>
  <c r="BP92" i="25"/>
  <c r="AA92" i="25"/>
  <c r="BP98" i="25"/>
  <c r="V97" i="25"/>
  <c r="AA97" i="25" s="1"/>
  <c r="AA98" i="25"/>
  <c r="BP105" i="25"/>
  <c r="V104" i="25"/>
  <c r="AA105" i="25"/>
  <c r="AA104" i="25" s="1"/>
  <c r="AI106" i="25"/>
  <c r="BP112" i="25"/>
  <c r="AA112" i="25"/>
  <c r="BP23" i="25"/>
  <c r="AA23" i="25"/>
  <c r="BP46" i="25"/>
  <c r="AA46" i="25"/>
  <c r="BP51" i="25"/>
  <c r="AA51" i="25"/>
  <c r="BP55" i="25"/>
  <c r="AA55" i="25"/>
  <c r="BP59" i="25"/>
  <c r="AA59" i="25"/>
  <c r="BP63" i="25"/>
  <c r="AA63" i="25"/>
  <c r="BP74" i="25"/>
  <c r="AA74" i="25"/>
  <c r="BP78" i="25"/>
  <c r="AA78" i="25"/>
  <c r="BP86" i="25"/>
  <c r="AA86" i="25"/>
  <c r="BP90" i="25"/>
  <c r="AA90" i="25"/>
  <c r="BP114" i="25"/>
  <c r="AA114" i="25"/>
  <c r="BP43" i="25"/>
  <c r="AA43" i="25"/>
  <c r="BP47" i="25"/>
  <c r="AA47" i="25"/>
  <c r="BP49" i="25"/>
  <c r="AA49" i="25"/>
  <c r="BP52" i="25"/>
  <c r="AA52" i="25"/>
  <c r="BP60" i="25"/>
  <c r="AA60" i="25"/>
  <c r="BP64" i="25"/>
  <c r="AA64" i="25"/>
  <c r="BP67" i="25"/>
  <c r="AA67" i="25"/>
  <c r="BP71" i="25"/>
  <c r="AA71" i="25"/>
  <c r="BP83" i="25"/>
  <c r="AA83" i="25"/>
  <c r="BP87" i="25"/>
  <c r="AA87" i="25"/>
  <c r="BP91" i="25"/>
  <c r="AA91" i="25"/>
  <c r="BP102" i="25"/>
  <c r="AA102" i="25"/>
  <c r="AA101" i="25" s="1"/>
  <c r="V101" i="25"/>
  <c r="BP111" i="25"/>
  <c r="V110" i="25"/>
  <c r="AA111" i="25"/>
  <c r="BP22" i="25"/>
  <c r="AA22" i="25"/>
  <c r="BP25" i="25"/>
  <c r="AA25" i="25"/>
  <c r="BP32" i="25"/>
  <c r="AA32" i="25"/>
  <c r="BP35" i="25"/>
  <c r="AA35" i="25"/>
  <c r="BP41" i="25"/>
  <c r="AA41" i="25"/>
  <c r="BP45" i="25"/>
  <c r="AA45" i="25"/>
  <c r="BP48" i="25"/>
  <c r="AA48" i="25"/>
  <c r="BP50" i="25"/>
  <c r="AA50" i="25"/>
  <c r="BP54" i="25"/>
  <c r="AA54" i="25"/>
  <c r="BP58" i="25"/>
  <c r="AA58" i="25"/>
  <c r="BP62" i="25"/>
  <c r="AA62" i="25"/>
  <c r="BP66" i="25"/>
  <c r="AA66" i="25"/>
  <c r="BP69" i="25"/>
  <c r="AA69" i="25"/>
  <c r="BP73" i="25"/>
  <c r="AA73" i="25"/>
  <c r="BP77" i="25"/>
  <c r="AA77" i="25"/>
  <c r="BP81" i="25"/>
  <c r="AA81" i="25"/>
  <c r="BP85" i="25"/>
  <c r="AA85" i="25"/>
  <c r="BP89" i="25"/>
  <c r="AA89" i="25"/>
  <c r="BP95" i="25"/>
  <c r="AA95" i="25"/>
  <c r="BP99" i="25"/>
  <c r="AA99" i="25"/>
  <c r="BP107" i="25"/>
  <c r="AA107" i="25"/>
  <c r="V106" i="25"/>
  <c r="BP113" i="25"/>
  <c r="AA113" i="25"/>
  <c r="AK20" i="25"/>
  <c r="AK19" i="25" s="1"/>
  <c r="AY41" i="16"/>
  <c r="CW45" i="3"/>
  <c r="AU24" i="16"/>
  <c r="AU50" i="16"/>
  <c r="AX37" i="1"/>
  <c r="AI97" i="25"/>
  <c r="X54" i="30"/>
  <c r="X53" i="30" s="1"/>
  <c r="BI23" i="5"/>
  <c r="CI20" i="16"/>
  <c r="X19" i="30"/>
  <c r="X18" i="30" s="1"/>
  <c r="BU106" i="25"/>
  <c r="BU110" i="25"/>
  <c r="BH54" i="30"/>
  <c r="BH53" i="30" s="1"/>
  <c r="N53" i="30" s="1"/>
  <c r="BM23" i="5"/>
  <c r="BK23" i="5"/>
  <c r="AG20" i="25"/>
  <c r="AG19" i="25" s="1"/>
  <c r="AI29" i="25"/>
  <c r="BU97" i="25"/>
  <c r="AI110" i="25"/>
  <c r="T19" i="30"/>
  <c r="T18" i="30" s="1"/>
  <c r="BM19" i="5"/>
  <c r="BK19" i="5"/>
  <c r="AY24" i="16"/>
  <c r="AY19" i="16" s="1"/>
  <c r="AY31" i="16"/>
  <c r="AY50" i="16"/>
  <c r="BI28" i="5"/>
  <c r="V18" i="31"/>
  <c r="CI31" i="16"/>
  <c r="AU41" i="16"/>
  <c r="AU45" i="16"/>
  <c r="AX36" i="1"/>
  <c r="AI20" i="25"/>
  <c r="AI19" i="25" s="1"/>
  <c r="AK29" i="25"/>
  <c r="AG97" i="25"/>
  <c r="AK106" i="25"/>
  <c r="AK110" i="25"/>
  <c r="V19" i="30"/>
  <c r="V18" i="30" s="1"/>
  <c r="AW24" i="16"/>
  <c r="AW19" i="16" s="1"/>
  <c r="AW31" i="16"/>
  <c r="AY45" i="16"/>
  <c r="AG29" i="25"/>
  <c r="AK97" i="25"/>
  <c r="AG106" i="25"/>
  <c r="AG110" i="25"/>
  <c r="V16" i="31"/>
  <c r="AX25" i="1"/>
  <c r="BG53" i="1"/>
  <c r="BC53" i="1"/>
  <c r="BF53" i="1"/>
  <c r="BE53" i="1"/>
  <c r="BH65" i="31"/>
  <c r="N65" i="31" s="1"/>
  <c r="BH47" i="31"/>
  <c r="N47" i="31" s="1"/>
  <c r="BE52" i="1"/>
  <c r="BF52" i="1"/>
  <c r="AY52" i="1"/>
  <c r="BH19" i="30"/>
  <c r="BH18" i="30" s="1"/>
  <c r="N18" i="30" s="1"/>
  <c r="BG51" i="1"/>
  <c r="BE51" i="1"/>
  <c r="BG50" i="1"/>
  <c r="BC50" i="1"/>
  <c r="BF50" i="1"/>
  <c r="BE50" i="1"/>
  <c r="BF49" i="1"/>
  <c r="BG49" i="1"/>
  <c r="BC49" i="1"/>
  <c r="BE49" i="1"/>
  <c r="AY48" i="1"/>
  <c r="BE48" i="1"/>
  <c r="BF48" i="1"/>
  <c r="BG48" i="1"/>
  <c r="BE47" i="1"/>
  <c r="BF47" i="1"/>
  <c r="BU29" i="25"/>
  <c r="BU20" i="25"/>
  <c r="BF46" i="1"/>
  <c r="BG46" i="1"/>
  <c r="AY46" i="1"/>
  <c r="BE46" i="1"/>
  <c r="BF43" i="1"/>
  <c r="BG43" i="1"/>
  <c r="AY43" i="1"/>
  <c r="BE43" i="1"/>
  <c r="BG42" i="1"/>
  <c r="BE42" i="1"/>
  <c r="AY42" i="1"/>
  <c r="BE41" i="1"/>
  <c r="BG41" i="1"/>
  <c r="AY41" i="1"/>
  <c r="BF41" i="1"/>
  <c r="AY40" i="1"/>
  <c r="BE40" i="1"/>
  <c r="BF40" i="1"/>
  <c r="BG40" i="1"/>
  <c r="BF38" i="1"/>
  <c r="BG38" i="1"/>
  <c r="AY38" i="1"/>
  <c r="BE38" i="1"/>
  <c r="AY37" i="1"/>
  <c r="BG37" i="1"/>
  <c r="BF37" i="1"/>
  <c r="BE37" i="1"/>
  <c r="BE36" i="1"/>
  <c r="BF36" i="1"/>
  <c r="BG36" i="1"/>
  <c r="AY36" i="1"/>
  <c r="CI45" i="16"/>
  <c r="CI41" i="16"/>
  <c r="CI24" i="16"/>
  <c r="BE31" i="1"/>
  <c r="BC30" i="1"/>
  <c r="BE30" i="1"/>
  <c r="AY29" i="1"/>
  <c r="BF27" i="1"/>
  <c r="BG24" i="1"/>
  <c r="BF24" i="1"/>
  <c r="AY23" i="1"/>
  <c r="BG23" i="1"/>
  <c r="BF21" i="1"/>
  <c r="BG21" i="1"/>
  <c r="BG20" i="1"/>
  <c r="CW19" i="5"/>
  <c r="BF20" i="1"/>
  <c r="AY20" i="1"/>
  <c r="BE19" i="1"/>
  <c r="BG19" i="1"/>
  <c r="AY19" i="1"/>
  <c r="BF19" i="1"/>
  <c r="BF18" i="1"/>
  <c r="AY18" i="1"/>
  <c r="BE18" i="1"/>
  <c r="BG18" i="1"/>
  <c r="BE17" i="1"/>
  <c r="BF17" i="1"/>
  <c r="BG17" i="1"/>
  <c r="BC17" i="1"/>
  <c r="AY17" i="1"/>
  <c r="BF25" i="1"/>
  <c r="CW23" i="5"/>
  <c r="BK28" i="5"/>
  <c r="BF23" i="1"/>
  <c r="BC18" i="1"/>
  <c r="BC19" i="1"/>
  <c r="BC20" i="1"/>
  <c r="BI19" i="5"/>
  <c r="BM28" i="5"/>
  <c r="BC21" i="1"/>
  <c r="BE24" i="1"/>
  <c r="AY24" i="1"/>
  <c r="BC25" i="1"/>
  <c r="AY25" i="1"/>
  <c r="BE20" i="1"/>
  <c r="CW28" i="5"/>
  <c r="BE21" i="1"/>
  <c r="AY21" i="1"/>
  <c r="BC23" i="1"/>
  <c r="BE25" i="1"/>
  <c r="BE26" i="1"/>
  <c r="AY27" i="1"/>
  <c r="BF29" i="1"/>
  <c r="BF35" i="1"/>
  <c r="BE23" i="1"/>
  <c r="BC24" i="1"/>
  <c r="BG25" i="1"/>
  <c r="BC26" i="1"/>
  <c r="BG26" i="1"/>
  <c r="BG30" i="1"/>
  <c r="BF32" i="1"/>
  <c r="BE27" i="1"/>
  <c r="BE29" i="1"/>
  <c r="BF30" i="1"/>
  <c r="BF31" i="1"/>
  <c r="AY31" i="1"/>
  <c r="BC32" i="1"/>
  <c r="BG32" i="1"/>
  <c r="BE33" i="1"/>
  <c r="AW50" i="16"/>
  <c r="BC35" i="1"/>
  <c r="BG35" i="1"/>
  <c r="BF26" i="1"/>
  <c r="AY30" i="1"/>
  <c r="BC31" i="1"/>
  <c r="BG31" i="1"/>
  <c r="BF33" i="1"/>
  <c r="AU31" i="16"/>
  <c r="AY26" i="1"/>
  <c r="BC27" i="1"/>
  <c r="BG27" i="1"/>
  <c r="BC29" i="1"/>
  <c r="BG29" i="1"/>
  <c r="BE32" i="1"/>
  <c r="BC33" i="1"/>
  <c r="BG33" i="1"/>
  <c r="AU20" i="16"/>
  <c r="CI50" i="16"/>
  <c r="BE35" i="1"/>
  <c r="AY32" i="1"/>
  <c r="AY33" i="1"/>
  <c r="AY35" i="1"/>
  <c r="AX40" i="1"/>
  <c r="BC37" i="1"/>
  <c r="AX42" i="1"/>
  <c r="BC36" i="1"/>
  <c r="BC40" i="1"/>
  <c r="BC38" i="1"/>
  <c r="BC41" i="1"/>
  <c r="BF42" i="1"/>
  <c r="BC42" i="1"/>
  <c r="BC46" i="1"/>
  <c r="BC47" i="1"/>
  <c r="BG47" i="1"/>
  <c r="BC43" i="1"/>
  <c r="AY47" i="1"/>
  <c r="N54" i="30"/>
  <c r="BC48" i="1"/>
  <c r="AY49" i="1"/>
  <c r="AY50" i="1"/>
  <c r="T54" i="30"/>
  <c r="T53" i="30" s="1"/>
  <c r="X18" i="31"/>
  <c r="BF51" i="1"/>
  <c r="V53" i="30"/>
  <c r="BC52" i="1"/>
  <c r="BG52" i="1"/>
  <c r="BH18" i="31"/>
  <c r="BH35" i="31"/>
  <c r="N35" i="31" s="1"/>
  <c r="X47" i="31"/>
  <c r="AY51" i="1"/>
  <c r="BC51" i="1"/>
  <c r="BH50" i="30"/>
  <c r="N50" i="30" s="1"/>
  <c r="T18" i="31"/>
  <c r="T16" i="31" s="1"/>
  <c r="AX52" i="1" s="1"/>
  <c r="AY53" i="1"/>
  <c r="AI103" i="25" l="1"/>
  <c r="CW18" i="3"/>
  <c r="X17" i="30"/>
  <c r="V17" i="30"/>
  <c r="AA20" i="25"/>
  <c r="AA19" i="25" s="1"/>
  <c r="V28" i="25"/>
  <c r="AA29" i="25"/>
  <c r="AA28" i="25" s="1"/>
  <c r="AA106" i="25"/>
  <c r="V103" i="25"/>
  <c r="AA110" i="25"/>
  <c r="AI28" i="25"/>
  <c r="AK103" i="25"/>
  <c r="AU30" i="16"/>
  <c r="AU19" i="16"/>
  <c r="AW30" i="16"/>
  <c r="AW18" i="16" s="1"/>
  <c r="AY30" i="16"/>
  <c r="AY18" i="16" s="1"/>
  <c r="BK18" i="5"/>
  <c r="BK17" i="5" s="1"/>
  <c r="AX19" i="1"/>
  <c r="AX17" i="1"/>
  <c r="AX49" i="1"/>
  <c r="AX29" i="1"/>
  <c r="BM18" i="5"/>
  <c r="BM17" i="5" s="1"/>
  <c r="AG103" i="25"/>
  <c r="AX48" i="1"/>
  <c r="BU103" i="25"/>
  <c r="BU28" i="25"/>
  <c r="BU19" i="25"/>
  <c r="AX43" i="1"/>
  <c r="AX38" i="1"/>
  <c r="BI18" i="5"/>
  <c r="BI17" i="5" s="1"/>
  <c r="AX20" i="1" s="1"/>
  <c r="AG28" i="25"/>
  <c r="AK28" i="25"/>
  <c r="AX18" i="1"/>
  <c r="AX50" i="1"/>
  <c r="T17" i="30"/>
  <c r="AX51" i="1" s="1"/>
  <c r="AX47" i="1"/>
  <c r="AX24" i="1"/>
  <c r="AX26" i="1"/>
  <c r="AX31" i="1"/>
  <c r="AX23" i="1"/>
  <c r="N19" i="30"/>
  <c r="BE45" i="1"/>
  <c r="BA45" i="1" s="1"/>
  <c r="BF45" i="1"/>
  <c r="BB45" i="1" s="1"/>
  <c r="BG45" i="1"/>
  <c r="BG44" i="1" s="1"/>
  <c r="BG39" i="1"/>
  <c r="BE39" i="1"/>
  <c r="BA39" i="1" s="1"/>
  <c r="BC39" i="1"/>
  <c r="AY39" i="1" s="1"/>
  <c r="BF39" i="1"/>
  <c r="BB39" i="1" s="1"/>
  <c r="BF34" i="1"/>
  <c r="BB34" i="1" s="1"/>
  <c r="BE34" i="1"/>
  <c r="BA34" i="1" s="1"/>
  <c r="BG34" i="1"/>
  <c r="CI30" i="16"/>
  <c r="CI19" i="16"/>
  <c r="BC28" i="1"/>
  <c r="AY28" i="1" s="1"/>
  <c r="BG22" i="1"/>
  <c r="BF16" i="1"/>
  <c r="BB16" i="1" s="1"/>
  <c r="BG16" i="1"/>
  <c r="BE16" i="1"/>
  <c r="BA16" i="1" s="1"/>
  <c r="BC16" i="1"/>
  <c r="AY16" i="1" s="1"/>
  <c r="AW16" i="1" s="1"/>
  <c r="BC45" i="1"/>
  <c r="BC34" i="1"/>
  <c r="AY34" i="1" s="1"/>
  <c r="AX32" i="1"/>
  <c r="BE22" i="1"/>
  <c r="BA22" i="1" s="1"/>
  <c r="BC22" i="1"/>
  <c r="AY22" i="1" s="1"/>
  <c r="AX21" i="1"/>
  <c r="BH17" i="30"/>
  <c r="N17" i="30" s="1"/>
  <c r="AG51" i="1" s="1"/>
  <c r="BF28" i="1"/>
  <c r="BB28" i="1" s="1"/>
  <c r="BF22" i="1"/>
  <c r="BH16" i="31"/>
  <c r="N16" i="31" s="1"/>
  <c r="AG52" i="1" s="1"/>
  <c r="N18" i="31"/>
  <c r="X16" i="31"/>
  <c r="BG28" i="1"/>
  <c r="AX27" i="1"/>
  <c r="AX30" i="1"/>
  <c r="AX35" i="1"/>
  <c r="CW18" i="5"/>
  <c r="AX41" i="1"/>
  <c r="BE28" i="1"/>
  <c r="BA28" i="1" s="1"/>
  <c r="AI51" i="1" l="1"/>
  <c r="AJ51" i="1"/>
  <c r="AK51" i="1" s="1"/>
  <c r="AI52" i="1"/>
  <c r="AJ52" i="1"/>
  <c r="AK52" i="1" s="1"/>
  <c r="AS52" i="1"/>
  <c r="AI18" i="25"/>
  <c r="AU18" i="16"/>
  <c r="AX33" i="1" s="1"/>
  <c r="AS51" i="1"/>
  <c r="AK18" i="25"/>
  <c r="V18" i="25"/>
  <c r="AG46" i="1" s="1"/>
  <c r="AA103" i="25"/>
  <c r="AA18" i="25" s="1"/>
  <c r="AG18" i="25"/>
  <c r="AX46" i="1" s="1"/>
  <c r="AX45" i="1" s="1"/>
  <c r="AX44" i="1" s="1"/>
  <c r="AX34" i="1"/>
  <c r="BU18" i="25"/>
  <c r="AX22" i="1"/>
  <c r="AX53" i="1"/>
  <c r="AX16" i="1"/>
  <c r="AX39" i="1"/>
  <c r="AX28" i="1"/>
  <c r="BF44" i="1"/>
  <c r="BB44" i="1" s="1"/>
  <c r="BE44" i="1"/>
  <c r="BA44" i="1" s="1"/>
  <c r="CI18" i="16"/>
  <c r="BG15" i="1"/>
  <c r="CW17" i="5"/>
  <c r="BB22" i="1"/>
  <c r="AY45" i="1"/>
  <c r="BC44" i="1"/>
  <c r="AY44" i="1" s="1"/>
  <c r="AI46" i="1" l="1"/>
  <c r="AJ46" i="1"/>
  <c r="AK46" i="1" s="1"/>
  <c r="AG45" i="1"/>
  <c r="AS46" i="1"/>
  <c r="AX15" i="1"/>
  <c r="BE15" i="1"/>
  <c r="BF15" i="1"/>
  <c r="AZ37" i="1"/>
  <c r="AW37" i="1" s="1"/>
  <c r="BD37" i="1"/>
  <c r="BC15" i="1"/>
  <c r="BD43" i="1"/>
  <c r="AZ43" i="1"/>
  <c r="AW43" i="1" s="1"/>
  <c r="AZ24" i="1"/>
  <c r="AW24" i="1" s="1"/>
  <c r="BD24" i="1"/>
  <c r="AI45" i="1" l="1"/>
  <c r="AJ45" i="1"/>
  <c r="AK45" i="1" s="1"/>
  <c r="AG44" i="1"/>
  <c r="AS45" i="1"/>
  <c r="BD48" i="1"/>
  <c r="AZ48" i="1"/>
  <c r="AW48" i="1" s="1"/>
  <c r="AV48" i="1"/>
  <c r="BA15" i="1"/>
  <c r="BB15" i="1"/>
  <c r="AZ18" i="1"/>
  <c r="AW18" i="1" s="1"/>
  <c r="AV37" i="1"/>
  <c r="BD36" i="1"/>
  <c r="AZ36" i="1"/>
  <c r="AW36" i="1" s="1"/>
  <c r="AZ19" i="1"/>
  <c r="AW19" i="1" s="1"/>
  <c r="BD19" i="1"/>
  <c r="AZ46" i="1"/>
  <c r="AW46" i="1" s="1"/>
  <c r="BD46" i="1"/>
  <c r="AZ49" i="1"/>
  <c r="AW49" i="1" s="1"/>
  <c r="BD49" i="1"/>
  <c r="BD32" i="1"/>
  <c r="AZ32" i="1"/>
  <c r="AW32" i="1" s="1"/>
  <c r="AZ51" i="1"/>
  <c r="AW51" i="1" s="1"/>
  <c r="BD51" i="1"/>
  <c r="AZ38" i="1"/>
  <c r="AW38" i="1" s="1"/>
  <c r="BD38" i="1"/>
  <c r="BD40" i="1"/>
  <c r="AZ40" i="1"/>
  <c r="AW40" i="1" s="1"/>
  <c r="AZ30" i="1"/>
  <c r="AW30" i="1" s="1"/>
  <c r="BD30" i="1"/>
  <c r="BD33" i="1"/>
  <c r="AZ33" i="1"/>
  <c r="AW33" i="1" s="1"/>
  <c r="BD35" i="1"/>
  <c r="AZ35" i="1"/>
  <c r="AW35" i="1" s="1"/>
  <c r="AZ25" i="1"/>
  <c r="AW25" i="1" s="1"/>
  <c r="BD25" i="1"/>
  <c r="AZ41" i="1"/>
  <c r="AW41" i="1" s="1"/>
  <c r="BD41" i="1"/>
  <c r="AZ50" i="1"/>
  <c r="AW50" i="1" s="1"/>
  <c r="BD50" i="1"/>
  <c r="AV43" i="1"/>
  <c r="AZ42" i="1"/>
  <c r="AW42" i="1" s="1"/>
  <c r="BD42" i="1"/>
  <c r="AV24" i="1"/>
  <c r="AZ17" i="1"/>
  <c r="AW17" i="1" s="1"/>
  <c r="BD17" i="1"/>
  <c r="AZ52" i="1"/>
  <c r="AW52" i="1" s="1"/>
  <c r="BD52" i="1"/>
  <c r="AZ23" i="1"/>
  <c r="AW23" i="1" s="1"/>
  <c r="BD23" i="1"/>
  <c r="BD26" i="1"/>
  <c r="AZ26" i="1"/>
  <c r="AW26" i="1" s="1"/>
  <c r="AY15" i="1"/>
  <c r="AI44" i="1" l="1"/>
  <c r="AJ44" i="1"/>
  <c r="AK44" i="1" s="1"/>
  <c r="AG15" i="1"/>
  <c r="AZ53" i="1"/>
  <c r="AW53" i="1" s="1"/>
  <c r="BD53" i="1"/>
  <c r="AV53" i="1"/>
  <c r="BD18" i="1"/>
  <c r="BD34" i="1"/>
  <c r="AZ34" i="1" s="1"/>
  <c r="AW34" i="1" s="1"/>
  <c r="BD39" i="1"/>
  <c r="AZ39" i="1" s="1"/>
  <c r="AW39" i="1" s="1"/>
  <c r="BD29" i="1"/>
  <c r="AZ29" i="1"/>
  <c r="AW29" i="1" s="1"/>
  <c r="AZ20" i="1"/>
  <c r="AW20" i="1" s="1"/>
  <c r="BD20" i="1"/>
  <c r="AV38" i="1"/>
  <c r="AV32" i="1"/>
  <c r="BD27" i="1"/>
  <c r="BD22" i="1" s="1"/>
  <c r="AZ22" i="1" s="1"/>
  <c r="AW22" i="1" s="1"/>
  <c r="AZ27" i="1"/>
  <c r="AW27" i="1" s="1"/>
  <c r="AV46" i="1"/>
  <c r="AV35" i="1"/>
  <c r="AV49" i="1"/>
  <c r="AV42" i="1"/>
  <c r="AV50" i="1"/>
  <c r="BD31" i="1"/>
  <c r="AZ31" i="1"/>
  <c r="AW31" i="1" s="1"/>
  <c r="AV33" i="1"/>
  <c r="AV17" i="1"/>
  <c r="AV16" i="1" s="1"/>
  <c r="AV19" i="1"/>
  <c r="AV18" i="1"/>
  <c r="AV41" i="1"/>
  <c r="AV25" i="1"/>
  <c r="AV26" i="1"/>
  <c r="BD47" i="1"/>
  <c r="BD45" i="1" s="1"/>
  <c r="AZ47" i="1"/>
  <c r="AW47" i="1" s="1"/>
  <c r="AV30" i="1"/>
  <c r="AV40" i="1"/>
  <c r="AV23" i="1"/>
  <c r="AV51" i="1"/>
  <c r="AZ21" i="1"/>
  <c r="AW21" i="1" s="1"/>
  <c r="BD21" i="1"/>
  <c r="AV52" i="1"/>
  <c r="AI15" i="1" l="1"/>
  <c r="AJ15" i="1"/>
  <c r="AK15" i="1" s="1"/>
  <c r="AV39" i="1"/>
  <c r="AV36" i="1"/>
  <c r="AV34" i="1" s="1"/>
  <c r="BD16" i="1"/>
  <c r="AZ16" i="1" s="1"/>
  <c r="BD44" i="1"/>
  <c r="AZ44" i="1" s="1"/>
  <c r="AW44" i="1" s="1"/>
  <c r="AZ45" i="1"/>
  <c r="AW45" i="1" s="1"/>
  <c r="AV31" i="1"/>
  <c r="AV21" i="1"/>
  <c r="AV27" i="1"/>
  <c r="AV22" i="1" s="1"/>
  <c r="AV29" i="1"/>
  <c r="AV47" i="1"/>
  <c r="AV45" i="1" s="1"/>
  <c r="AV44" i="1" s="1"/>
  <c r="BD28" i="1"/>
  <c r="AZ28" i="1" s="1"/>
  <c r="AW28" i="1" s="1"/>
  <c r="AV20" i="1"/>
  <c r="AV28" i="1" l="1"/>
  <c r="BD15" i="1"/>
  <c r="AS39" i="1" l="1"/>
  <c r="AS34" i="1"/>
  <c r="AV15" i="1"/>
  <c r="AZ15" i="1"/>
  <c r="AS22" i="1" l="1"/>
  <c r="AS28" i="1"/>
  <c r="AW15" i="1"/>
  <c r="AS44" i="1" l="1"/>
  <c r="AS53" i="1" l="1"/>
  <c r="AL15" i="1" l="1"/>
  <c r="AO15" i="1" l="1"/>
  <c r="AP15" i="1" s="1"/>
  <c r="AN15" i="1"/>
  <c r="AS15" i="1"/>
</calcChain>
</file>

<file path=xl/sharedStrings.xml><?xml version="1.0" encoding="utf-8"?>
<sst xmlns="http://schemas.openxmlformats.org/spreadsheetml/2006/main" count="8047" uniqueCount="1437">
  <si>
    <t/>
  </si>
  <si>
    <t>20</t>
  </si>
  <si>
    <t>Kód:</t>
  </si>
  <si>
    <t>Stavba:</t>
  </si>
  <si>
    <t>Miesto:</t>
  </si>
  <si>
    <t>Dátum:</t>
  </si>
  <si>
    <t>Objednávateľ:</t>
  </si>
  <si>
    <t>Zhotoviteľ:</t>
  </si>
  <si>
    <t>Projektant:</t>
  </si>
  <si>
    <t>Spracovateľ:</t>
  </si>
  <si>
    <t>DPH</t>
  </si>
  <si>
    <t>znížená</t>
  </si>
  <si>
    <t>REKAPITULÁCIA OBJEKTOV STAVBY</t>
  </si>
  <si>
    <t>Informatívne údaje z listov zákaziek</t>
  </si>
  <si>
    <t>Kód</t>
  </si>
  <si>
    <t>Objekt</t>
  </si>
  <si>
    <t>Cena bez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</si>
  <si>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</si>
  <si>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</si>
  <si>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</si>
  <si>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</si>
  <si>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</si>
  <si>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</si>
  <si>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</si>
  <si>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</si>
  <si>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</si>
  <si>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</si>
  <si>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</si>
  <si>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</si>
  <si>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</si>
  <si>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</si>
  <si>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</si>
  <si>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</si>
  <si>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</si>
  <si>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{a482a9e3-a942-47df-be50-5597bdd7f0d6}</t>
  </si>
  <si>
    <t>{00000000-0000-0000-0000-000000000000}</t>
  </si>
  <si>
    <t>Objekt 1</t>
  </si>
  <si>
    <t>Stavebná časť</t>
  </si>
  <si>
    <t>1</t>
  </si>
  <si>
    <t>{44dd3b83-68bf-4f2d-b91a-56e1a0d6f585}</t>
  </si>
  <si>
    <t>SO 02 Obj. 1</t>
  </si>
  <si>
    <t>Zateplenie strešného plášťa</t>
  </si>
  <si>
    <t>2</t>
  </si>
  <si>
    <t>{07f78ab8-e6de-47f9-9f08-2cf532f2bab4}</t>
  </si>
  <si>
    <t>SO 01 Obj.1</t>
  </si>
  <si>
    <t>Zateplenie obvodového plášťa</t>
  </si>
  <si>
    <t>{0d68246e-d42c-43bb-9368-0e973d257c32}</t>
  </si>
  <si>
    <t>SO 03 Obj. 1</t>
  </si>
  <si>
    <t>{c542cd9c-3b89-4be4-9d52-ed76819b4d58}</t>
  </si>
  <si>
    <t>SO 04 Obj.1</t>
  </si>
  <si>
    <t>{bcec09ec-59f7-47e6-b68d-754e7253d2bc}</t>
  </si>
  <si>
    <t>SO 05 Obj. 1</t>
  </si>
  <si>
    <t>{f861f42f-c018-4073-b99b-c182bb60047b}</t>
  </si>
  <si>
    <t>Objekt 2</t>
  </si>
  <si>
    <t>{693865b3-ba27-4cd9-8684-1c6659981ff1}</t>
  </si>
  <si>
    <t>SO 01 Obj.2</t>
  </si>
  <si>
    <t>{b313e11a-db21-435b-9635-b8f9f1f8a951}</t>
  </si>
  <si>
    <t>SO 02 Obj.2</t>
  </si>
  <si>
    <t>{b7dd4535-6e50-483f-a17a-0a764b29bd83}</t>
  </si>
  <si>
    <t>SO 03 Obj.2</t>
  </si>
  <si>
    <t>{9ed523b6-3c2e-4801-b785-71d281c8c873}</t>
  </si>
  <si>
    <t>SO 04 Obj.2</t>
  </si>
  <si>
    <t>Obnova chodníka</t>
  </si>
  <si>
    <t>{bcc69564-17cf-4b27-80e9-1a6cd059995a}</t>
  </si>
  <si>
    <t>SO 05 Obj.2</t>
  </si>
  <si>
    <t>{c120f30e-20b0-4c10-9346-52d5e97136bb}</t>
  </si>
  <si>
    <t>Objekt 3</t>
  </si>
  <si>
    <t>{cfe73d5b-284e-43fc-b157-a9a3d34eaeb8}</t>
  </si>
  <si>
    <t>SO 01 Obj.3</t>
  </si>
  <si>
    <t>{59228703-db2b-4edf-9685-f706408655b2}</t>
  </si>
  <si>
    <t>SO 02 Obj.3</t>
  </si>
  <si>
    <t>{3de6f117-d05e-48dc-90e6-467eb969e352}</t>
  </si>
  <si>
    <t>SO 03 Obj.3</t>
  </si>
  <si>
    <t>Výmena výplnových konštrukcií</t>
  </si>
  <si>
    <t>{5591ceb8-c9aa-47ca-a020-ba8e7e909092}</t>
  </si>
  <si>
    <t>SO 04 Obj.3</t>
  </si>
  <si>
    <t>{ff0888c2-6d18-457c-948c-a38923f0fb73}</t>
  </si>
  <si>
    <t>SO 05 Obj.3</t>
  </si>
  <si>
    <t>{6a0a3042-f729-455d-82ed-6aaf11472299}</t>
  </si>
  <si>
    <t>Objekt 4</t>
  </si>
  <si>
    <t>{11b26968-6a87-4684-8a3c-411b8589e2c3}</t>
  </si>
  <si>
    <t>SO 01 Obj.4</t>
  </si>
  <si>
    <t>{372161d9-61ef-4644-8f1b-c3b98ec1dde7}</t>
  </si>
  <si>
    <t>SO 02 Obj.4</t>
  </si>
  <si>
    <t>{4c0416f5-9a2d-4e33-8605-544e2237b705}</t>
  </si>
  <si>
    <t>SO 03 Obj.4</t>
  </si>
  <si>
    <t>{cd852008-7a7f-452e-bff5-f0e91cd8ee8f}</t>
  </si>
  <si>
    <t>SO 04 Obj.4</t>
  </si>
  <si>
    <t>{ac778a28-9bf2-473a-8bfb-913fb03f5f3c}</t>
  </si>
  <si>
    <t>Objekt 5</t>
  </si>
  <si>
    <t>{4514f1c8-90da-422c-86df-1cf3c9fb9ae8}</t>
  </si>
  <si>
    <t>SO 01 Obj.5</t>
  </si>
  <si>
    <t>{9158f708-5050-49a1-a6cd-d3ccf40f342b}</t>
  </si>
  <si>
    <t>SO 02 Obj.5</t>
  </si>
  <si>
    <t>{28c19095-f847-407b-becc-480b92e17558}</t>
  </si>
  <si>
    <t>SO 03 Obj.5</t>
  </si>
  <si>
    <t>{306f13bc-7669-4987-b0b8-c9d77ce99434}</t>
  </si>
  <si>
    <t>SO 04 Obj.5</t>
  </si>
  <si>
    <t>{b7c6733d-a382-4584-b7d9-888e00ab17c6}</t>
  </si>
  <si>
    <t>SO 06</t>
  </si>
  <si>
    <t>Elektroinštalácia a osvetlenie</t>
  </si>
  <si>
    <t>{88e9d454-1731-4429-b7a2-f0597e5b151b}</t>
  </si>
  <si>
    <t>Osvetlenie</t>
  </si>
  <si>
    <t>{ae79b5b5-dc9d-480f-9f74-e3d8fa50c246}</t>
  </si>
  <si>
    <t>Obj. 1</t>
  </si>
  <si>
    <t>3</t>
  </si>
  <si>
    <t>{68b54d7a-7f8d-4382-9113-4116f4facbbd}</t>
  </si>
  <si>
    <t>Obj. 2</t>
  </si>
  <si>
    <t>{9137ef40-7633-478a-9b01-8562f1d1cdbe}</t>
  </si>
  <si>
    <t>Obj. 3</t>
  </si>
  <si>
    <t>{d9e59e14-2ced-4f9e-a815-3b873699522d}</t>
  </si>
  <si>
    <t>Obj. 4</t>
  </si>
  <si>
    <t>{0bf8911e-0737-4f83-a79e-eeedae56e343}</t>
  </si>
  <si>
    <t>Obj. 5</t>
  </si>
  <si>
    <t>{6ee98137-3e6d-437f-a826-ab3fb8309e36}</t>
  </si>
  <si>
    <t>Fotovoltaika</t>
  </si>
  <si>
    <t>{edce2d6c-5146-4de6-becf-6377f432e8bc}</t>
  </si>
  <si>
    <t>SO 07</t>
  </si>
  <si>
    <t>{e453a9b4-ecfb-490c-a975-f4960013c635}</t>
  </si>
  <si>
    <t>SO 08</t>
  </si>
  <si>
    <t>{007ad680-4f3e-4f68-9690-c40a9408e794}</t>
  </si>
  <si>
    <t>Objekt:</t>
  </si>
  <si>
    <t>Objekt 1 - Stavebná časť</t>
  </si>
  <si>
    <t>Časť:</t>
  </si>
  <si>
    <t>Náklady z rozpočtu</t>
  </si>
  <si>
    <t>Cena celkom [EUR]</t>
  </si>
  <si>
    <t>-1</t>
  </si>
  <si>
    <t>HSV - Práce a dodávky HSV</t>
  </si>
  <si>
    <t xml:space="preserve">    9 - Ostatné konštrukcie a práce-búranie</t>
  </si>
  <si>
    <t xml:space="preserve">    99 - Presun hmôt HSV</t>
  </si>
  <si>
    <t>PSV - Práce a dodávky PSV</t>
  </si>
  <si>
    <t xml:space="preserve">    712 - Izolácie striech</t>
  </si>
  <si>
    <t xml:space="preserve">    713 - Izolácie tepelné</t>
  </si>
  <si>
    <t xml:space="preserve">    721 - Zdravotech. vnútorná kanalizácia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</si>
  <si>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</si>
  <si>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</si>
  <si>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</si>
  <si>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</si>
  <si>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</si>
  <si>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</si>
  <si>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</si>
  <si>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</si>
  <si>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</si>
  <si>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</si>
  <si>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</si>
  <si>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</si>
  <si>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</si>
  <si>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</si>
  <si>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</si>
  <si>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</si>
  <si>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979011111</t>
  </si>
  <si>
    <t>Zvislá doprava sutiny a vybúraných hmôt za prvé podlažie nad alebo pod základným podlažím</t>
  </si>
  <si>
    <t>t</t>
  </si>
  <si>
    <t>4</t>
  </si>
  <si>
    <t>979081111</t>
  </si>
  <si>
    <t>Odvoz sutiny a vybúraných hmôt na skládku do 1 km</t>
  </si>
  <si>
    <t>5</t>
  </si>
  <si>
    <t>979081121</t>
  </si>
  <si>
    <t>Odvoz sutiny a vybúraných hmôt na skládku za každý ďalší 1 km</t>
  </si>
  <si>
    <t>6</t>
  </si>
  <si>
    <t>979089112</t>
  </si>
  <si>
    <t>Poplatok za skladovanie - drevo, sklo, plasty (17 02 ), ostatné</t>
  </si>
  <si>
    <t>7</t>
  </si>
  <si>
    <t>998011002</t>
  </si>
  <si>
    <t>Presun hmôt pre budovy (801, 803, 812), zvislá konštr. z tehál, tvárnic, z kovu výšky do 12 m</t>
  </si>
  <si>
    <t>8</t>
  </si>
  <si>
    <t>712290010</t>
  </si>
  <si>
    <t>Zhotovenie parozábrany pre strechy ploché do 10°</t>
  </si>
  <si>
    <t>m2</t>
  </si>
  <si>
    <t>16</t>
  </si>
  <si>
    <t>9</t>
  </si>
  <si>
    <t>M</t>
  </si>
  <si>
    <t>2832990190</t>
  </si>
  <si>
    <t>Parozábrana Fatrapar E  hr.0,15mm, š.2m, balenie: 200m2</t>
  </si>
  <si>
    <t>32</t>
  </si>
  <si>
    <t>10</t>
  </si>
  <si>
    <t>712300832</t>
  </si>
  <si>
    <t>Odstránenie povlakovej krytiny na strechách plochých 10° dvojvrstvovej,  -0,01000t</t>
  </si>
  <si>
    <t>11</t>
  </si>
  <si>
    <t>712370070</t>
  </si>
  <si>
    <t>Zhotovenie povlakovej krytiny striech plochých do 10° PVC-P fóliou upevnenou prikotvením so zvarením spoju</t>
  </si>
  <si>
    <t>12</t>
  </si>
  <si>
    <t>2832990650</t>
  </si>
  <si>
    <t>Kotviaca technika - vrut SK-RB Power</t>
  </si>
  <si>
    <t>ks</t>
  </si>
  <si>
    <t>13</t>
  </si>
  <si>
    <t>2833000150</t>
  </si>
  <si>
    <t>FATRAFOL-S 810 hydroizolačná fólia hr.1,50 mm, š.1,3m  šedá</t>
  </si>
  <si>
    <t>14</t>
  </si>
  <si>
    <t>712873230</t>
  </si>
  <si>
    <t>Zhotovenie povlakovej krytiny vytiahnutím izol.povlaku z PVC-P fólie na konštrukcie prevyšujúce úroveň strechy do 50 cm so zvarením spoju</t>
  </si>
  <si>
    <t>15</t>
  </si>
  <si>
    <t>2832990170</t>
  </si>
  <si>
    <t>Zálievka Z 01, balenie:2,5kg</t>
  </si>
  <si>
    <t>kg</t>
  </si>
  <si>
    <t>17</t>
  </si>
  <si>
    <t>712973895a</t>
  </si>
  <si>
    <t>Detaily k termoplastom všeobecne, oplechovanie okraja odkvapovou lištou z hrubopolpast. plechu RŠ 610 mm</t>
  </si>
  <si>
    <t>m</t>
  </si>
  <si>
    <t>18</t>
  </si>
  <si>
    <t>19</t>
  </si>
  <si>
    <t>712990040</t>
  </si>
  <si>
    <t>Položenie geotextílie vodorovne alebo zvislo na strechy ploché do 10°</t>
  </si>
  <si>
    <t>6936651400</t>
  </si>
  <si>
    <t>Geotextília netkaná polypropylénová Tatratex PP   400</t>
  </si>
  <si>
    <t>21</t>
  </si>
  <si>
    <t>712991030</t>
  </si>
  <si>
    <t>Montáž podkladnej konštrukcie z OSB dosiek na atike šírky 311 - 410 mm pod klampiarske konštrukcie</t>
  </si>
  <si>
    <t>22</t>
  </si>
  <si>
    <t>2832990600</t>
  </si>
  <si>
    <t>Kotviaca technika - rozperný nit do betónu</t>
  </si>
  <si>
    <t>23</t>
  </si>
  <si>
    <t>6072624400</t>
  </si>
  <si>
    <t>Doska drevoštiepková OSB 3 SE 2500x1250x18 mm</t>
  </si>
  <si>
    <t>24</t>
  </si>
  <si>
    <t>998712102</t>
  </si>
  <si>
    <t>Presun hmôt pre izoláciu povlakovej krytiny v objektoch výšky nad 6 do 12 m</t>
  </si>
  <si>
    <t>25</t>
  </si>
  <si>
    <t>713142250</t>
  </si>
  <si>
    <t>Montáž tepelnej izolácie striech plochých do 10° polystyrénom, dvojvrstvová kladenými voľne</t>
  </si>
  <si>
    <t>26</t>
  </si>
  <si>
    <t>2837653447</t>
  </si>
  <si>
    <t>EPS Roof 150S penový polystyrén hrúbka 200 mm</t>
  </si>
  <si>
    <t>27</t>
  </si>
  <si>
    <t>2837653448</t>
  </si>
  <si>
    <t>EPS Roof 150S penový polystyrén hrúbka 150 mm</t>
  </si>
  <si>
    <t>28</t>
  </si>
  <si>
    <t>713144020</t>
  </si>
  <si>
    <t>Montáž tepelnej izolácie na atiku polystyrénom do lepidla</t>
  </si>
  <si>
    <t>29</t>
  </si>
  <si>
    <t>2837640610</t>
  </si>
  <si>
    <t>BASF Podlahový polystyrén EPS 150 S hr. 5 cm</t>
  </si>
  <si>
    <t>30</t>
  </si>
  <si>
    <t>998713102</t>
  </si>
  <si>
    <t>Presun hmôt pre izolácie tepelné v objektoch výšky nad 6 m do 12 m</t>
  </si>
  <si>
    <t>31</t>
  </si>
  <si>
    <t>721210823</t>
  </si>
  <si>
    <t>Demontáž strešného vtoku DN 125,  -0,02011t</t>
  </si>
  <si>
    <t>721233214</t>
  </si>
  <si>
    <t>Strešný vtok plastový pre ploché strechy so zvislým odtokom DN 125 mm</t>
  </si>
  <si>
    <t>33</t>
  </si>
  <si>
    <t>998721102</t>
  </si>
  <si>
    <t>Presun hmôt pre vnútornú kanalizáciu v objektoch výšky nad 6 do 12 m</t>
  </si>
  <si>
    <t>VP - Práce naviac</t>
  </si>
  <si>
    <t>PN</t>
  </si>
  <si>
    <t xml:space="preserve">    6 - Úpravy povrchov, podlahy, osadenie</t>
  </si>
  <si>
    <t xml:space="preserve">    711 - Izolácie proti vode a vlhkosti</t>
  </si>
  <si>
    <t xml:space="preserve">    767 - Konštrukcie doplnkové kovové</t>
  </si>
  <si>
    <t xml:space="preserve">    781 - Dokončovacie práce a obklady</t>
  </si>
  <si>
    <t>622463257</t>
  </si>
  <si>
    <t>Ochrana, čistenie podkladu</t>
  </si>
  <si>
    <t>824331621</t>
  </si>
  <si>
    <t>622463351</t>
  </si>
  <si>
    <t>Vyspravenie zdegradovaného podkladu</t>
  </si>
  <si>
    <t>291158247</t>
  </si>
  <si>
    <t>622464212</t>
  </si>
  <si>
    <t>Vonkajšia omietka stien tenkovrstvová, škrabaná, hr. 2 mm</t>
  </si>
  <si>
    <t>-1127255600</t>
  </si>
  <si>
    <t>622466115</t>
  </si>
  <si>
    <t>Podkladný penetračný náter</t>
  </si>
  <si>
    <t>1461408974</t>
  </si>
  <si>
    <t>625250050</t>
  </si>
  <si>
    <t>-1329217770</t>
  </si>
  <si>
    <t>625251435</t>
  </si>
  <si>
    <t>2021014227</t>
  </si>
  <si>
    <t>625253577</t>
  </si>
  <si>
    <t>-1277760530</t>
  </si>
  <si>
    <t>625253611a</t>
  </si>
  <si>
    <t>925591286</t>
  </si>
  <si>
    <t>941942001</t>
  </si>
  <si>
    <t>Montáž lešenia rámového systémového s podlahami šírky do 0,75 m, výšky do 10 m</t>
  </si>
  <si>
    <t>120777399</t>
  </si>
  <si>
    <t>941942801</t>
  </si>
  <si>
    <t>Demontáž lešenia rámového systémového s podlahami šírky do 0,75 m, výšky do 10 m</t>
  </si>
  <si>
    <t>-1048788608</t>
  </si>
  <si>
    <t>941942901</t>
  </si>
  <si>
    <t>Príplatok za prvý a každý ďalší i začatý týždeň použitia lešenia rámového systémového šírky do 0,75 m, výšky do 10 m</t>
  </si>
  <si>
    <t>358928127</t>
  </si>
  <si>
    <t>953945108</t>
  </si>
  <si>
    <t>Soklový profil SL 12 (hliníkový)</t>
  </si>
  <si>
    <t>814836740</t>
  </si>
  <si>
    <t>70</t>
  </si>
  <si>
    <t>953996608</t>
  </si>
  <si>
    <t>Rohový profil s flexibilným uhlom</t>
  </si>
  <si>
    <t>1808449155</t>
  </si>
  <si>
    <t>953996620</t>
  </si>
  <si>
    <t>Nadokenný profil so skrytou okapničkou</t>
  </si>
  <si>
    <t>166607550</t>
  </si>
  <si>
    <t>953996626</t>
  </si>
  <si>
    <t>Parapetný profil s tkaninou</t>
  </si>
  <si>
    <t>-979515959</t>
  </si>
  <si>
    <t>-757199943</t>
  </si>
  <si>
    <t>-1777437346</t>
  </si>
  <si>
    <t>-557023944</t>
  </si>
  <si>
    <t>-1314832369</t>
  </si>
  <si>
    <t>711111025</t>
  </si>
  <si>
    <t>Dvojzložková hydroizolácia</t>
  </si>
  <si>
    <t>1468736231</t>
  </si>
  <si>
    <t>711131106</t>
  </si>
  <si>
    <t>Zhotovenie izolácie proti zemnej vlhkosti nopovou fóloiu položenou voľne na ploche vodorovnej</t>
  </si>
  <si>
    <t>1965986756</t>
  </si>
  <si>
    <t>6288000640</t>
  </si>
  <si>
    <t>Nopová fólia FONDALINE proti vlhkosti s radónovou ochranou PLUS 500, výška nopu 8 mm</t>
  </si>
  <si>
    <t>1645272589</t>
  </si>
  <si>
    <t>998711102</t>
  </si>
  <si>
    <t>Presun hmôt pre izoláciu proti vode v objektoch výšky nad 6 do 12 m</t>
  </si>
  <si>
    <t>-482072200</t>
  </si>
  <si>
    <t>713132202</t>
  </si>
  <si>
    <t>Montáž tepelnej izolácie podzemných stien a základov polystyrénom celoplošným prilepením</t>
  </si>
  <si>
    <t>-1369090073</t>
  </si>
  <si>
    <t>2837653206</t>
  </si>
  <si>
    <t>EPS Perimeter špeciálny penový polystyrén hrúbka 100 mm</t>
  </si>
  <si>
    <t>1227926581</t>
  </si>
  <si>
    <t>-177293111</t>
  </si>
  <si>
    <t>767833100</t>
  </si>
  <si>
    <t>Montáž rebríkov do muriva s bočnicami z profilovej ocele, z rúrok alebo z tenkostenných profilov</t>
  </si>
  <si>
    <t>-1616315669</t>
  </si>
  <si>
    <t>5539545900a</t>
  </si>
  <si>
    <t>Rebrík vonkajší dl. 6650 mm</t>
  </si>
  <si>
    <t>-326970301</t>
  </si>
  <si>
    <t>767996801c</t>
  </si>
  <si>
    <t>Odstránenie oceľovej konštrukcie</t>
  </si>
  <si>
    <t>-1380994136</t>
  </si>
  <si>
    <t>998767102</t>
  </si>
  <si>
    <t>Presun hmôt pre kovové stavebné doplnkové konštrukcie v objektoch výšky nad 6 do 12 m</t>
  </si>
  <si>
    <t>958350083</t>
  </si>
  <si>
    <t>781732040a</t>
  </si>
  <si>
    <t>Montáž obkladov vonk. stien z obkladačiek do tmelu</t>
  </si>
  <si>
    <t>-1282542057</t>
  </si>
  <si>
    <t>5838523100</t>
  </si>
  <si>
    <t>Soklový obklad hr. 10 mm</t>
  </si>
  <si>
    <t>515373932</t>
  </si>
  <si>
    <t>998781102</t>
  </si>
  <si>
    <t>Presun hmôt pre obklady keramické v objektoch výšky nad 6 do 12 m</t>
  </si>
  <si>
    <t>1462305356</t>
  </si>
  <si>
    <t xml:space="preserve">    764 - Konštrukcie klampiarske</t>
  </si>
  <si>
    <t xml:space="preserve">    766 - Konštrukcie stolárske</t>
  </si>
  <si>
    <t>968061113</t>
  </si>
  <si>
    <t>Vyvesenie dreveného okenného krídla do suti plochy nad 1, 5 m2, -0,01600t</t>
  </si>
  <si>
    <t>-209073063</t>
  </si>
  <si>
    <t>968062246</t>
  </si>
  <si>
    <t>Vybúranie drevených rámov okien jednoduchých plochy do 4 m2,  -0,02700t</t>
  </si>
  <si>
    <t>1769892540</t>
  </si>
  <si>
    <t>968071126</t>
  </si>
  <si>
    <t>Vyvesenie kovového dverného krídla do suti plochy nad 2 m2</t>
  </si>
  <si>
    <t>-1143658965</t>
  </si>
  <si>
    <t>968072456</t>
  </si>
  <si>
    <t>Vybúranie kovových dverových zárubní plochy nad 2 m2,  -0,06300t</t>
  </si>
  <si>
    <t>1337282650</t>
  </si>
  <si>
    <t>1796363374</t>
  </si>
  <si>
    <t>431172589</t>
  </si>
  <si>
    <t>2125984337</t>
  </si>
  <si>
    <t>1465145645</t>
  </si>
  <si>
    <t>764410760</t>
  </si>
  <si>
    <t>Oplechovanie parapetov z hliníkového farebného Al plechu, vrátane rohov r.š. 420 mm</t>
  </si>
  <si>
    <t>203530833</t>
  </si>
  <si>
    <t>764410850</t>
  </si>
  <si>
    <t>Demontáž oplechovania parapetov rš od 100 do 330 mm,  -0,00135t</t>
  </si>
  <si>
    <t>-1364670085</t>
  </si>
  <si>
    <t>998764102</t>
  </si>
  <si>
    <t>Presun hmôt pre konštrukcie klampiarske v objektoch výšky nad 6 do 12 m</t>
  </si>
  <si>
    <t>-424014326</t>
  </si>
  <si>
    <t>766621400</t>
  </si>
  <si>
    <t>Montáž okien s hydroizolačnými ISO páskami (exteriérová a interiérová)</t>
  </si>
  <si>
    <t>1536431571</t>
  </si>
  <si>
    <t>2832301200</t>
  </si>
  <si>
    <t>Tesniaca fólia CX exteriér 70mm/30m, pre okenné konštrukcie</t>
  </si>
  <si>
    <t>587123000</t>
  </si>
  <si>
    <t>2832301240</t>
  </si>
  <si>
    <t>Tesniaca fólia CX interiér 70mm, pre okenné konštrukcie</t>
  </si>
  <si>
    <t>954099986</t>
  </si>
  <si>
    <t>611o1</t>
  </si>
  <si>
    <t>Okno plastvoé 600x1500 mm</t>
  </si>
  <si>
    <t>-721413079</t>
  </si>
  <si>
    <t>611O2</t>
  </si>
  <si>
    <t>Okno plastvoé 1200x1500 mm</t>
  </si>
  <si>
    <t>1715880605</t>
  </si>
  <si>
    <t>611o3</t>
  </si>
  <si>
    <t>Okno plastvoé 2400x4800 mm</t>
  </si>
  <si>
    <t>-1247492675</t>
  </si>
  <si>
    <t>766694142</t>
  </si>
  <si>
    <t>Montáž parapetnej dosky plastovej šírky do 300 mm, dĺžky 1000-1600 mm</t>
  </si>
  <si>
    <t>19804163</t>
  </si>
  <si>
    <t>6119000970</t>
  </si>
  <si>
    <t>Vnútorné parapetné dosky plastové B=250mm biela</t>
  </si>
  <si>
    <t>722331015</t>
  </si>
  <si>
    <t>6119001030</t>
  </si>
  <si>
    <t>Plastové krytky k vnútorným parapetom plastovým, pár vo farbe biela, zlatý dub, buk</t>
  </si>
  <si>
    <t>-656303544</t>
  </si>
  <si>
    <t>998766102</t>
  </si>
  <si>
    <t>Presun hmot pre konštrukcie stolárske v objektoch výšky nad 6 do 12 m</t>
  </si>
  <si>
    <t>699008029</t>
  </si>
  <si>
    <t xml:space="preserve">    1 - Zemné práce</t>
  </si>
  <si>
    <t xml:space="preserve">    2 - Zakladanie</t>
  </si>
  <si>
    <t>132211101</t>
  </si>
  <si>
    <t>Hĺbenie rýh šírky do 600 mm v  hornine tr.3 súdržných - ručným náradím</t>
  </si>
  <si>
    <t>m3</t>
  </si>
  <si>
    <t>586431701</t>
  </si>
  <si>
    <t>132211119</t>
  </si>
  <si>
    <t>Príplatok za lepivosť pri hĺbení rýh š do 600 mm ručným náradím v hornine tr. 3</t>
  </si>
  <si>
    <t>-1315743663</t>
  </si>
  <si>
    <t>171101101</t>
  </si>
  <si>
    <t>Uloženie sypaniny do násypu súdržnej horniny s mierou zhutnenia podľa Proctor-Standard na 95 %</t>
  </si>
  <si>
    <t>1154988117</t>
  </si>
  <si>
    <t>271573001</t>
  </si>
  <si>
    <t>Násyp pod základové  konštrukcie so zhutnením zo štrkopiesku fr.0-32 mm</t>
  </si>
  <si>
    <t>1425555089</t>
  </si>
  <si>
    <t>273313521</t>
  </si>
  <si>
    <t>Betón základových dosiek, prostý tr.C 12/15</t>
  </si>
  <si>
    <t>331799485</t>
  </si>
  <si>
    <t>289971211</t>
  </si>
  <si>
    <t>Zhotovenie vrstvy z geotextílie na upravenom povrchu v sklone do 1 : 5 , šírky od 0 do 3 m</t>
  </si>
  <si>
    <t>-70921532</t>
  </si>
  <si>
    <t>-254109462</t>
  </si>
  <si>
    <t>917832111</t>
  </si>
  <si>
    <t>Osadenie chodník. obrub. betón. stojatého bez bočnej opory z betónu prostého tr. C 10/12,5</t>
  </si>
  <si>
    <t>-219274733</t>
  </si>
  <si>
    <t>5921958060</t>
  </si>
  <si>
    <t>Betónový obrubník dl.1m</t>
  </si>
  <si>
    <t>354132258</t>
  </si>
  <si>
    <t>965042141</t>
  </si>
  <si>
    <t>Búranie podkladov pod dlažby, liatych dlažieb a mazanín,betón alebo liaty asfalt hr.do 100 mm, plochy nad 4 m2 -2,20000t</t>
  </si>
  <si>
    <t>-882548605</t>
  </si>
  <si>
    <t>965082920</t>
  </si>
  <si>
    <t>Odstránenie násypu pod podlahami alebo na strechách, hr.do 100 mm,  -1,40000t</t>
  </si>
  <si>
    <t>-1979187660</t>
  </si>
  <si>
    <t>-2086542414</t>
  </si>
  <si>
    <t>1967624392</t>
  </si>
  <si>
    <t>-2132629869</t>
  </si>
  <si>
    <t>443851522</t>
  </si>
  <si>
    <t>-1863385050</t>
  </si>
  <si>
    <t xml:space="preserve">    771 - Podlahy z dlaždíc</t>
  </si>
  <si>
    <t>632450467</t>
  </si>
  <si>
    <t>632451601</t>
  </si>
  <si>
    <t>Systém BASF - ochranný antikorózny náter (balkóny a lodžie) na výstuž EMACO Nanocrete AP hr. 1 mm</t>
  </si>
  <si>
    <t>632451612</t>
  </si>
  <si>
    <t>Systém BASF - sanácia betónových konštrukcií (balkóny a lodžie) maltou Prince Color K 40 hr. 10 mm</t>
  </si>
  <si>
    <t>938902071</t>
  </si>
  <si>
    <t>Očistenie povrchu betónových konštrukcií tlakovou vodou</t>
  </si>
  <si>
    <t>965042131</t>
  </si>
  <si>
    <t>Búranie podkladov pod dlažby, liatych dlažieb a mazanín,betón alebo liaty asfalt hr.do 100 mm, plochy do 4 m2 -2,20000t</t>
  </si>
  <si>
    <t>965081712</t>
  </si>
  <si>
    <t>Búranie dlažieb, bez podklad. lôžka z xylolit., alebo keramických dlaždíc hr. do 10 mm,  -0,02000t</t>
  </si>
  <si>
    <t>711131103a</t>
  </si>
  <si>
    <t>Zhotovenie  izolácie proti vlhkosti vodorovne, do lepidla</t>
  </si>
  <si>
    <t>5856051964</t>
  </si>
  <si>
    <t>BASF Obojstranne kašírovaný izolačný a drenážny polyetylénový pás pod keramicke dlažby PCI Pecilastic U</t>
  </si>
  <si>
    <t>711210200</t>
  </si>
  <si>
    <t>Zhotovenie dvojnásobnej izol. stierky balkónov a terás na ploche vodorovnej</t>
  </si>
  <si>
    <t>5856051355</t>
  </si>
  <si>
    <t>Izolačná stierka na báze cementu Prince Color Z 301 Super sivá</t>
  </si>
  <si>
    <t>5856051375a</t>
  </si>
  <si>
    <t>Samolepiaca butylová izolačná páska Prince Color Izol Butylband,  č. 45082762   BASF</t>
  </si>
  <si>
    <t>5859292060</t>
  </si>
  <si>
    <t>Sklotextilná mriežka 162 g/m2</t>
  </si>
  <si>
    <t>711210230</t>
  </si>
  <si>
    <t>Zhotovenie izolácie impregnáciou vodorovných povrchov keramických obkladov a dlažieb</t>
  </si>
  <si>
    <t>5856051040</t>
  </si>
  <si>
    <t>Penetračný náter Prince Color Multigrund PGM,  č. 51227616   BASF</t>
  </si>
  <si>
    <t>764322830</t>
  </si>
  <si>
    <t>Demontáž odkvapov na strechách s tvrdou krytinou bez podkladového plechu do 30° rš 400 mm,  -0,00320t</t>
  </si>
  <si>
    <t>764391210a</t>
  </si>
  <si>
    <t>Oplechovanie balkonov - okapový nos rš. 220 mm</t>
  </si>
  <si>
    <t>767163015</t>
  </si>
  <si>
    <t>5534667140</t>
  </si>
  <si>
    <t>771415004</t>
  </si>
  <si>
    <t>Montáž soklíkov z obkladačiek do tmelu veľ. 300 x 80 mm</t>
  </si>
  <si>
    <t>5978650820</t>
  </si>
  <si>
    <t>Keramický sokel, rozmer 298x80x8 mm</t>
  </si>
  <si>
    <t>771576105</t>
  </si>
  <si>
    <t>Montáž podláh z dlaždíc keramických do tmelu flexibilného mrazuvzdorného</t>
  </si>
  <si>
    <t>5978651270</t>
  </si>
  <si>
    <t>Mrazuvzdorná dlažba hr. 15 mm</t>
  </si>
  <si>
    <t>998771102</t>
  </si>
  <si>
    <t>Presun hmôt pre podlahy z dlaždíc v objektoch výšky nad 6 do 12 m</t>
  </si>
  <si>
    <t>Objekt 3 - Stavebná časť</t>
  </si>
  <si>
    <t>962031132</t>
  </si>
  <si>
    <t>Búranie priečok z tehál pálených, plných alebo dutých hr. do 150 mm,  -0,19600t</t>
  </si>
  <si>
    <t>34</t>
  </si>
  <si>
    <t>35</t>
  </si>
  <si>
    <t>36</t>
  </si>
  <si>
    <t xml:space="preserve">    3 - Zvislé a kompletné konštrukcie</t>
  </si>
  <si>
    <t>311271302</t>
  </si>
  <si>
    <t>Murivo nosné (m3) PREMAC 50x25x25 s betónovou výplňou hr. 250 mm</t>
  </si>
  <si>
    <t>311361825</t>
  </si>
  <si>
    <t>Výstuž pre murivo nosné PREMAC s betónovou výplňou z ocele 10505</t>
  </si>
  <si>
    <t>611o5</t>
  </si>
  <si>
    <t>Okno plastové  1500x1800 mm</t>
  </si>
  <si>
    <t>611D1</t>
  </si>
  <si>
    <t>Dvere plastvoé presklené 1000x2020 mm</t>
  </si>
  <si>
    <t>611D2</t>
  </si>
  <si>
    <t>Dvere plastové presklené 1500x2575 mm</t>
  </si>
  <si>
    <t>Spádový poter, spádová vrstva na balkónoch, lodžiách, terasách, hr. 30 mm</t>
  </si>
  <si>
    <t>-1585549591</t>
  </si>
  <si>
    <t>1143077634</t>
  </si>
  <si>
    <t>417007971</t>
  </si>
  <si>
    <t>-533282708</t>
  </si>
  <si>
    <t>399033181</t>
  </si>
  <si>
    <t>-1759280540</t>
  </si>
  <si>
    <t>-317507486</t>
  </si>
  <si>
    <t>890051675</t>
  </si>
  <si>
    <t>-1453504233</t>
  </si>
  <si>
    <t>1418875011</t>
  </si>
  <si>
    <t>1538156831</t>
  </si>
  <si>
    <t>-416752469</t>
  </si>
  <si>
    <t>-1551071683</t>
  </si>
  <si>
    <t>588438364</t>
  </si>
  <si>
    <t>-138854600</t>
  </si>
  <si>
    <t>1806074989</t>
  </si>
  <si>
    <t>-140736176</t>
  </si>
  <si>
    <t>-1585474459</t>
  </si>
  <si>
    <t>1383676879</t>
  </si>
  <si>
    <t>Montáž zábradlia hliníkového na balkóny, výplň bezpečnostné sklo, kotvenie do podlahy</t>
  </si>
  <si>
    <t>143675312</t>
  </si>
  <si>
    <t>Zábradlie na balkóny a lodžie, výplň bezpečnostné sklo 4.4.1 číre, výška do 120 cm, hliníkové eloxované madlo, kotvenie do podlahy, exteriérové</t>
  </si>
  <si>
    <t>-1252966494</t>
  </si>
  <si>
    <t>525788985</t>
  </si>
  <si>
    <t>-1238624594</t>
  </si>
  <si>
    <t>-1660885819</t>
  </si>
  <si>
    <t>-2060422142</t>
  </si>
  <si>
    <t>-1757625938</t>
  </si>
  <si>
    <t>2091808528</t>
  </si>
  <si>
    <t>-1302028457</t>
  </si>
  <si>
    <t>764239310</t>
  </si>
  <si>
    <t>Lemovanie zo zinkového Zn plechu, komínov v ploche ( podla výkazu K10 )</t>
  </si>
  <si>
    <t>764324053</t>
  </si>
  <si>
    <t>Oplechovanie z hliníkového plechu, komínov v ploche nad   1 m2 na strechách so syst. dvojitej drážky</t>
  </si>
  <si>
    <t>764430260</t>
  </si>
  <si>
    <t>Oplechovanie muriva a atík z pozinkovaného PZ plechu, vrátane rohov r.š. 700 mm ( K3 )</t>
  </si>
  <si>
    <t>611o7</t>
  </si>
  <si>
    <t>Okno plastvoé 1200x1800 mm</t>
  </si>
  <si>
    <t>611o6</t>
  </si>
  <si>
    <t>Okno plastvoé 900x1800 mm</t>
  </si>
  <si>
    <t>611o8</t>
  </si>
  <si>
    <t>Okno plastvoé 900x1200 mm</t>
  </si>
  <si>
    <t>611o9</t>
  </si>
  <si>
    <t>Okno plastvoé 3600x1600 mm</t>
  </si>
  <si>
    <t>611o10</t>
  </si>
  <si>
    <t>Okno platové 1200x600 mm</t>
  </si>
  <si>
    <t>611o11</t>
  </si>
  <si>
    <t>Okno plastové 900x900 mm</t>
  </si>
  <si>
    <t xml:space="preserve">    762 - Konštrukcie tesárske</t>
  </si>
  <si>
    <t>762712110</t>
  </si>
  <si>
    <t>Montáž priestorových viazaných konštrukcií z reziva hraneného prierezovej plochy do 120 cm2</t>
  </si>
  <si>
    <t>37</t>
  </si>
  <si>
    <t>6051594000</t>
  </si>
  <si>
    <t>Hranol mäkké rezivo smrekovec akosť 80x150mm</t>
  </si>
  <si>
    <t>Okno plastvoé 1425x2400 mm</t>
  </si>
  <si>
    <t>Dvere plastové presklené 1675x2500 mm</t>
  </si>
  <si>
    <t>SO 06 - Elektroinštalácia a osvetlenie</t>
  </si>
  <si>
    <t>Osvetlenie - Elektroinštalácia</t>
  </si>
  <si>
    <t>Úroveň 3:</t>
  </si>
  <si>
    <t>M - Práce a dodávky M</t>
  </si>
  <si>
    <t xml:space="preserve">    21-M - Elektromontáže</t>
  </si>
  <si>
    <t xml:space="preserve">    22-M - Montáže oznam. a zabezp. zariadení</t>
  </si>
  <si>
    <t xml:space="preserve">    95-M - Revízie</t>
  </si>
  <si>
    <t>VRN - Vedľajšie rozpočtové náklady</t>
  </si>
  <si>
    <t xml:space="preserve">    VRN04 - Projektové práce</t>
  </si>
  <si>
    <t xml:space="preserve">    VRN06 - Zariadenie staveniska</t>
  </si>
  <si>
    <t xml:space="preserve">    VRN09 - Vplyv územia</t>
  </si>
  <si>
    <t xml:space="preserve">    VRN10 - Inžinierska činnosť</t>
  </si>
  <si>
    <t>979087027</t>
  </si>
  <si>
    <t>Odvoz na skládku, demontovaných konštrukcií z plastických hmôt do 5000m</t>
  </si>
  <si>
    <t>87</t>
  </si>
  <si>
    <t>711712018</t>
  </si>
  <si>
    <t xml:space="preserve">Sekanie drážky do muriva búracím kladivom </t>
  </si>
  <si>
    <t>-55223545</t>
  </si>
  <si>
    <t>88</t>
  </si>
  <si>
    <t>prac.pol1</t>
  </si>
  <si>
    <t>Spätná rekonštrukcia povrchov</t>
  </si>
  <si>
    <t>2101638581</t>
  </si>
  <si>
    <t>89</t>
  </si>
  <si>
    <t>-1153699325</t>
  </si>
  <si>
    <t>91</t>
  </si>
  <si>
    <t>1425877046</t>
  </si>
  <si>
    <t>90</t>
  </si>
  <si>
    <t>-177195121</t>
  </si>
  <si>
    <t>92</t>
  </si>
  <si>
    <t>979089012</t>
  </si>
  <si>
    <t>Poplatok za skladovanie - betón, tehly, dlaždice (17 01 ), ostatné</t>
  </si>
  <si>
    <t>-944752161</t>
  </si>
  <si>
    <t>210010024</t>
  </si>
  <si>
    <t>Rúrka ohybná elektroinštalačná z PVC typ FXP 16, uložená pevne</t>
  </si>
  <si>
    <t>3450710200</t>
  </si>
  <si>
    <t>Rúrka FXP 16</t>
  </si>
  <si>
    <t>210010025</t>
  </si>
  <si>
    <t>Rúrka ohybná elektroinštalačná z PVC typ FXP 20, uložená pevne</t>
  </si>
  <si>
    <t>3412611002</t>
  </si>
  <si>
    <t>Rúrka ohybná FXP20</t>
  </si>
  <si>
    <t>210010027</t>
  </si>
  <si>
    <t>Rúrka ohybná elektroinštalačná z PVC typ FXP 32, uložená pevne</t>
  </si>
  <si>
    <t>3450710400</t>
  </si>
  <si>
    <t>Rúrka FXP 32</t>
  </si>
  <si>
    <t>210010030</t>
  </si>
  <si>
    <t>Rúrka ohybná elektroinštalačná z PVC typ FXP 63, uložená pevne</t>
  </si>
  <si>
    <t>3412611007</t>
  </si>
  <si>
    <t>Rúrka ohybná FXP63</t>
  </si>
  <si>
    <t>210010301</t>
  </si>
  <si>
    <t>Krabica prístrojová bez zapojenia (1901, KP 68, KZ 3)</t>
  </si>
  <si>
    <t>3450906510</t>
  </si>
  <si>
    <t>Krabica  KPR68</t>
  </si>
  <si>
    <t>3450921000</t>
  </si>
  <si>
    <t>Záves pre svietidlo Lambda (závesné lanko, baldachín a napájací biely kábel)</t>
  </si>
  <si>
    <t>3450632800</t>
  </si>
  <si>
    <t>Svorka WAGO 206-106</t>
  </si>
  <si>
    <t>2781001350</t>
  </si>
  <si>
    <t>Protipožiarny náterový tmel HILTI CP 673 12 kg 282686</t>
  </si>
  <si>
    <t>2781001400</t>
  </si>
  <si>
    <t>Protipožiarna malta HILTI CFS-M RG 20 kg 2018780</t>
  </si>
  <si>
    <t>210110041</t>
  </si>
  <si>
    <t>Spínače polozapustené a zapustené vrátane zapojenia jednopólový - radenie 1</t>
  </si>
  <si>
    <t>3450201270</t>
  </si>
  <si>
    <t>vypínač č.1 Legrand Valena white</t>
  </si>
  <si>
    <t>210110045</t>
  </si>
  <si>
    <t>Spínač polozapustený a zapustený vrátane zapojenia stried.prep.- radenie 6</t>
  </si>
  <si>
    <t>3450201520</t>
  </si>
  <si>
    <t>vypínač č.6 Legrand Valena white</t>
  </si>
  <si>
    <t>38</t>
  </si>
  <si>
    <t>4290046961</t>
  </si>
  <si>
    <t>1 rámik Legrand Valena white</t>
  </si>
  <si>
    <t>40</t>
  </si>
  <si>
    <t>4290046962</t>
  </si>
  <si>
    <t>2 rámik Legrand Valena white</t>
  </si>
  <si>
    <t>42</t>
  </si>
  <si>
    <t>210190001</t>
  </si>
  <si>
    <t>Montáž oceľoplechovej rozvodnice do váhy 20 kg</t>
  </si>
  <si>
    <t>44</t>
  </si>
  <si>
    <t>3570138800</t>
  </si>
  <si>
    <t>OEZ-DISTRISET DZ43-2405-EI30-120 MODULOV, VYHOTOVENIE: OCELOVÝ PLECH,ZAPUSTENÝ s výzbrojou</t>
  </si>
  <si>
    <t>46</t>
  </si>
  <si>
    <t>210201941</t>
  </si>
  <si>
    <t>Montáž svietidla zavesného do 1,0 kg</t>
  </si>
  <si>
    <t>48</t>
  </si>
  <si>
    <t>210201911</t>
  </si>
  <si>
    <t>Montáž svietidla interiérového na strop do 1,0 kg</t>
  </si>
  <si>
    <t>50</t>
  </si>
  <si>
    <t>3480571400</t>
  </si>
  <si>
    <t>Núdzové svietidlo VM, LED/3h, stropné zápustné, autotest SC</t>
  </si>
  <si>
    <t>52</t>
  </si>
  <si>
    <t>3480571390</t>
  </si>
  <si>
    <t>SVIETIDLO LED, IP20, 23W, 4000K, Tubus 292</t>
  </si>
  <si>
    <t>54</t>
  </si>
  <si>
    <t>210201920</t>
  </si>
  <si>
    <t>Montáž svietidla  na stenu do 0,5 kg</t>
  </si>
  <si>
    <t>56</t>
  </si>
  <si>
    <t>3480571470</t>
  </si>
  <si>
    <t>UX-PLAST 2 LED OPAL LED 1450lm/840 1x16W 80Ra, IP65</t>
  </si>
  <si>
    <t>58</t>
  </si>
  <si>
    <t>210201930</t>
  </si>
  <si>
    <t>Montáž svietidla na strop do 0,5 kg</t>
  </si>
  <si>
    <t>60</t>
  </si>
  <si>
    <t>3480571520</t>
  </si>
  <si>
    <t>AD-LAMBDA LED D-I L 50W 6350lm 4000K 80Ra, MONT. VÝŠKA 2,2m, IP20</t>
  </si>
  <si>
    <t>62</t>
  </si>
  <si>
    <t>210201952</t>
  </si>
  <si>
    <t>Montáž svietidla nudzového do 2 kg</t>
  </si>
  <si>
    <t>64</t>
  </si>
  <si>
    <t>3480571440</t>
  </si>
  <si>
    <t>SVIETIDLO STROPNÉ, UX-PLAST H LED M PRISMA 41W 5450lm 4000K 80Ra, IP44</t>
  </si>
  <si>
    <t>66</t>
  </si>
  <si>
    <t>210203060</t>
  </si>
  <si>
    <t>Montáž a zapojenie modulu s infračerveným senzorom PIR</t>
  </si>
  <si>
    <t>68</t>
  </si>
  <si>
    <t>3480570710</t>
  </si>
  <si>
    <t>Pohybové čidlo - 00460 - Aler JQ-30-W - 9m/165° - biele</t>
  </si>
  <si>
    <t>3480570780</t>
  </si>
  <si>
    <t>Pohybové čidlo infračervené- EST41-BI - 6m/360°/1200W/240V - biele</t>
  </si>
  <si>
    <t>72</t>
  </si>
  <si>
    <t>210220003</t>
  </si>
  <si>
    <t>zvod pri zatepľovacom systéme AlMgSi O 8</t>
  </si>
  <si>
    <t>74</t>
  </si>
  <si>
    <t>3450705700</t>
  </si>
  <si>
    <t>I-Rúrka FXP 32</t>
  </si>
  <si>
    <t>76</t>
  </si>
  <si>
    <t>39</t>
  </si>
  <si>
    <t>3451101900</t>
  </si>
  <si>
    <t>I-Príchytka S32 bledošedá</t>
  </si>
  <si>
    <t>78</t>
  </si>
  <si>
    <t>3544224100</t>
  </si>
  <si>
    <t>Územňovací vodič    ocelový žiarovo zinkovaný  označenie     O 10</t>
  </si>
  <si>
    <t>80</t>
  </si>
  <si>
    <t>41</t>
  </si>
  <si>
    <t>210220021</t>
  </si>
  <si>
    <t>Uzemňovacie vedenie v zemi FeZn vrátane izolácie spojov O 10mm</t>
  </si>
  <si>
    <t>82</t>
  </si>
  <si>
    <t>210220031</t>
  </si>
  <si>
    <t>Skušobná svorka SZ PAWBOL</t>
  </si>
  <si>
    <t>84</t>
  </si>
  <si>
    <t>43</t>
  </si>
  <si>
    <t>3410300258</t>
  </si>
  <si>
    <t>Ochranný uholník 1,7m, FeZn</t>
  </si>
  <si>
    <t>86</t>
  </si>
  <si>
    <t>210220050</t>
  </si>
  <si>
    <t>Označenie zvodov číselnými štítkami</t>
  </si>
  <si>
    <t>45</t>
  </si>
  <si>
    <t>3544247920</t>
  </si>
  <si>
    <t>Štítok orientačný 0, obj. č. EBL000000358; bleskozvodný a uzemňovací materiál</t>
  </si>
  <si>
    <t>210220094</t>
  </si>
  <si>
    <t>Bentonit pre zlepšenie uzemnenia</t>
  </si>
  <si>
    <t>47</t>
  </si>
  <si>
    <t>5812841200</t>
  </si>
  <si>
    <t>Bentonit mletý Sabenil 450</t>
  </si>
  <si>
    <t>94</t>
  </si>
  <si>
    <t>210220101</t>
  </si>
  <si>
    <t>Podpery vedenia FeZn na plochú strechu PV21</t>
  </si>
  <si>
    <t>96</t>
  </si>
  <si>
    <t>49</t>
  </si>
  <si>
    <t>3544217850</t>
  </si>
  <si>
    <t>Podpera vedenia na ploché strechy ocelová žiarovo zinkovaná  označenie  PV 21 oceľ</t>
  </si>
  <si>
    <t>98</t>
  </si>
  <si>
    <t>3544217900</t>
  </si>
  <si>
    <t>Podložka k podpere vedenia  plastová označenie podložka k PV 21</t>
  </si>
  <si>
    <t>100</t>
  </si>
  <si>
    <t>51</t>
  </si>
  <si>
    <t>210220240</t>
  </si>
  <si>
    <t>Svorka FeZn k uzemňovacej tyči  SJ</t>
  </si>
  <si>
    <t>102</t>
  </si>
  <si>
    <t>3544219000</t>
  </si>
  <si>
    <t>Svorka  k uzemňovacej tyči  ocelová žiarovo zinkovaná  označenie  SJ 02</t>
  </si>
  <si>
    <t>104</t>
  </si>
  <si>
    <t>53</t>
  </si>
  <si>
    <t>210290822</t>
  </si>
  <si>
    <t>Demontáž pôvodnej elektroinštalácie, rozvádzačov, svietidiel</t>
  </si>
  <si>
    <t>sub</t>
  </si>
  <si>
    <t>106</t>
  </si>
  <si>
    <t>210220246</t>
  </si>
  <si>
    <t>Svorka FeZn na odkvapový žľab SO</t>
  </si>
  <si>
    <t>108</t>
  </si>
  <si>
    <t>55</t>
  </si>
  <si>
    <t>3544219950</t>
  </si>
  <si>
    <t>Svorka  okapová  ocelová žiarovo zinkovaná  označenie  SO</t>
  </si>
  <si>
    <t>110</t>
  </si>
  <si>
    <t>210220281</t>
  </si>
  <si>
    <t>Uzemňovacia tyč FeZn  ZT nadstavovacia</t>
  </si>
  <si>
    <t>112</t>
  </si>
  <si>
    <t>57</t>
  </si>
  <si>
    <t>210220292</t>
  </si>
  <si>
    <t>Napínacia skrutka s okom včít. napnutia zvodu</t>
  </si>
  <si>
    <t>114</t>
  </si>
  <si>
    <t>3097029000</t>
  </si>
  <si>
    <t>Napínacie skrutky  8x70 mm  typ:  FSH 870</t>
  </si>
  <si>
    <t>116</t>
  </si>
  <si>
    <t>59</t>
  </si>
  <si>
    <t>210221031</t>
  </si>
  <si>
    <t>Tyč JP 30 zvodová bez osadenia 3m ZIN</t>
  </si>
  <si>
    <t>118</t>
  </si>
  <si>
    <t>3544246020</t>
  </si>
  <si>
    <t>120</t>
  </si>
  <si>
    <t>61</t>
  </si>
  <si>
    <t>210800226</t>
  </si>
  <si>
    <t>Vodič medený uložený pod omietkou CYKY  450/750 V  3x1,5mm2</t>
  </si>
  <si>
    <t>122</t>
  </si>
  <si>
    <t>3410350085</t>
  </si>
  <si>
    <t>CYKY 3x1,5    Kábel pre pevné uloženie, medený STN</t>
  </si>
  <si>
    <t>124</t>
  </si>
  <si>
    <t>63</t>
  </si>
  <si>
    <t>210800227</t>
  </si>
  <si>
    <t>Vodič medený uložený pod omietkou CYKY  450/750 V  3x2,5mm2</t>
  </si>
  <si>
    <t>126</t>
  </si>
  <si>
    <t>3410350086</t>
  </si>
  <si>
    <t>CYKY 3x2,5    Kábel pre pevné uloženie, medený STN</t>
  </si>
  <si>
    <t>128</t>
  </si>
  <si>
    <t>65</t>
  </si>
  <si>
    <t>210800239</t>
  </si>
  <si>
    <t>Vodič medený uložený pod omietkou CYKY  450/750 V  5x2,5mm2</t>
  </si>
  <si>
    <t>130</t>
  </si>
  <si>
    <t>3410350098</t>
  </si>
  <si>
    <t>CYKY 5x2,5    Kábel pre pevné uloženie, medený STN</t>
  </si>
  <si>
    <t>132</t>
  </si>
  <si>
    <t>67</t>
  </si>
  <si>
    <t>210881104</t>
  </si>
  <si>
    <t>Kábel CYKY-J 5x25 medený uložený pevne N2XH 0,6/1,0 kV  5x10</t>
  </si>
  <si>
    <t>134</t>
  </si>
  <si>
    <t>3410350893</t>
  </si>
  <si>
    <t>Kábel CYKY-J 5x25</t>
  </si>
  <si>
    <t>136</t>
  </si>
  <si>
    <t>220260317</t>
  </si>
  <si>
    <t>Preverenie existujúcej rozvodne NN, skúšky merania, analýza zapojenia</t>
  </si>
  <si>
    <t>138</t>
  </si>
  <si>
    <t>71</t>
  </si>
  <si>
    <t>3544199616</t>
  </si>
  <si>
    <t>Preinštalovanie existujúcej rozvodne NN, spätné zapojenie aktívnych vývodov</t>
  </si>
  <si>
    <t>140</t>
  </si>
  <si>
    <t>3544222600</t>
  </si>
  <si>
    <t>Uzemňovacia tyč nadstavovacia ocelová žiarovo zinkovaná  označenie  ZT 1 d. O 20, 2 m</t>
  </si>
  <si>
    <t>142</t>
  </si>
  <si>
    <t>950106013</t>
  </si>
  <si>
    <t>Preverenie existujuúcej inštalácie</t>
  </si>
  <si>
    <t>144</t>
  </si>
  <si>
    <t>77</t>
  </si>
  <si>
    <t>000400022</t>
  </si>
  <si>
    <t>Projektové práce - stavebná časť (stavebné objekty vrátane ich technického vybavenia). náklady na dokumentáciu skutočného zhotovenia stavby</t>
  </si>
  <si>
    <t>eur</t>
  </si>
  <si>
    <t>146</t>
  </si>
  <si>
    <t>79</t>
  </si>
  <si>
    <t>000600018</t>
  </si>
  <si>
    <t>Zariadenie staveniska - prevádzkové prípojka elektrického prúdu</t>
  </si>
  <si>
    <t>148</t>
  </si>
  <si>
    <t>000600022</t>
  </si>
  <si>
    <t>Zariadenie staveniska - prevádzkové osvetlenie pracoviska</t>
  </si>
  <si>
    <t>150</t>
  </si>
  <si>
    <t>83</t>
  </si>
  <si>
    <t>001000011</t>
  </si>
  <si>
    <t>Inžinierska činnosť - dozory autorský dozor projektanta</t>
  </si>
  <si>
    <t>152</t>
  </si>
  <si>
    <t>001000012</t>
  </si>
  <si>
    <t>Inžinierska činnosť - dozory technický dozor investora</t>
  </si>
  <si>
    <t>154</t>
  </si>
  <si>
    <t>85</t>
  </si>
  <si>
    <t>001000021</t>
  </si>
  <si>
    <t>Inžinierska činnosť - posudky svetlo - technický posudok</t>
  </si>
  <si>
    <t>156</t>
  </si>
  <si>
    <t>001000034</t>
  </si>
  <si>
    <t>Inžinierska činnosť - skúšky a revízie ostatné skúšky</t>
  </si>
  <si>
    <t>158</t>
  </si>
  <si>
    <t>256</t>
  </si>
  <si>
    <t>N00 - Nepomenované práce</t>
  </si>
  <si>
    <t xml:space="preserve">    N01 - Nepomenovaný diel</t>
  </si>
  <si>
    <t xml:space="preserve">    VRN07 - Dopravné náklady</t>
  </si>
  <si>
    <t xml:space="preserve">    VRN13 - Kompletačná a koordinačná činnosť</t>
  </si>
  <si>
    <t>210020931</t>
  </si>
  <si>
    <t>Protipožiarna upchávka do rozvádzačov, priechod stropom, podlahou, stenou, do 150 mm hrúbky bez vane</t>
  </si>
  <si>
    <t>210100002</t>
  </si>
  <si>
    <t>Ukončenie vodičov v rozvádzač. vrátane zapojenia a vodičovej koncovky do 6 mm2</t>
  </si>
  <si>
    <t>3452104900</t>
  </si>
  <si>
    <t>G-Káblové oko CU   4x4  KU-L</t>
  </si>
  <si>
    <t>210120003</t>
  </si>
  <si>
    <t>Odpínače valcových poistkových vložiek 10 x 38 jednopólové do 32 A</t>
  </si>
  <si>
    <t>3580760763</t>
  </si>
  <si>
    <t>Poistková vložka PV14 16A gG</t>
  </si>
  <si>
    <t>3850009070</t>
  </si>
  <si>
    <t>HRN-54N 3x400 V/230, napäťové relé 3f, ELKO EP</t>
  </si>
  <si>
    <t>3410360650</t>
  </si>
  <si>
    <t>Stýkač inštalačný 40A 2N/O cievka 230V</t>
  </si>
  <si>
    <t>3580760819</t>
  </si>
  <si>
    <t>Odpínač valcových poistiek OPVA10-1</t>
  </si>
  <si>
    <t>210130103</t>
  </si>
  <si>
    <t>Stýkač dvojpólový na DIN lištu do 63 A</t>
  </si>
  <si>
    <t>210190002</t>
  </si>
  <si>
    <t>Montáž oceľoplechovej rozvodnice do váhy 50 kg</t>
  </si>
  <si>
    <t>3570221200</t>
  </si>
  <si>
    <t>Rozvodnica Mi -71213</t>
  </si>
  <si>
    <t>3890110000</t>
  </si>
  <si>
    <t>Elektromer ET 414 D 20/80A</t>
  </si>
  <si>
    <t>3464101240</t>
  </si>
  <si>
    <t>Skrutka 6,3x2,5</t>
  </si>
  <si>
    <t>2781001110</t>
  </si>
  <si>
    <t>Protipožiarna speňujúca páska HILTI CP 648-S-90/3 dĺžka 0,311 m 304299</t>
  </si>
  <si>
    <t>210411181</t>
  </si>
  <si>
    <t>Montáž prepäťovej ochrany</t>
  </si>
  <si>
    <t>210501015</t>
  </si>
  <si>
    <t>Montáž kotevného systému pre rošt na fotovoltaické panely na plochej streche</t>
  </si>
  <si>
    <t>súb.</t>
  </si>
  <si>
    <t>3464101160</t>
  </si>
  <si>
    <t>Hliníková konštrukcia na plochú strechu 20°, zváraná</t>
  </si>
  <si>
    <t>5921954380</t>
  </si>
  <si>
    <t>Premac  OBRUBNÍK CESTNÝ - BARIEROVÝ 500/290 - BROKOVANÝ</t>
  </si>
  <si>
    <t>210501100</t>
  </si>
  <si>
    <t>Montáž fotovolataického panela na rošt</t>
  </si>
  <si>
    <t>3464101330</t>
  </si>
  <si>
    <t>Fotovoltaický polykryštalický strešný panel</t>
  </si>
  <si>
    <t>210501202</t>
  </si>
  <si>
    <t>Montáž a zapojenie String Boxu in/out 3/3</t>
  </si>
  <si>
    <t>3464101410</t>
  </si>
  <si>
    <t>Solar String Box  in/out 3/3xDC string, IP65, s prepäťovou ochranou</t>
  </si>
  <si>
    <t>210501251</t>
  </si>
  <si>
    <t>Montáž a zapojenie meniča napätia trojfázového z DC/AC</t>
  </si>
  <si>
    <t>3464101510</t>
  </si>
  <si>
    <t>Solárny menič trojfázový - STP 15000TL-15kWp</t>
  </si>
  <si>
    <t>210800122</t>
  </si>
  <si>
    <t>Kábel medený uložený voľne CYKY 450/750 V 5x6</t>
  </si>
  <si>
    <t>3410350100</t>
  </si>
  <si>
    <t>CYKY 5x6    Kábel pre pevné uloženie, medený STN</t>
  </si>
  <si>
    <t>3410350710</t>
  </si>
  <si>
    <t>UL 1015  AWG6   Flexibilný kábel</t>
  </si>
  <si>
    <t>210800613</t>
  </si>
  <si>
    <t>Vodič medený uložený voľne H07V-K (CYA)  450/750 V 6</t>
  </si>
  <si>
    <t>3410350554</t>
  </si>
  <si>
    <t>H07V-K 6    Flexibilný kábel harmonizovaný</t>
  </si>
  <si>
    <t>210800628</t>
  </si>
  <si>
    <t>Fotovoltaický kabel AWG 6</t>
  </si>
  <si>
    <t>998921201</t>
  </si>
  <si>
    <t>Presun hmôt pre montáž silnoprúdových rozvodov a zariadení v stavbe (objekte) výšky do 7 m</t>
  </si>
  <si>
    <t>%</t>
  </si>
  <si>
    <t>262144</t>
  </si>
  <si>
    <t>000400013</t>
  </si>
  <si>
    <t>Projektové práce - príprava verejnej práce náklady na dokumentáciu pre stavebné povolenie</t>
  </si>
  <si>
    <t>000400041</t>
  </si>
  <si>
    <t>Projektové práce - náklady na inžiniersko technickú pomoc bez rozlíšenia</t>
  </si>
  <si>
    <t>000700021</t>
  </si>
  <si>
    <t>Dopravné náklady - mimoriadne sťažené dopravné podmienky použitie mimoriadnych dopravných prostriedkov</t>
  </si>
  <si>
    <t>001300011</t>
  </si>
  <si>
    <t>Kompletačná a koordinačná činnosť - Revízia</t>
  </si>
  <si>
    <t xml:space="preserve">Objekt 1 - </t>
  </si>
  <si>
    <t xml:space="preserve">Objket 2 - </t>
  </si>
  <si>
    <t xml:space="preserve">Objekt 3 - </t>
  </si>
  <si>
    <t xml:space="preserve">Objekt 4 - </t>
  </si>
  <si>
    <t>Pol124</t>
  </si>
  <si>
    <t>Montážny materiál</t>
  </si>
  <si>
    <t>Pol123</t>
  </si>
  <si>
    <t>Závesný a kotviaci materiál</t>
  </si>
  <si>
    <t>Pol122</t>
  </si>
  <si>
    <t>Spojovací a tesniaci materiál</t>
  </si>
  <si>
    <t>Pol165</t>
  </si>
  <si>
    <t>Tepelná izolácia vnútorného kruhového potrubia K-FLEX hr=15mm</t>
  </si>
  <si>
    <t>Pol164</t>
  </si>
  <si>
    <t>Potrubie VZT kruhové typ Spiro Do priemeru 100 mm</t>
  </si>
  <si>
    <t>Pol163</t>
  </si>
  <si>
    <t>Potrubie VZT kruhové typ Spiro Do priemeru 315 mm</t>
  </si>
  <si>
    <t>Pol118</t>
  </si>
  <si>
    <t>Odvodný tanierový ventil D=100 mm</t>
  </si>
  <si>
    <t>Pol117</t>
  </si>
  <si>
    <t>Prívodný tanierový ventil D=100 mm</t>
  </si>
  <si>
    <t>Pol162</t>
  </si>
  <si>
    <t>Prívodná hranatá výustka IMOS NOVA-C-1-300x100</t>
  </si>
  <si>
    <t>Pol161</t>
  </si>
  <si>
    <t>Odvodná hranatá výustka IMOS NOVA-C-1-500x100</t>
  </si>
  <si>
    <t>Pol160</t>
  </si>
  <si>
    <t>Elektrodesign TWG-PRO 315/315 prechod na kruhové potrubie</t>
  </si>
  <si>
    <t>Pol159</t>
  </si>
  <si>
    <t>Protidažďová žalúzia Elektrodesign TWG 315</t>
  </si>
  <si>
    <t>Pol158</t>
  </si>
  <si>
    <t>Tlmič hluku - kruhový IMOS LDC-315-900</t>
  </si>
  <si>
    <t>Pol157</t>
  </si>
  <si>
    <t>Rýchloupínacia spona Systemair typ FK 315</t>
  </si>
  <si>
    <t>Pol156</t>
  </si>
  <si>
    <t>Spätná klapka Systemair typ RSK 315</t>
  </si>
  <si>
    <t>Pol109</t>
  </si>
  <si>
    <t>Rekuperačná podstropná, závesná VZT jednotka</t>
  </si>
  <si>
    <t>Pol125</t>
  </si>
  <si>
    <t>Rekuperačná stojatá (závesná) VZT jednotka</t>
  </si>
  <si>
    <t>Pol166</t>
  </si>
  <si>
    <t>Rýchloupínacia spona Systemair typ FK 200</t>
  </si>
  <si>
    <t>Pol167</t>
  </si>
  <si>
    <t>Protidažďová žalúzia Elektrodesign TWG 200</t>
  </si>
  <si>
    <t>Pol168</t>
  </si>
  <si>
    <t>Elektrodesign TWG-PRO 200/200 prechod na kruhové potrubie</t>
  </si>
  <si>
    <t>Pol169</t>
  </si>
  <si>
    <t>Potrubie VZT kruhové typ Spiro Do priemeru 200 mm</t>
  </si>
  <si>
    <t>Pol170</t>
  </si>
  <si>
    <t>Tepelná izolácia vnútorného kruhového potrubia*K-FLEX hr=15mm</t>
  </si>
  <si>
    <t>Pol132</t>
  </si>
  <si>
    <t>Pol133</t>
  </si>
  <si>
    <t>Pol134</t>
  </si>
  <si>
    <t>Pol143</t>
  </si>
  <si>
    <t>Pol144</t>
  </si>
  <si>
    <t>Pol145</t>
  </si>
  <si>
    <t>Pol149</t>
  </si>
  <si>
    <t>Pol150</t>
  </si>
  <si>
    <t>Pol151</t>
  </si>
  <si>
    <t>Výrobca</t>
  </si>
  <si>
    <t>GEOTEX</t>
  </si>
  <si>
    <t>Tatratex PP 400</t>
  </si>
  <si>
    <t>ISOVER</t>
  </si>
  <si>
    <t>BASF</t>
  </si>
  <si>
    <t>PREMAC</t>
  </si>
  <si>
    <t>BAUMIT</t>
  </si>
  <si>
    <t>UniPrimer</t>
  </si>
  <si>
    <t>KNAUF</t>
  </si>
  <si>
    <t>FKD S Thermal</t>
  </si>
  <si>
    <t>EPS Perimeter</t>
  </si>
  <si>
    <t>TF Profi</t>
  </si>
  <si>
    <t>SL 12</t>
  </si>
  <si>
    <t>WEBER-TERRRANOVA</t>
  </si>
  <si>
    <t>rohový profil</t>
  </si>
  <si>
    <t>nadokenný profil</t>
  </si>
  <si>
    <t>parapetný profil</t>
  </si>
  <si>
    <t>ONDULINE</t>
  </si>
  <si>
    <t>Fondaline Plus 500</t>
  </si>
  <si>
    <t>RAKO</t>
  </si>
  <si>
    <t>keramické obkladačky</t>
  </si>
  <si>
    <t>FERRMONT</t>
  </si>
  <si>
    <t>rebrík vonkajší</t>
  </si>
  <si>
    <t>SCHOMBURG</t>
  </si>
  <si>
    <t>Aquafin-2K</t>
  </si>
  <si>
    <t>Silikon Top</t>
  </si>
  <si>
    <t>ALLMEDIA</t>
  </si>
  <si>
    <t>fólia CX exterier</t>
  </si>
  <si>
    <t>fólia CX interier</t>
  </si>
  <si>
    <t>SLOVAKTUAL</t>
  </si>
  <si>
    <t>okno plastové izolačné trojsklo</t>
  </si>
  <si>
    <t>WERZALIT</t>
  </si>
  <si>
    <t>parapetná doska plastová</t>
  </si>
  <si>
    <t>krytka plastová</t>
  </si>
  <si>
    <t>obrubník betónový</t>
  </si>
  <si>
    <t>Emaco Nanocrete AP</t>
  </si>
  <si>
    <t>Prince Color K40</t>
  </si>
  <si>
    <t>PCI Pecilastic U</t>
  </si>
  <si>
    <t>Prince Color Z 301 Super</t>
  </si>
  <si>
    <t>Prince Color Izol Butylband</t>
  </si>
  <si>
    <t>sklotextilná mriežka</t>
  </si>
  <si>
    <t>Prince Color Multigrund PGM</t>
  </si>
  <si>
    <t>keramický obklad</t>
  </si>
  <si>
    <t>FAWO</t>
  </si>
  <si>
    <t>Al zábradlie, výplň bezpeč.sklo 4.4.1 číre</t>
  </si>
  <si>
    <t>systémový balkónový profil</t>
  </si>
  <si>
    <t>DIETZEL</t>
  </si>
  <si>
    <t>FXP 16</t>
  </si>
  <si>
    <t>KOPOS</t>
  </si>
  <si>
    <t>KPR 68</t>
  </si>
  <si>
    <t>OMS</t>
  </si>
  <si>
    <t>zaves Lambda</t>
  </si>
  <si>
    <t>WAGO</t>
  </si>
  <si>
    <t>svorka 206-106</t>
  </si>
  <si>
    <t>HILTY</t>
  </si>
  <si>
    <t>CP 673</t>
  </si>
  <si>
    <t>CFS-M RG</t>
  </si>
  <si>
    <t>LEGRAND</t>
  </si>
  <si>
    <t>Valena</t>
  </si>
  <si>
    <t>OEZ Distriset</t>
  </si>
  <si>
    <t>DZ43-2405-EI30-120</t>
  </si>
  <si>
    <t>SCHRACK TECHNIK</t>
  </si>
  <si>
    <t>VM</t>
  </si>
  <si>
    <t>Tubus 292</t>
  </si>
  <si>
    <t>UX-PLAST 2</t>
  </si>
  <si>
    <t>AD Lambda</t>
  </si>
  <si>
    <t>UX-PLAST H</t>
  </si>
  <si>
    <t>KANLUX</t>
  </si>
  <si>
    <t>Aler JQ-30-W</t>
  </si>
  <si>
    <t>EST41-BI</t>
  </si>
  <si>
    <t>S 32</t>
  </si>
  <si>
    <t>O 10</t>
  </si>
  <si>
    <t>ZIN</t>
  </si>
  <si>
    <t>OU 1,7</t>
  </si>
  <si>
    <t>štítok orient.O</t>
  </si>
  <si>
    <t>SZ PAWBOL</t>
  </si>
  <si>
    <t>KERAMOST</t>
  </si>
  <si>
    <t>Sabenil 450</t>
  </si>
  <si>
    <t>PV 21</t>
  </si>
  <si>
    <t>podložka k PV 21</t>
  </si>
  <si>
    <t>SJ 02</t>
  </si>
  <si>
    <t>SO</t>
  </si>
  <si>
    <t>FSH 870</t>
  </si>
  <si>
    <t>JP 30</t>
  </si>
  <si>
    <t>VUKI</t>
  </si>
  <si>
    <t>CYKY</t>
  </si>
  <si>
    <t>Schneider Elektric</t>
  </si>
  <si>
    <t>ZT 1</t>
  </si>
  <si>
    <t>montážny mat.</t>
  </si>
  <si>
    <t>zavesy, kotvy</t>
  </si>
  <si>
    <t>spojovací mat.</t>
  </si>
  <si>
    <t>K-FLEX</t>
  </si>
  <si>
    <t>tepelná izol.</t>
  </si>
  <si>
    <t>KLIMAT</t>
  </si>
  <si>
    <t>Spiro 100</t>
  </si>
  <si>
    <t>Spiro 315</t>
  </si>
  <si>
    <t>KSO 100</t>
  </si>
  <si>
    <t>Elektrodesign</t>
  </si>
  <si>
    <t>KI,KIC 100</t>
  </si>
  <si>
    <t>SYSTEMAIR</t>
  </si>
  <si>
    <t>NOVA-C-1</t>
  </si>
  <si>
    <t>TWG 315</t>
  </si>
  <si>
    <t>TWG-PRO 315</t>
  </si>
  <si>
    <t>LDC 315-900</t>
  </si>
  <si>
    <t>FK 315</t>
  </si>
  <si>
    <t>RSK 315</t>
  </si>
  <si>
    <t>Topvex FR03EL</t>
  </si>
  <si>
    <t>SAVE VTR 500L</t>
  </si>
  <si>
    <t>TWG 200</t>
  </si>
  <si>
    <t>TWG-PRO 200</t>
  </si>
  <si>
    <t>Spiro 200</t>
  </si>
  <si>
    <t>obrubník cestný</t>
  </si>
  <si>
    <t>MOSER BAER SOLAR</t>
  </si>
  <si>
    <t>FK 200</t>
  </si>
  <si>
    <t>4x4 KU-L</t>
  </si>
  <si>
    <t>FRONIUS</t>
  </si>
  <si>
    <t>Solivia</t>
  </si>
  <si>
    <t>ABB</t>
  </si>
  <si>
    <t>OEZ</t>
  </si>
  <si>
    <t>PV 14</t>
  </si>
  <si>
    <t>ELKAPO</t>
  </si>
  <si>
    <t>HRN-54N</t>
  </si>
  <si>
    <t>OPVA10-1</t>
  </si>
  <si>
    <t>40A 2N/O</t>
  </si>
  <si>
    <t>HENSEL</t>
  </si>
  <si>
    <t>Mi 71213</t>
  </si>
  <si>
    <t>KŘÍŽIK</t>
  </si>
  <si>
    <t>ET 414</t>
  </si>
  <si>
    <t>string box in/out 3/3</t>
  </si>
  <si>
    <t>polykryštalický panel</t>
  </si>
  <si>
    <t xml:space="preserve">VUKI </t>
  </si>
  <si>
    <t>HO7V-K</t>
  </si>
  <si>
    <t>ECHU</t>
  </si>
  <si>
    <t xml:space="preserve">UL 1015 </t>
  </si>
  <si>
    <t>GPH</t>
  </si>
  <si>
    <t>skrutka</t>
  </si>
  <si>
    <t>CP 648-S</t>
  </si>
  <si>
    <t>SOLARTEC</t>
  </si>
  <si>
    <t>hliníkova konštrukcia</t>
  </si>
  <si>
    <t>Množstvo Objekt 1</t>
  </si>
  <si>
    <t>Množstvo Objekt 2</t>
  </si>
  <si>
    <t>Množstvo Objekt 3</t>
  </si>
  <si>
    <t>Množstvo Objekt 4</t>
  </si>
  <si>
    <t>Množstvo Objekt 5</t>
  </si>
  <si>
    <t>Cena celkom [EUR] 
Objekt 1</t>
  </si>
  <si>
    <t>J.cena [EUR]
Objekt 1</t>
  </si>
  <si>
    <t>J.cena [EUR]
Objekt 2</t>
  </si>
  <si>
    <t>Cena celkom [EUR] 
Objekt 2</t>
  </si>
  <si>
    <t>J.cena [EUR]
Objekt 3</t>
  </si>
  <si>
    <t>Cena celkom [EUR] 
Objekt 3</t>
  </si>
  <si>
    <t>J.cena [EUR]
Objekt 4</t>
  </si>
  <si>
    <t>Cena celkom [EUR] 
Objekt 4</t>
  </si>
  <si>
    <t>J.cena [EUR]
Objekt 5</t>
  </si>
  <si>
    <t>Cena celkom [EUR] 
Objekt 5</t>
  </si>
  <si>
    <t>5a</t>
  </si>
  <si>
    <t>15a</t>
  </si>
  <si>
    <t>Množstvo Celkom</t>
  </si>
  <si>
    <t>Cena celkom [EUR] 
Všetky objekty</t>
  </si>
  <si>
    <t xml:space="preserve">J.cena [EUR]
</t>
  </si>
  <si>
    <t>Sanácie balkónov</t>
  </si>
  <si>
    <t>764321840</t>
  </si>
  <si>
    <t>Demontáž oplechovania ríms pod nadrímsovým žľabom vrátane podkladového plechu, do 30° rš 750 mm,  -0,00580t</t>
  </si>
  <si>
    <t>764359301</t>
  </si>
  <si>
    <t>Montáž žľabu z pozinkovaného PZ plechu, pododkvapové polkruhové r.š. 200 - 400 mm</t>
  </si>
  <si>
    <t>764359311</t>
  </si>
  <si>
    <t>Montáž príslušenstva k žľabom z pozinkovaného PZ plechu, čelo k pododkvapovým polkruhovým r.š. 200 - 400 mm</t>
  </si>
  <si>
    <t>764359341</t>
  </si>
  <si>
    <t>Montáž príslušenstva k žľabom z pozinkovaného PZ plechu, hák k pododkvapovým polkruhovým r.š. 200 - 400 mm</t>
  </si>
  <si>
    <t>764359386</t>
  </si>
  <si>
    <t>Montáž zberného kotlíka z pozinkovaného PZ plechu, pre rúry s priemerom do 120 mm</t>
  </si>
  <si>
    <t>440034200</t>
  </si>
  <si>
    <t>Žľab Z 33 pododkvapový pozink, r.š. 330 mm dĺ. 2000, 3000, 4000, 5000, 6000 mm, KJG</t>
  </si>
  <si>
    <t>440035000</t>
  </si>
  <si>
    <t>Čelo lisované pozink CL 33, rozmer 330 mm, KJG</t>
  </si>
  <si>
    <t>764359331</t>
  </si>
  <si>
    <t>Montáž príslušenstva k žľabom z pozinkovaného PZ plechu, roh k pododkvapovým polkruhovým r.š. 200 - 400 mm</t>
  </si>
  <si>
    <t>440036700</t>
  </si>
  <si>
    <t>Roh lisovaný pozink RI 33 vnútorný, RA 33 vonkajší, r.š. 330 mm, KJG</t>
  </si>
  <si>
    <t>440037300</t>
  </si>
  <si>
    <t>Hák s prelisom pozink HP 33/550 30/5, r.š. 330 mm, štandard, KJG</t>
  </si>
  <si>
    <t>440041200</t>
  </si>
  <si>
    <t>Kotlík zberný pozink KLZ 120, rozmer 120 mm, KJG</t>
  </si>
  <si>
    <t>764359391</t>
  </si>
  <si>
    <t>Montáž ochranného kôša strešného vpustu z pozinkovaného plechu pre rúry s priemerom do 150 mm</t>
  </si>
  <si>
    <t>440043000</t>
  </si>
  <si>
    <t>Zachytávač nečistôt pozink ZN 120, priemer 120 mm, KJG</t>
  </si>
  <si>
    <t>764454234</t>
  </si>
  <si>
    <t>Montáž kruhových kolien z pozinkovaného PZ plechu, pre zvodové rúry s priemerom 60 - 150 mm</t>
  </si>
  <si>
    <t>440039200</t>
  </si>
  <si>
    <t>Koleno lisované pozink K 100, 72°, priemer 100 mm, KJG</t>
  </si>
  <si>
    <t>764454241</t>
  </si>
  <si>
    <t>Montáž objímky zatĺkacej z pozinkovaného PZ plechu, pre kruhové zvodové rúry s priemerom 60 - 150 mm</t>
  </si>
  <si>
    <t>440041500</t>
  </si>
  <si>
    <t>Objímka lisovaná pozink OD 100 - hrot 200 mm, priemer 100 mm, KJG</t>
  </si>
  <si>
    <t>Zvodové rúry z pozinkovaného PZ plechu, kruhové priemer 100 mm</t>
  </si>
  <si>
    <t>764454253</t>
  </si>
  <si>
    <t>764391220</t>
  </si>
  <si>
    <t>Záveterná lišta z pozinkovaného PZ plechu, r.š. 330 mm</t>
  </si>
  <si>
    <t>VP bez DPH [EUR]</t>
  </si>
  <si>
    <t>VP_D1</t>
  </si>
  <si>
    <t>Dvere plastové presklené 1500x2600 mm</t>
  </si>
  <si>
    <t>VP_D2</t>
  </si>
  <si>
    <t>VP_O1</t>
  </si>
  <si>
    <t>VP_D3</t>
  </si>
  <si>
    <t xml:space="preserve"> Celková cena bez DPH [EUR]</t>
  </si>
  <si>
    <t>VP_O2</t>
  </si>
  <si>
    <t>784 - Dokončovacie práce - Maľby</t>
  </si>
  <si>
    <t>784410100</t>
  </si>
  <si>
    <t>Penetrovanie jednonásobné jemnozrnných podkladov výšky do 3,80 m</t>
  </si>
  <si>
    <t>784430010</t>
  </si>
  <si>
    <t>Maľby akrylátové základné dvojnásobné, ručne nanášané na jemnozrnný podklad výšky do 3,80 m</t>
  </si>
  <si>
    <t>784441110</t>
  </si>
  <si>
    <t>Maľby latexové tónované dvojnásobné ručne nanášané na jemnozrnný podklad výšky do 3,80 m</t>
  </si>
  <si>
    <t>Zvislá dopravademontovaných hmôt za prvé podlažie nad alebo pod základným podlažím</t>
  </si>
  <si>
    <t>Odvoz demontovaných hmôt na skládku do 1 km</t>
  </si>
  <si>
    <t>Odvoz demontovaných hmôt na skládku za každý ďalší 1 km</t>
  </si>
  <si>
    <t>979087213</t>
  </si>
  <si>
    <t>Nakladanie na dopravné prostriedky pre vodorovnú dopravu demontovaných hmôt</t>
  </si>
  <si>
    <t>979089612</t>
  </si>
  <si>
    <t>Poplatok za skladovanie - iné odpady zo stavieb a demolácií (17 09), ostatné</t>
  </si>
  <si>
    <t>979093111</t>
  </si>
  <si>
    <t>Uloženie odpadu na skládku s hrubým urovnaním bez zhutnenia</t>
  </si>
  <si>
    <t xml:space="preserve">    734 - Ústredné kúrenie, armatúry.</t>
  </si>
  <si>
    <t>734211111</t>
  </si>
  <si>
    <t>Ventil odvzdušňovací závitový vykurovacích telies do G 3/8</t>
  </si>
  <si>
    <t>734223120</t>
  </si>
  <si>
    <t xml:space="preserve">Montáž ventilu závitového termostatického rohového jednoregulačného G 1/2 </t>
  </si>
  <si>
    <t>5518100022</t>
  </si>
  <si>
    <t>Termostatický ventil priamy dvojregulačný s prednastavením, 1/2", PN 10, niklovaná mosadz OT 58</t>
  </si>
  <si>
    <t xml:space="preserve">IVAR </t>
  </si>
  <si>
    <t>VD 2010 D</t>
  </si>
  <si>
    <t>734223208</t>
  </si>
  <si>
    <t>Montáž termostatickej hlavice kvapalinovej jednoduchej</t>
  </si>
  <si>
    <t>5518100016</t>
  </si>
  <si>
    <t>Termostatická hlavica kvapalinová, M 30 x 1,5, + 6,5°až +28°C, chróm, plast</t>
  </si>
  <si>
    <t>T 3000</t>
  </si>
  <si>
    <t>734252110</t>
  </si>
  <si>
    <t xml:space="preserve">Montáž ventilu rohového G 1/2  </t>
  </si>
  <si>
    <t>5518100055</t>
  </si>
  <si>
    <t>Regulačné šraubenie priame, 1/2", PN 10, niklovaná mosadz OT 58</t>
  </si>
  <si>
    <t>DD 305</t>
  </si>
  <si>
    <t>998734203</t>
  </si>
  <si>
    <t>Presun hmôt pre armatúry v objektoch výšky nad 6 do 24 m</t>
  </si>
  <si>
    <t xml:space="preserve">    735 - Ústredné kúrenie, vykurov. telesá</t>
  </si>
  <si>
    <t>735151811</t>
  </si>
  <si>
    <t>Demontáž radiátora panelového jednoradového stavebnej dľžky do 1500 mm,  -0,01235t</t>
  </si>
  <si>
    <t>735151821</t>
  </si>
  <si>
    <t>Demontáž radiátora panelového dvojradového stavebnej dľžky do 1500 mm,  -0,02493t</t>
  </si>
  <si>
    <t>735151822</t>
  </si>
  <si>
    <t>Demontáž radiátora panelového dvojradového stavebnej dľžky nad 1500 do 2820 mm,  -0,04675t</t>
  </si>
  <si>
    <t>735153300</t>
  </si>
  <si>
    <t>Príplatok k cene za odvzdušňovací ventil telies s príplatkom 8 %</t>
  </si>
  <si>
    <t>735154030</t>
  </si>
  <si>
    <t>Montáž vykurovacieho telesa panelového jednoradového výšky 500 mm/ dĺžky 400-600 mm</t>
  </si>
  <si>
    <t>48453724001</t>
  </si>
  <si>
    <t>Vykur. teleso doskové - oceľ. radiátor KLASIK 21K 554x400-R s bočným pripojením</t>
  </si>
  <si>
    <t xml:space="preserve">U.S.STEEL </t>
  </si>
  <si>
    <t>Klasik 21K</t>
  </si>
  <si>
    <t>4845372400</t>
  </si>
  <si>
    <t>Vykur. teleso doskové - oceľ. radiátor KLASIK 21K 554x500-R s bočným pripojením</t>
  </si>
  <si>
    <t>4845372500</t>
  </si>
  <si>
    <t>Vykur. teleso doskové - oceľ. radiátor KLASIK 21K 554x600-R s bočným pripojením</t>
  </si>
  <si>
    <t>735154031</t>
  </si>
  <si>
    <t>Montáž vykurovacieho telesa panelového jednoradového výšky 500 mm/ dĺžky 700-900 mm</t>
  </si>
  <si>
    <t>4845372600</t>
  </si>
  <si>
    <t>Vykur. teleso doskové - oceľ. radiátor KLASIK 21K 554x700-R s bočným pripojením</t>
  </si>
  <si>
    <t>4845372700</t>
  </si>
  <si>
    <t>Vykur. teleso doskové - oceľ. radiátor KLASIK 21K 554x800-R s bočným pripojením</t>
  </si>
  <si>
    <t>4845372800</t>
  </si>
  <si>
    <t>Vykur. teleso doskové - oceľ. radiátor KLASIK 21K 554x900-R s bočným pripojením</t>
  </si>
  <si>
    <t>735154032</t>
  </si>
  <si>
    <t>Montáž vykurovacieho telesa panelového jednoradového výšky 500 mm/ dĺžky 1000-1200 mm</t>
  </si>
  <si>
    <t>4845373100</t>
  </si>
  <si>
    <t>Vykur. teleso doskové - oceľ. radiátor KLASIK 21K 554x1200-R s bočným pripojením</t>
  </si>
  <si>
    <t>735154131</t>
  </si>
  <si>
    <t>Montáž vykurovacieho telesa panelového dvojradového výšky 500 mm/ dĺžky 700-900 mm</t>
  </si>
  <si>
    <t>4845379350</t>
  </si>
  <si>
    <t>Vykur. teleso doskové - oceľ. radiátor KLASIK 22K-R 554x700-R s bočným pripojením</t>
  </si>
  <si>
    <t>Klasik 22K-R</t>
  </si>
  <si>
    <t>4845379400</t>
  </si>
  <si>
    <t>Vykur. teleso doskové - oceľ. radiátor KLASIK 22K-R 554x800-R s bočným pripojením</t>
  </si>
  <si>
    <t>4845379450</t>
  </si>
  <si>
    <t>Vykur. teleso doskové - oceľ. radiátor KLASIK 22K-R 554x900-R s bočným pripojením</t>
  </si>
  <si>
    <t>735154132</t>
  </si>
  <si>
    <t>Montáž vykurovacieho telesa panelového dvojradového výšky 500 mm/ dĺžky 1000-1200 mm</t>
  </si>
  <si>
    <t>4845379500</t>
  </si>
  <si>
    <t>Vykur. teleso doskové - oceľ. radiátor KLASIK 22K-R 554x1000-R s bočným pripojením</t>
  </si>
  <si>
    <t>735154133</t>
  </si>
  <si>
    <t>Montáž vykurovacieho telesa panelového dvojradového výšky 500 mm/ dĺžky 1400-1800 mm</t>
  </si>
  <si>
    <t>4845379700</t>
  </si>
  <si>
    <t>Vykur. teleso doskové - oceľ. radiátor KLASIK 22K 554x1400-R s bočným pripojením</t>
  </si>
  <si>
    <t>Klasik 22K</t>
  </si>
  <si>
    <t>4845379800</t>
  </si>
  <si>
    <t>Vykur. teleso doskové - oceľ. radiátor KLASIK 22K 554x1600-R s bočným pripojením</t>
  </si>
  <si>
    <t>735154134</t>
  </si>
  <si>
    <t>Montáž vykurovacieho telesa panelového dvojradového výšky 500 mm/ dĺžky 2000-2600 mm</t>
  </si>
  <si>
    <t>4845379950</t>
  </si>
  <si>
    <t>Vykur. teleso doskové - oceľ. radiátor KLASIK 22K 554x2000-R s bočným pripojením</t>
  </si>
  <si>
    <t>735158110</t>
  </si>
  <si>
    <t>Vykurovacie telesá panelové, tlaková skúška telesa vodou jednoradového</t>
  </si>
  <si>
    <t>735158120</t>
  </si>
  <si>
    <t>Vykurovacie telesá panelové, tlaková skúška telesa vodou  dvojradového</t>
  </si>
  <si>
    <t>998735202</t>
  </si>
  <si>
    <t>Presun hmôt pre vykurovacie telesá v objektoch výšky nad 6 do 12 m</t>
  </si>
  <si>
    <t xml:space="preserve">    783 - Dokončovacie práce - nátery</t>
  </si>
  <si>
    <t>783401811</t>
  </si>
  <si>
    <t>Odstránenie starých náterov z kovových potrubí a armatúr potrubie do DN 50 mm</t>
  </si>
  <si>
    <t>783424340</t>
  </si>
  <si>
    <t>Nátery kov.potr.a armatúr syntet. potrubie do DN 50 mm dvojnás. 1x email a základný náter - 140µm</t>
  </si>
  <si>
    <t>HZS - Hodinové zúčtovacie sadzby</t>
  </si>
  <si>
    <t>HZS000114</t>
  </si>
  <si>
    <t>Hydraulické vyregulovanie systému</t>
  </si>
  <si>
    <t>hod</t>
  </si>
  <si>
    <t>HZS-001</t>
  </si>
  <si>
    <t>Revízie</t>
  </si>
  <si>
    <t>HZS-002</t>
  </si>
  <si>
    <t>Skúšobná prevádzka</t>
  </si>
  <si>
    <t xml:space="preserve">    733 - Ústredné kúrenie, rozvodné potrubie</t>
  </si>
  <si>
    <t>733111103</t>
  </si>
  <si>
    <t>Potrubie z rúrok závitových oceľových bezšvových bežných nízkotlakových DN 15</t>
  </si>
  <si>
    <t>733111104</t>
  </si>
  <si>
    <t>Potrubie z rúrok závitových oceľových bezšvových bežných nízkotlakových DN 20</t>
  </si>
  <si>
    <t>733113113</t>
  </si>
  <si>
    <t>Potrubie z rúrok závitových Príplatok k cene za zhotovenie prípojky z oceľ. rúrok závitových DN 15</t>
  </si>
  <si>
    <t>733124118</t>
  </si>
  <si>
    <t>Zhotovenie rúrkového prechodu z rúrok hladkých kovaním 50/25</t>
  </si>
  <si>
    <t>733191927</t>
  </si>
  <si>
    <t>Oprava rozvodov potrubí -privarenie odbočky do DN 40</t>
  </si>
  <si>
    <t>733193917</t>
  </si>
  <si>
    <t>Oprava rozvodov potrubí z oceľových rúrok zaslepenie potrubia dienkom priemer 51</t>
  </si>
  <si>
    <t>73331933</t>
  </si>
  <si>
    <t>Oprava ocel. potrubia záv. prepojenie stávajucého potrubia DN 15</t>
  </si>
  <si>
    <t>998733203</t>
  </si>
  <si>
    <t>Presun hmôt pre rozvody potrubia v objektoch výšky nad 6 do 24 m</t>
  </si>
  <si>
    <t>734200821</t>
  </si>
  <si>
    <t>Demontáž armatúry závitovej s dvomi závitmi do G 1/2 -0,00045t</t>
  </si>
  <si>
    <t>734209101</t>
  </si>
  <si>
    <t>Montáž závitovej armatúry s 1 závitom do G 1/2</t>
  </si>
  <si>
    <t>734209112</t>
  </si>
  <si>
    <t>Montáž závitovej armatúry s 2 závitmi do G 1/2</t>
  </si>
  <si>
    <t>734209114</t>
  </si>
  <si>
    <t>Montáž závitovej armatúry s 2 závitmi G 3/4</t>
  </si>
  <si>
    <t>734209115</t>
  </si>
  <si>
    <t>Montáž závitovej armatúry s 2 závitmi G 1</t>
  </si>
  <si>
    <t>734261215</t>
  </si>
  <si>
    <t>Skrutkovanie priame V 4300 G 1</t>
  </si>
  <si>
    <t>734300821</t>
  </si>
  <si>
    <t>Demontáž armatúry horúcovodnej, rozpojenie skrutkovania do DN 15</t>
  </si>
  <si>
    <t>734494213</t>
  </si>
  <si>
    <t>Ostatné meracie armatúry, návarok s rúrkovým závitom akosť mat. 22 353.0 G 1/2</t>
  </si>
  <si>
    <t>H1210002</t>
  </si>
  <si>
    <t>Kohút guľový Herz DN 20 pákový</t>
  </si>
  <si>
    <t>H1210003</t>
  </si>
  <si>
    <t>Kohút guľový Herz DN 25 pákový</t>
  </si>
  <si>
    <t>H1251201</t>
  </si>
  <si>
    <t>Guľový kohút s hadicovou prípojkou 1/2"</t>
  </si>
  <si>
    <t>H1392301</t>
  </si>
  <si>
    <t>Spojka radiátorová spiatočková regulačná priama RL-5 DN 15</t>
  </si>
  <si>
    <t>H1400753</t>
  </si>
  <si>
    <t>Regulátor tlakovej diferencie 4007 DN25</t>
  </si>
  <si>
    <t>H1421733</t>
  </si>
  <si>
    <t>Ventil regul HERZ - STRÖMAX-GM 2013 DN 25</t>
  </si>
  <si>
    <t>krmFK022D88</t>
  </si>
  <si>
    <t>Konzola telesa v.550 k-bočné pripojenie</t>
  </si>
  <si>
    <t>766411811</t>
  </si>
  <si>
    <t>Demontáž obloženia radiátorov panelmi, veľ. do 1,5 m2,  -0,02465t</t>
  </si>
  <si>
    <t>783414040</t>
  </si>
  <si>
    <t>Nátery kovového potrubia olejové do DN 50 mm jednonás. so základného náterom - 70µm</t>
  </si>
  <si>
    <t>Okno plastové  1350x1600 mm</t>
  </si>
  <si>
    <t>Okno plastové  1100x1600 mm</t>
  </si>
  <si>
    <t>Dvere plastové 1500/2095</t>
  </si>
  <si>
    <t>Dvere 1200/2000</t>
  </si>
  <si>
    <t>Dvere 1000/2700 mm</t>
  </si>
  <si>
    <t>612425931</t>
  </si>
  <si>
    <t>Omietka vápenná vnútorného ostenia okenného alebo dverného štuková</t>
  </si>
  <si>
    <t>766623913</t>
  </si>
  <si>
    <t>Výmena dvojskiel za trojsklá</t>
  </si>
  <si>
    <t>Dvere 1650/2200 mm</t>
  </si>
  <si>
    <t>kpl</t>
  </si>
  <si>
    <t xml:space="preserve">Násyp pod základové  konštrukcie so zhutnením zo štrkopiesku fr.0-32 mm </t>
  </si>
  <si>
    <t>Rezanie existujúceho betónového krytu alebo podkladu hĺbky nad 200 do 250 mm</t>
  </si>
  <si>
    <t>919735125</t>
  </si>
  <si>
    <r>
      <t xml:space="preserve">Kontaktný zatepľovací systém ostenia hr. 30 mm (MW) </t>
    </r>
    <r>
      <rPr>
        <sz val="8"/>
        <color rgb="FFFF0000"/>
        <rFont val="Trebuchet MS"/>
        <family val="2"/>
        <charset val="238"/>
      </rPr>
      <t>B2</t>
    </r>
  </si>
  <si>
    <r>
      <t xml:space="preserve">Kontaktný zatepľovací systém hr. 50 mm - dosky z MW, skrutkovacie kotvy </t>
    </r>
    <r>
      <rPr>
        <sz val="8"/>
        <color rgb="FFFF0000"/>
        <rFont val="Trebuchet MS"/>
        <family val="2"/>
        <charset val="238"/>
      </rPr>
      <t>B3</t>
    </r>
  </si>
  <si>
    <r>
      <t xml:space="preserve">Kontaktný zatepľovací systém hr. 160 mm (MW), skrutkovacie kotvy </t>
    </r>
    <r>
      <rPr>
        <sz val="8"/>
        <color rgb="FFFF0000"/>
        <rFont val="Trebuchet MS"/>
        <family val="2"/>
        <charset val="238"/>
      </rPr>
      <t>B1</t>
    </r>
  </si>
  <si>
    <r>
      <t xml:space="preserve">Kontaktný zatepľovací systém podzemných stien hr. 50 mm (EPS-PERIMETER), skrutkovacie kotvy </t>
    </r>
    <r>
      <rPr>
        <sz val="8"/>
        <color rgb="FFFF0000"/>
        <rFont val="Trebuchet MS"/>
        <family val="2"/>
        <charset val="238"/>
      </rPr>
      <t>A2</t>
    </r>
  </si>
  <si>
    <r>
      <t xml:space="preserve">Kontaktný zatepľovací systém podzemných stien hr. 100 mm (EPS-PERIMETER), skrutkovacie kotvy </t>
    </r>
    <r>
      <rPr>
        <sz val="8"/>
        <color rgb="FFFF0000"/>
        <rFont val="Trebuchet MS"/>
        <family val="2"/>
        <charset val="238"/>
      </rPr>
      <t>A1</t>
    </r>
  </si>
  <si>
    <t>x1</t>
  </si>
  <si>
    <t xml:space="preserve">Demontáž starej skrine a montáž novej skrine </t>
  </si>
  <si>
    <t>x2</t>
  </si>
  <si>
    <t xml:space="preserve">Plastová skrinka IP 54 otvárateľná, spínace hodiny </t>
  </si>
  <si>
    <t>x3</t>
  </si>
  <si>
    <t>Montáž káblu FTP vrátane montáže do lišty</t>
  </si>
  <si>
    <t>x4</t>
  </si>
  <si>
    <t>Kábel FTP</t>
  </si>
  <si>
    <t>Montáž skrinky na internet</t>
  </si>
  <si>
    <t xml:space="preserve">Rack 19"9-12U, vrátane swtichu 48 port, napájanie, istenie </t>
  </si>
  <si>
    <t>Vodorovné premiestnenie výkopu do 10 000 m horn. Tr. 1-4 - odvoz na smetisko</t>
  </si>
  <si>
    <t>162701105</t>
  </si>
  <si>
    <t>162701109</t>
  </si>
  <si>
    <t>Príplatok za každých ďalších 1000 m horn. Tr. 1-4</t>
  </si>
  <si>
    <t>N</t>
  </si>
  <si>
    <t>167101100</t>
  </si>
  <si>
    <t>Nakladanie výkopku tr. 1-4 na dopravný prostriedok</t>
  </si>
  <si>
    <t>171201201</t>
  </si>
  <si>
    <t>Uloženie sypaniny na skládku</t>
  </si>
  <si>
    <t>Príplatok za prehodenie zeminy</t>
  </si>
  <si>
    <t>175301109</t>
  </si>
  <si>
    <t>631315511</t>
  </si>
  <si>
    <t>Mazanina z betónu prostého tr. C12/15 hr. 12-24 cm</t>
  </si>
  <si>
    <t>919721211</t>
  </si>
  <si>
    <t>Dilatačné škáry vkladané, vyplnené asfalt. Zálievkou</t>
  </si>
  <si>
    <t>9197212111</t>
  </si>
  <si>
    <t>Dilatačné škáry rezané v cementobet. kryte priečne rezanie škár šírky 2 až 5 mm</t>
  </si>
  <si>
    <t>Búranie podkladov pod dlažby, liatych dlažieb a mazanín,betón alebo liaty asfalt hr.nad 100 mm</t>
  </si>
  <si>
    <t>965042221</t>
  </si>
  <si>
    <t>967052111</t>
  </si>
  <si>
    <t>Úprava lica podzem. Betón. Stien. Hr. 15 cm - ručným odsekaním</t>
  </si>
  <si>
    <t>998011001</t>
  </si>
  <si>
    <t>Poplatok za uloženie vykopanej zeminy</t>
  </si>
  <si>
    <t>967031142</t>
  </si>
  <si>
    <t>Prisekanie rovného ostenia v murive tehlovom na maltu MC</t>
  </si>
  <si>
    <t>974061010</t>
  </si>
  <si>
    <t>Vyrezanie rýh v plnom pálenom tehelnom murive hr. 12 cm - narezanie ostenia</t>
  </si>
  <si>
    <t>767811100</t>
  </si>
  <si>
    <t>Montáž vetracích mriežok, VM</t>
  </si>
  <si>
    <t>5539C3052</t>
  </si>
  <si>
    <t>Dvierka revízne PVC HACO, 200x200 mm</t>
  </si>
  <si>
    <t>979011121</t>
  </si>
  <si>
    <t xml:space="preserve">Zvislá doprava sute a vybúr. hmôt za prvé podlažie                                                                      </t>
  </si>
  <si>
    <t xml:space="preserve">Zvislá doprava sute a vybúr. hmôt za každé ďalšie podlažie                                                              </t>
  </si>
  <si>
    <t xml:space="preserve">Odvoz sute a vybúraných hmôt na skládku do 1 km                                                                         </t>
  </si>
  <si>
    <t xml:space="preserve">Odvoz sute a vybúraných hmôt na skládku každý ďalší 1 km                                                                </t>
  </si>
  <si>
    <t xml:space="preserve">Nakladanie vybúraných hmôt                                                                                              </t>
  </si>
  <si>
    <t>979086213</t>
  </si>
  <si>
    <t>Spätná montáž dlažby na terče (bez dodávky materiálu)</t>
  </si>
  <si>
    <t>Náter dlažby tlakovou vodou</t>
  </si>
  <si>
    <t>632200020</t>
  </si>
  <si>
    <t>622661311</t>
  </si>
  <si>
    <t>Hydroizolačná fólia PVC-P FATRAFOL 810, hr. 2,00 mm, š. 1,6/2,05 m, izolácia plochých striech, sivá</t>
  </si>
  <si>
    <t>220002300</t>
  </si>
  <si>
    <t>Montáž podkladnej konštrukcie z OSB dosiek 400 mm pod klampiarske konštrukcie</t>
  </si>
  <si>
    <t>Doska drevoštiepková OSB 3 SE 2500x1250x25 mm</t>
  </si>
  <si>
    <t>Svietidlo prisadené UX-TUBUS 292 LED 12W, 1300lm, 4000K, 80Ra, IP20</t>
  </si>
  <si>
    <t>Svietidlo stropné UX-PLAST H LED S PRISMA 17W, 2550lm, 4000K, 80Ra, IP44</t>
  </si>
  <si>
    <t>Odstránenie azbestového obkladu</t>
  </si>
  <si>
    <t>Výmena výplnových konstrukcií</t>
  </si>
  <si>
    <t xml:space="preserve">Obnova chodníka </t>
  </si>
  <si>
    <t>Sanácia balkónov</t>
  </si>
  <si>
    <t>Výmena výplňových konštrukcií</t>
  </si>
  <si>
    <t>Elektroinštalácia</t>
  </si>
  <si>
    <t>elektroinštalácia, Osvetlenie</t>
  </si>
  <si>
    <t>elektroinštalácia, osvetlenie</t>
  </si>
  <si>
    <t>Vzduchotechnika</t>
  </si>
  <si>
    <t>Vykurovanie</t>
  </si>
  <si>
    <r>
      <t xml:space="preserve">Kontaktný zatepľovací systém podzemných stien hr. 140 mm (EPS-PERIMETER), skrutkovacie kotvy </t>
    </r>
    <r>
      <rPr>
        <sz val="8"/>
        <color rgb="FFFF0000"/>
        <rFont val="Trebuchet MS"/>
        <family val="2"/>
        <charset val="238"/>
      </rPr>
      <t>D3+A3</t>
    </r>
  </si>
  <si>
    <t>Demontáž, spätná montáž, pieskovanie, nastriekanie novej farby, doprava</t>
  </si>
  <si>
    <t>767163000</t>
  </si>
  <si>
    <t>ZoD</t>
  </si>
  <si>
    <t>Fakturované obdobie</t>
  </si>
  <si>
    <t>Zostáva</t>
  </si>
  <si>
    <t xml:space="preserve">Fakturované obdobie </t>
  </si>
  <si>
    <t>N17</t>
  </si>
  <si>
    <t>N18</t>
  </si>
  <si>
    <t>N29</t>
  </si>
  <si>
    <t>N30</t>
  </si>
  <si>
    <t>N31</t>
  </si>
  <si>
    <t>N10</t>
  </si>
  <si>
    <t>N11</t>
  </si>
  <si>
    <t>N12</t>
  </si>
  <si>
    <t>N13</t>
  </si>
  <si>
    <t>N14</t>
  </si>
  <si>
    <t>N15</t>
  </si>
  <si>
    <t>N16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</si>
  <si>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</si>
  <si>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</si>
  <si>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</si>
  <si>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</si>
  <si>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</si>
  <si>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</si>
  <si>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</si>
  <si>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</si>
  <si>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</si>
  <si>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Miínusy</t>
  </si>
  <si>
    <t>Plusy</t>
  </si>
  <si>
    <t>VP - Práce naviac MÍNUSY</t>
  </si>
  <si>
    <t>VP - Práce naviac PLUSY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</si>
</sst>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.mm\.yyyy"/>
    <numFmt numFmtId="165" formatCode="#,##0.00000"/>
    <numFmt numFmtId="166" formatCode="#,##0.000"/>
    <numFmt numFmtId="167" formatCode="[$-41B]General"/>
    <numFmt numFmtId="168" formatCode="#,##0.000_ ;[Red]\-#,##0.000\ "/>
  </numFmts>
  <fonts count="48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10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FF0000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2"/>
      <name val="Trebuchet MS"/>
      <family val="2"/>
      <charset val="238"/>
    </font>
    <font>
      <b/>
      <sz val="11"/>
      <color rgb="FF003366"/>
      <name val="Trebuchet MS"/>
      <family val="2"/>
      <charset val="238"/>
    </font>
    <font>
      <sz val="11"/>
      <color rgb="FF969696"/>
      <name val="Trebuchet MS"/>
      <family val="2"/>
      <charset val="238"/>
    </font>
    <font>
      <sz val="18"/>
      <color theme="10"/>
      <name val="Wingdings 2"/>
      <family val="1"/>
      <charset val="2"/>
    </font>
    <font>
      <b/>
      <sz val="10"/>
      <color rgb="FF003366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8"/>
      <color rgb="FF0000FF"/>
      <name val="Trebuchet MS"/>
      <family val="2"/>
      <charset val="238"/>
    </font>
    <font>
      <sz val="8"/>
      <color rgb="FF000000"/>
      <name val="Trebuchet MS1"/>
      <charset val="238"/>
    </font>
    <font>
      <b/>
      <sz val="12"/>
      <color rgb="FF003366"/>
      <name val="Trebuchet MS"/>
      <family val="2"/>
      <charset val="238"/>
    </font>
    <font>
      <b/>
      <i/>
      <sz val="8"/>
      <color rgb="FF0000FF"/>
      <name val="Trebuchet MS"/>
      <family val="2"/>
      <charset val="238"/>
    </font>
    <font>
      <b/>
      <sz val="12"/>
      <color rgb="FFFF0000"/>
      <name val="Trebuchet MS"/>
      <family val="2"/>
      <charset val="238"/>
    </font>
    <font>
      <sz val="8"/>
      <name val="Trebuchet MS"/>
      <family val="2"/>
      <charset val="238"/>
    </font>
    <font>
      <i/>
      <sz val="8"/>
      <name val="Trebuchet MS"/>
      <family val="2"/>
      <charset val="238"/>
    </font>
    <font>
      <b/>
      <i/>
      <sz val="8"/>
      <name val="Trebuchet MS"/>
      <family val="2"/>
      <charset val="238"/>
    </font>
    <font>
      <b/>
      <sz val="12"/>
      <color theme="5" tint="-0.249977111117893"/>
      <name val="Trebuchet MS"/>
      <family val="2"/>
      <charset val="238"/>
    </font>
    <font>
      <b/>
      <sz val="8"/>
      <color theme="5" tint="-0.249977111117893"/>
      <name val="Trebuchet MS"/>
      <family val="2"/>
      <charset val="238"/>
    </font>
    <font>
      <b/>
      <i/>
      <sz val="11"/>
      <color rgb="FF003366"/>
      <name val="Trebuchet MS"/>
      <family val="2"/>
      <charset val="238"/>
    </font>
    <font>
      <i/>
      <sz val="11"/>
      <color rgb="FF003366"/>
      <name val="Trebuchet MS"/>
      <family val="2"/>
      <charset val="238"/>
    </font>
    <font>
      <i/>
      <sz val="10"/>
      <color rgb="FF003366"/>
      <name val="Trebuchet MS"/>
      <family val="2"/>
      <charset val="238"/>
    </font>
    <font>
      <sz val="8"/>
      <color theme="5" tint="-0.249977111117893"/>
      <name val="Trebuchet MS"/>
      <family val="2"/>
    </font>
    <font>
      <b/>
      <sz val="12"/>
      <color theme="5" tint="-0.249977111117893"/>
      <name val="Trebuchet MS"/>
      <family val="2"/>
    </font>
    <font>
      <sz val="8"/>
      <color theme="5" tint="-0.249977111117893"/>
      <name val="Trebuchet MS"/>
      <family val="2"/>
      <charset val="238"/>
    </font>
    <font>
      <b/>
      <sz val="8"/>
      <color rgb="FF003366"/>
      <name val="Trebuchet MS"/>
      <family val="2"/>
      <charset val="238"/>
    </font>
    <font>
      <sz val="8"/>
      <color theme="4" tint="-0.249977111117893"/>
      <name val="Trebuchet MS"/>
      <family val="2"/>
      <charset val="238"/>
    </font>
    <font>
      <sz val="12"/>
      <color theme="4" tint="-0.249977111117893"/>
      <name val="Trebuchet MS"/>
      <family val="2"/>
      <charset val="238"/>
    </font>
    <font>
      <b/>
      <sz val="12"/>
      <color theme="4" tint="-0.249977111117893"/>
      <name val="Trebuchet MS"/>
      <family val="2"/>
      <charset val="238"/>
    </font>
    <font>
      <sz val="12"/>
      <color theme="5" tint="-0.249977111117893"/>
      <name val="Trebuchet MS"/>
      <family val="2"/>
    </font>
    <font>
      <b/>
      <sz val="8"/>
      <color theme="5" tint="-0.249977111117893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2D2D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/>
      <bottom/>
      <diagonal/>
    </border>
    <border>
      <left style="hair">
        <color rgb="FF969696"/>
      </left>
      <right style="thick">
        <color indexed="64"/>
      </right>
      <top style="hair">
        <color rgb="FF969696"/>
      </top>
      <bottom style="hair">
        <color rgb="FF969696"/>
      </bottom>
      <diagonal/>
    </border>
    <border>
      <left/>
      <right style="thick">
        <color indexed="64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theme="0" tint="-0.499984740745262"/>
      </right>
      <top style="hair">
        <color rgb="FF969696"/>
      </top>
      <bottom style="hair">
        <color rgb="FF969696"/>
      </bottom>
      <diagonal/>
    </border>
    <border>
      <left/>
      <right style="medium">
        <color indexed="64"/>
      </right>
      <top style="hair">
        <color rgb="FF969696"/>
      </top>
      <bottom style="hair">
        <color rgb="FF969696"/>
      </bottom>
      <diagonal/>
    </border>
    <border>
      <left/>
      <right style="medium">
        <color indexed="64"/>
      </right>
      <top style="hair">
        <color rgb="FF969696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rgb="FF969696"/>
      </bottom>
      <diagonal/>
    </border>
    <border>
      <left style="hair">
        <color rgb="FF969696"/>
      </left>
      <right style="medium">
        <color indexed="64"/>
      </right>
      <top style="hair">
        <color rgb="FF969696"/>
      </top>
      <bottom style="hair">
        <color rgb="FF969696"/>
      </bottom>
      <diagonal/>
    </border>
    <border>
      <left style="medium">
        <color indexed="64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969696"/>
      </left>
      <right style="hair">
        <color indexed="64"/>
      </right>
      <top style="hair">
        <color rgb="FF969696"/>
      </top>
      <bottom style="hair">
        <color rgb="FF969696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/>
    <xf numFmtId="167" fontId="27" fillId="0" borderId="0" applyBorder="0" applyProtection="0"/>
  </cellStyleXfs>
  <cellXfs count="52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4" fontId="14" fillId="0" borderId="11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165" fontId="14" fillId="0" borderId="0" xfId="0" applyNumberFormat="1" applyFont="1" applyBorder="1" applyAlignment="1">
      <alignment vertical="center"/>
    </xf>
    <xf numFmtId="4" fontId="14" fillId="0" borderId="12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18" fillId="0" borderId="11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5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12" fillId="0" borderId="11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4" fontId="1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18" fillId="0" borderId="13" xfId="0" applyNumberFormat="1" applyFont="1" applyBorder="1" applyAlignment="1">
      <alignment vertical="center"/>
    </xf>
    <xf numFmtId="4" fontId="18" fillId="0" borderId="14" xfId="0" applyNumberFormat="1" applyFont="1" applyBorder="1" applyAlignment="1">
      <alignment vertical="center"/>
    </xf>
    <xf numFmtId="165" fontId="18" fillId="0" borderId="14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5" fontId="22" fillId="0" borderId="9" xfId="0" applyNumberFormat="1" applyFont="1" applyBorder="1" applyAlignment="1"/>
    <xf numFmtId="165" fontId="22" fillId="0" borderId="10" xfId="0" applyNumberFormat="1" applyFont="1" applyBorder="1" applyAlignment="1"/>
    <xf numFmtId="166" fontId="23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horizontal="left"/>
    </xf>
    <xf numFmtId="0" fontId="8" fillId="0" borderId="5" xfId="0" applyFont="1" applyBorder="1" applyAlignment="1"/>
    <xf numFmtId="0" fontId="8" fillId="0" borderId="11" xfId="0" applyFont="1" applyBorder="1" applyAlignment="1"/>
    <xf numFmtId="165" fontId="8" fillId="0" borderId="0" xfId="0" applyNumberFormat="1" applyFont="1" applyBorder="1" applyAlignment="1"/>
    <xf numFmtId="165" fontId="8" fillId="0" borderId="12" xfId="0" applyNumberFormat="1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6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6" fontId="0" fillId="0" borderId="22" xfId="0" applyNumberFormat="1" applyFont="1" applyBorder="1" applyAlignment="1" applyProtection="1">
      <alignment vertical="center"/>
      <protection locked="0"/>
    </xf>
    <xf numFmtId="166" fontId="0" fillId="2" borderId="22" xfId="0" applyNumberFormat="1" applyFont="1" applyFill="1" applyBorder="1" applyAlignment="1" applyProtection="1">
      <alignment vertical="center"/>
      <protection locked="0"/>
    </xf>
    <xf numFmtId="0" fontId="1" fillId="2" borderId="22" xfId="0" applyFont="1" applyFill="1" applyBorder="1" applyAlignment="1" applyProtection="1">
      <alignment horizontal="left" vertical="center"/>
      <protection locked="0"/>
    </xf>
    <xf numFmtId="165" fontId="1" fillId="0" borderId="0" xfId="0" applyNumberFormat="1" applyFont="1" applyBorder="1" applyAlignment="1">
      <alignment vertical="center"/>
    </xf>
    <xf numFmtId="165" fontId="1" fillId="0" borderId="12" xfId="0" applyNumberFormat="1" applyFont="1" applyBorder="1" applyAlignment="1">
      <alignment vertical="center"/>
    </xf>
    <xf numFmtId="166" fontId="0" fillId="0" borderId="0" xfId="0" applyNumberFormat="1" applyFont="1" applyAlignment="1">
      <alignment vertical="center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6" fontId="24" fillId="0" borderId="22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7" fontId="27" fillId="0" borderId="0" xfId="2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/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3" borderId="20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166" fontId="0" fillId="2" borderId="22" xfId="0" applyNumberFormat="1" applyFont="1" applyFill="1" applyBorder="1" applyAlignment="1" applyProtection="1">
      <alignment vertical="center"/>
      <protection locked="0"/>
    </xf>
    <xf numFmtId="166" fontId="0" fillId="0" borderId="22" xfId="0" applyNumberFormat="1" applyFont="1" applyBorder="1" applyAlignment="1" applyProtection="1">
      <alignment vertical="center"/>
      <protection locked="0"/>
    </xf>
    <xf numFmtId="166" fontId="15" fillId="0" borderId="9" xfId="0" applyNumberFormat="1" applyFont="1" applyBorder="1" applyAlignment="1"/>
    <xf numFmtId="166" fontId="6" fillId="0" borderId="0" xfId="0" applyNumberFormat="1" applyFont="1" applyBorder="1" applyAlignment="1"/>
    <xf numFmtId="166" fontId="7" fillId="0" borderId="14" xfId="0" applyNumberFormat="1" applyFont="1" applyBorder="1" applyAlignment="1"/>
    <xf numFmtId="166" fontId="26" fillId="2" borderId="22" xfId="0" applyNumberFormat="1" applyFont="1" applyFill="1" applyBorder="1" applyAlignment="1" applyProtection="1">
      <alignment vertical="center"/>
      <protection locked="0"/>
    </xf>
    <xf numFmtId="166" fontId="24" fillId="0" borderId="22" xfId="0" applyNumberFormat="1" applyFont="1" applyBorder="1" applyAlignment="1" applyProtection="1">
      <alignment vertical="center"/>
      <protection locked="0"/>
    </xf>
    <xf numFmtId="166" fontId="7" fillId="0" borderId="20" xfId="0" applyNumberFormat="1" applyFont="1" applyBorder="1" applyAlignment="1"/>
    <xf numFmtId="166" fontId="6" fillId="0" borderId="9" xfId="0" applyNumberFormat="1" applyFont="1" applyBorder="1" applyAlignment="1"/>
    <xf numFmtId="0" fontId="9" fillId="0" borderId="0" xfId="0" applyFont="1" applyBorder="1" applyAlignment="1">
      <alignment vertical="center"/>
    </xf>
    <xf numFmtId="166" fontId="0" fillId="2" borderId="19" xfId="0" applyNumberFormat="1" applyFont="1" applyFill="1" applyBorder="1" applyAlignment="1" applyProtection="1">
      <alignment vertical="center"/>
      <protection locked="0"/>
    </xf>
    <xf numFmtId="166" fontId="6" fillId="0" borderId="14" xfId="0" applyNumberFormat="1" applyFont="1" applyBorder="1" applyAlignment="1"/>
    <xf numFmtId="166" fontId="6" fillId="0" borderId="20" xfId="0" applyNumberFormat="1" applyFont="1" applyBorder="1" applyAlignment="1"/>
    <xf numFmtId="166" fontId="24" fillId="2" borderId="22" xfId="0" applyNumberFormat="1" applyFont="1" applyFill="1" applyBorder="1" applyAlignment="1" applyProtection="1">
      <alignment vertical="center"/>
      <protection locked="0"/>
    </xf>
    <xf numFmtId="166" fontId="7" fillId="0" borderId="9" xfId="0" applyNumberFormat="1" applyFont="1" applyBorder="1" applyAlignment="1"/>
    <xf numFmtId="4" fontId="15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center"/>
    </xf>
    <xf numFmtId="4" fontId="15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vertical="center"/>
    </xf>
    <xf numFmtId="166" fontId="24" fillId="0" borderId="19" xfId="0" applyNumberFormat="1" applyFont="1" applyBorder="1" applyAlignment="1" applyProtection="1">
      <alignment vertical="center"/>
      <protection locked="0"/>
    </xf>
    <xf numFmtId="166" fontId="0" fillId="0" borderId="19" xfId="0" applyNumberFormat="1" applyFont="1" applyBorder="1" applyAlignment="1" applyProtection="1">
      <alignment vertical="center"/>
      <protection locked="0"/>
    </xf>
    <xf numFmtId="166" fontId="0" fillId="0" borderId="0" xfId="0" applyNumberFormat="1" applyFont="1" applyFill="1" applyBorder="1" applyAlignment="1" applyProtection="1">
      <alignment vertical="center"/>
      <protection locked="0"/>
    </xf>
    <xf numFmtId="166" fontId="24" fillId="2" borderId="19" xfId="0" applyNumberFormat="1" applyFont="1" applyFill="1" applyBorder="1" applyAlignment="1" applyProtection="1">
      <alignment vertical="center"/>
      <protection locked="0"/>
    </xf>
    <xf numFmtId="0" fontId="24" fillId="0" borderId="4" xfId="0" applyFont="1" applyBorder="1" applyAlignment="1" applyProtection="1">
      <alignment vertical="center"/>
      <protection locked="0"/>
    </xf>
    <xf numFmtId="0" fontId="24" fillId="0" borderId="5" xfId="0" applyFont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166" fontId="20" fillId="0" borderId="20" xfId="0" applyNumberFormat="1" applyFont="1" applyBorder="1" applyAlignment="1"/>
    <xf numFmtId="166" fontId="28" fillId="0" borderId="9" xfId="0" applyNumberFormat="1" applyFont="1" applyBorder="1" applyAlignment="1"/>
    <xf numFmtId="166" fontId="20" fillId="0" borderId="14" xfId="0" applyNumberFormat="1" applyFont="1" applyBorder="1" applyAlignment="1"/>
    <xf numFmtId="166" fontId="28" fillId="0" borderId="0" xfId="0" applyNumberFormat="1" applyFont="1" applyBorder="1" applyAlignment="1"/>
    <xf numFmtId="166" fontId="7" fillId="0" borderId="0" xfId="0" applyNumberFormat="1" applyFont="1" applyBorder="1" applyAlignment="1"/>
    <xf numFmtId="0" fontId="1" fillId="2" borderId="11" xfId="0" applyFont="1" applyFill="1" applyBorder="1" applyAlignment="1" applyProtection="1">
      <alignment horizontal="left" vertical="center"/>
      <protection locked="0"/>
    </xf>
    <xf numFmtId="166" fontId="23" fillId="0" borderId="22" xfId="0" applyNumberFormat="1" applyFont="1" applyBorder="1" applyAlignment="1" applyProtection="1">
      <alignment vertical="center"/>
      <protection locked="0"/>
    </xf>
    <xf numFmtId="0" fontId="24" fillId="0" borderId="0" xfId="0" applyFont="1" applyAlignment="1">
      <alignment vertical="center" wrapText="1"/>
    </xf>
    <xf numFmtId="0" fontId="24" fillId="2" borderId="22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165" fontId="24" fillId="0" borderId="0" xfId="0" applyNumberFormat="1" applyFont="1" applyBorder="1" applyAlignment="1">
      <alignment vertical="center"/>
    </xf>
    <xf numFmtId="165" fontId="24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166" fontId="24" fillId="0" borderId="0" xfId="0" applyNumberFormat="1" applyFont="1" applyAlignment="1">
      <alignment vertical="center"/>
    </xf>
    <xf numFmtId="0" fontId="28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66" fontId="29" fillId="0" borderId="2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>
      <alignment vertical="center"/>
    </xf>
    <xf numFmtId="166" fontId="23" fillId="0" borderId="0" xfId="0" applyNumberFormat="1" applyFont="1" applyBorder="1" applyAlignment="1" applyProtection="1">
      <alignment vertical="center"/>
      <protection locked="0"/>
    </xf>
    <xf numFmtId="0" fontId="23" fillId="0" borderId="0" xfId="0" applyFont="1" applyBorder="1" applyAlignment="1">
      <alignment vertical="center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6" fontId="31" fillId="0" borderId="22" xfId="0" applyNumberFormat="1" applyFont="1" applyBorder="1" applyAlignment="1" applyProtection="1">
      <alignment vertical="center"/>
      <protection locked="0"/>
    </xf>
    <xf numFmtId="0" fontId="31" fillId="0" borderId="4" xfId="0" applyFont="1" applyBorder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166" fontId="31" fillId="2" borderId="19" xfId="0" applyNumberFormat="1" applyFont="1" applyFill="1" applyBorder="1" applyAlignment="1" applyProtection="1">
      <alignment vertical="center"/>
      <protection locked="0"/>
    </xf>
    <xf numFmtId="0" fontId="31" fillId="0" borderId="5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24" fillId="0" borderId="4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" fillId="3" borderId="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66" fontId="0" fillId="2" borderId="22" xfId="0" applyNumberFormat="1" applyFont="1" applyFill="1" applyBorder="1" applyAlignment="1" applyProtection="1">
      <alignment vertical="center"/>
      <protection locked="0"/>
    </xf>
    <xf numFmtId="165" fontId="1" fillId="0" borderId="2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3" borderId="20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Border="1"/>
    <xf numFmtId="166" fontId="0" fillId="2" borderId="22" xfId="0" applyNumberFormat="1" applyFont="1" applyFill="1" applyBorder="1" applyAlignment="1" applyProtection="1">
      <alignment vertical="center"/>
      <protection locked="0"/>
    </xf>
    <xf numFmtId="0" fontId="21" fillId="3" borderId="20" xfId="0" applyFont="1" applyFill="1" applyBorder="1" applyAlignment="1">
      <alignment horizontal="center" vertical="center" wrapText="1"/>
    </xf>
    <xf numFmtId="166" fontId="31" fillId="2" borderId="22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6" fontId="0" fillId="2" borderId="22" xfId="0" applyNumberFormat="1" applyFont="1" applyFill="1" applyBorder="1" applyAlignment="1" applyProtection="1">
      <alignment vertical="center"/>
      <protection locked="0"/>
    </xf>
    <xf numFmtId="0" fontId="24" fillId="2" borderId="11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vertical="center"/>
    </xf>
    <xf numFmtId="0" fontId="21" fillId="3" borderId="20" xfId="0" applyFont="1" applyFill="1" applyBorder="1" applyAlignment="1">
      <alignment horizontal="center" vertical="center" wrapText="1"/>
    </xf>
    <xf numFmtId="168" fontId="0" fillId="0" borderId="22" xfId="0" applyNumberFormat="1" applyFont="1" applyBorder="1" applyAlignment="1" applyProtection="1">
      <alignment vertical="center"/>
      <protection locked="0"/>
    </xf>
    <xf numFmtId="168" fontId="20" fillId="0" borderId="20" xfId="0" applyNumberFormat="1" applyFont="1" applyBorder="1" applyAlignment="1"/>
    <xf numFmtId="168" fontId="20" fillId="0" borderId="14" xfId="0" applyNumberFormat="1" applyFont="1" applyBorder="1" applyAlignment="1"/>
    <xf numFmtId="168" fontId="0" fillId="0" borderId="0" xfId="0" applyNumberFormat="1" applyFont="1" applyBorder="1" applyAlignment="1">
      <alignment vertical="center"/>
    </xf>
    <xf numFmtId="0" fontId="0" fillId="4" borderId="22" xfId="0" applyFont="1" applyFill="1" applyBorder="1" applyAlignment="1" applyProtection="1">
      <alignment horizontal="center" vertical="center"/>
      <protection locked="0"/>
    </xf>
    <xf numFmtId="168" fontId="15" fillId="0" borderId="9" xfId="0" applyNumberFormat="1" applyFont="1" applyBorder="1" applyAlignment="1"/>
    <xf numFmtId="168" fontId="6" fillId="0" borderId="0" xfId="0" applyNumberFormat="1" applyFont="1" applyBorder="1" applyAlignment="1">
      <alignment horizontal="left"/>
    </xf>
    <xf numFmtId="168" fontId="28" fillId="0" borderId="0" xfId="0" applyNumberFormat="1" applyFont="1" applyBorder="1" applyAlignment="1"/>
    <xf numFmtId="168" fontId="7" fillId="0" borderId="0" xfId="0" applyNumberFormat="1" applyFont="1" applyBorder="1" applyAlignment="1">
      <alignment horizontal="left"/>
    </xf>
    <xf numFmtId="168" fontId="23" fillId="0" borderId="22" xfId="0" applyNumberFormat="1" applyFont="1" applyBorder="1" applyAlignment="1" applyProtection="1">
      <alignment vertical="center"/>
      <protection locked="0"/>
    </xf>
    <xf numFmtId="168" fontId="0" fillId="2" borderId="22" xfId="0" applyNumberFormat="1" applyFont="1" applyFill="1" applyBorder="1" applyAlignment="1" applyProtection="1">
      <alignment vertical="center"/>
      <protection locked="0"/>
    </xf>
    <xf numFmtId="168" fontId="20" fillId="0" borderId="0" xfId="0" applyNumberFormat="1" applyFont="1" applyBorder="1" applyAlignment="1">
      <alignment horizontal="left"/>
    </xf>
    <xf numFmtId="168" fontId="24" fillId="0" borderId="22" xfId="0" applyNumberFormat="1" applyFont="1" applyBorder="1" applyAlignment="1" applyProtection="1">
      <alignment vertical="center"/>
      <protection locked="0"/>
    </xf>
    <xf numFmtId="168" fontId="26" fillId="2" borderId="22" xfId="0" applyNumberFormat="1" applyFont="1" applyFill="1" applyBorder="1" applyAlignment="1" applyProtection="1">
      <alignment vertical="center"/>
      <protection locked="0"/>
    </xf>
    <xf numFmtId="168" fontId="7" fillId="0" borderId="14" xfId="0" applyNumberFormat="1" applyFont="1" applyBorder="1" applyAlignment="1">
      <alignment horizontal="left"/>
    </xf>
    <xf numFmtId="168" fontId="23" fillId="0" borderId="0" xfId="0" applyNumberFormat="1" applyFont="1" applyBorder="1" applyAlignment="1" applyProtection="1">
      <alignment vertical="center"/>
      <protection locked="0"/>
    </xf>
    <xf numFmtId="168" fontId="0" fillId="0" borderId="0" xfId="0" applyNumberFormat="1" applyFont="1" applyBorder="1" applyAlignment="1" applyProtection="1">
      <alignment vertical="center"/>
      <protection locked="0"/>
    </xf>
    <xf numFmtId="168" fontId="0" fillId="0" borderId="0" xfId="0" applyNumberFormat="1" applyFont="1" applyAlignment="1">
      <alignment vertical="center"/>
    </xf>
    <xf numFmtId="0" fontId="0" fillId="5" borderId="22" xfId="0" applyFont="1" applyFill="1" applyBorder="1" applyAlignment="1" applyProtection="1">
      <alignment horizontal="center" vertical="center"/>
      <protection locked="0"/>
    </xf>
    <xf numFmtId="168" fontId="0" fillId="2" borderId="19" xfId="0" applyNumberFormat="1" applyFont="1" applyFill="1" applyBorder="1" applyAlignment="1" applyProtection="1">
      <alignment vertical="center"/>
      <protection locked="0"/>
    </xf>
    <xf numFmtId="168" fontId="0" fillId="0" borderId="19" xfId="0" applyNumberFormat="1" applyFont="1" applyBorder="1" applyAlignment="1" applyProtection="1">
      <alignment vertical="center"/>
      <protection locked="0"/>
    </xf>
    <xf numFmtId="168" fontId="0" fillId="0" borderId="0" xfId="0" applyNumberFormat="1" applyFont="1" applyFill="1" applyBorder="1" applyAlignment="1" applyProtection="1">
      <alignment vertical="center"/>
      <protection locked="0"/>
    </xf>
    <xf numFmtId="168" fontId="26" fillId="2" borderId="19" xfId="0" applyNumberFormat="1" applyFont="1" applyFill="1" applyBorder="1" applyAlignment="1" applyProtection="1">
      <alignment vertical="center"/>
      <protection locked="0"/>
    </xf>
    <xf numFmtId="168" fontId="24" fillId="0" borderId="19" xfId="0" applyNumberFormat="1" applyFont="1" applyBorder="1" applyAlignment="1" applyProtection="1">
      <alignment vertical="center"/>
      <protection locked="0"/>
    </xf>
    <xf numFmtId="0" fontId="9" fillId="0" borderId="4" xfId="0" applyFont="1" applyBorder="1" applyAlignment="1"/>
    <xf numFmtId="0" fontId="9" fillId="0" borderId="0" xfId="0" applyFont="1" applyBorder="1" applyAlignment="1"/>
    <xf numFmtId="0" fontId="9" fillId="0" borderId="5" xfId="0" applyFont="1" applyBorder="1" applyAlignment="1"/>
    <xf numFmtId="0" fontId="9" fillId="0" borderId="0" xfId="0" applyFont="1" applyAlignment="1"/>
    <xf numFmtId="0" fontId="9" fillId="0" borderId="11" xfId="0" applyFont="1" applyBorder="1" applyAlignment="1"/>
    <xf numFmtId="165" fontId="9" fillId="0" borderId="0" xfId="0" applyNumberFormat="1" applyFont="1" applyBorder="1" applyAlignment="1"/>
    <xf numFmtId="165" fontId="9" fillId="0" borderId="12" xfId="0" applyNumberFormat="1" applyFont="1" applyBorder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6" fontId="9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2" fillId="6" borderId="2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166" fontId="0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3" borderId="2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Border="1"/>
    <xf numFmtId="168" fontId="29" fillId="0" borderId="22" xfId="0" applyNumberFormat="1" applyFont="1" applyBorder="1" applyAlignment="1" applyProtection="1">
      <alignment vertical="center"/>
      <protection locked="0"/>
    </xf>
    <xf numFmtId="168" fontId="24" fillId="2" borderId="22" xfId="0" applyNumberFormat="1" applyFont="1" applyFill="1" applyBorder="1" applyAlignment="1" applyProtection="1">
      <alignment vertical="center"/>
      <protection locked="0"/>
    </xf>
    <xf numFmtId="168" fontId="0" fillId="0" borderId="17" xfId="0" applyNumberFormat="1" applyFont="1" applyBorder="1" applyAlignment="1">
      <alignment vertical="center"/>
    </xf>
    <xf numFmtId="168" fontId="7" fillId="0" borderId="20" xfId="0" applyNumberFormat="1" applyFont="1" applyBorder="1" applyAlignment="1"/>
    <xf numFmtId="168" fontId="7" fillId="0" borderId="14" xfId="0" applyNumberFormat="1" applyFont="1" applyBorder="1" applyAlignment="1"/>
    <xf numFmtId="168" fontId="31" fillId="0" borderId="22" xfId="0" applyNumberFormat="1" applyFont="1" applyBorder="1" applyAlignment="1" applyProtection="1">
      <alignment vertical="center"/>
      <protection locked="0"/>
    </xf>
    <xf numFmtId="168" fontId="31" fillId="2" borderId="22" xfId="0" applyNumberFormat="1" applyFont="1" applyFill="1" applyBorder="1" applyAlignment="1" applyProtection="1">
      <alignment vertical="center"/>
      <protection locked="0"/>
    </xf>
    <xf numFmtId="168" fontId="24" fillId="2" borderId="19" xfId="0" applyNumberFormat="1" applyFont="1" applyFill="1" applyBorder="1" applyAlignment="1" applyProtection="1">
      <alignment vertical="center"/>
      <protection locked="0"/>
    </xf>
    <xf numFmtId="168" fontId="33" fillId="0" borderId="22" xfId="0" applyNumberFormat="1" applyFont="1" applyBorder="1" applyAlignment="1" applyProtection="1">
      <alignment vertical="center"/>
      <protection locked="0"/>
    </xf>
    <xf numFmtId="168" fontId="32" fillId="2" borderId="22" xfId="0" applyNumberFormat="1" applyFont="1" applyFill="1" applyBorder="1" applyAlignment="1" applyProtection="1">
      <alignment vertical="center"/>
      <protection locked="0"/>
    </xf>
    <xf numFmtId="168" fontId="32" fillId="0" borderId="22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3" borderId="20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Border="1"/>
    <xf numFmtId="168" fontId="0" fillId="0" borderId="21" xfId="0" applyNumberFormat="1" applyFont="1" applyBorder="1" applyAlignment="1" applyProtection="1">
      <alignment vertical="center"/>
      <protection locked="0"/>
    </xf>
    <xf numFmtId="168" fontId="24" fillId="0" borderId="21" xfId="0" applyNumberFormat="1" applyFont="1" applyBorder="1" applyAlignment="1" applyProtection="1">
      <alignment vertical="center"/>
      <protection locked="0"/>
    </xf>
    <xf numFmtId="168" fontId="23" fillId="0" borderId="24" xfId="0" applyNumberFormat="1" applyFont="1" applyBorder="1" applyAlignment="1" applyProtection="1">
      <alignment vertical="center"/>
      <protection locked="0"/>
    </xf>
    <xf numFmtId="10" fontId="0" fillId="0" borderId="2" xfId="0" applyNumberFormat="1" applyFont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10" fontId="11" fillId="0" borderId="0" xfId="0" applyNumberFormat="1" applyFont="1" applyBorder="1" applyAlignment="1">
      <alignment horizontal="left" vertical="center"/>
    </xf>
    <xf numFmtId="10" fontId="2" fillId="3" borderId="20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left"/>
    </xf>
    <xf numFmtId="10" fontId="7" fillId="0" borderId="0" xfId="0" applyNumberFormat="1" applyFont="1" applyBorder="1" applyAlignment="1">
      <alignment horizontal="left"/>
    </xf>
    <xf numFmtId="10" fontId="20" fillId="0" borderId="0" xfId="0" applyNumberFormat="1" applyFont="1" applyBorder="1" applyAlignment="1">
      <alignment horizontal="left"/>
    </xf>
    <xf numFmtId="10" fontId="0" fillId="0" borderId="17" xfId="0" applyNumberFormat="1" applyFont="1" applyBorder="1" applyAlignment="1">
      <alignment vertical="center"/>
    </xf>
    <xf numFmtId="10" fontId="0" fillId="0" borderId="0" xfId="0" applyNumberFormat="1"/>
    <xf numFmtId="10" fontId="23" fillId="0" borderId="25" xfId="0" applyNumberFormat="1" applyFont="1" applyBorder="1" applyAlignment="1" applyProtection="1">
      <alignment vertical="center"/>
      <protection locked="0"/>
    </xf>
    <xf numFmtId="168" fontId="23" fillId="0" borderId="26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>
      <alignment horizontal="center" vertical="center" wrapText="1"/>
    </xf>
    <xf numFmtId="168" fontId="15" fillId="0" borderId="28" xfId="0" applyNumberFormat="1" applyFont="1" applyBorder="1" applyAlignment="1"/>
    <xf numFmtId="168" fontId="28" fillId="0" borderId="29" xfId="0" applyNumberFormat="1" applyFont="1" applyBorder="1" applyAlignment="1"/>
    <xf numFmtId="168" fontId="20" fillId="0" borderId="30" xfId="0" applyNumberFormat="1" applyFont="1" applyBorder="1" applyAlignment="1"/>
    <xf numFmtId="168" fontId="0" fillId="0" borderId="31" xfId="0" applyNumberFormat="1" applyFont="1" applyBorder="1" applyAlignment="1" applyProtection="1">
      <alignment vertical="center"/>
      <protection locked="0"/>
    </xf>
    <xf numFmtId="168" fontId="20" fillId="0" borderId="27" xfId="0" applyNumberFormat="1" applyFont="1" applyBorder="1" applyAlignment="1"/>
    <xf numFmtId="168" fontId="24" fillId="0" borderId="31" xfId="0" applyNumberFormat="1" applyFont="1" applyBorder="1" applyAlignment="1" applyProtection="1">
      <alignment vertical="center"/>
      <protection locked="0"/>
    </xf>
    <xf numFmtId="10" fontId="2" fillId="3" borderId="27" xfId="0" applyNumberFormat="1" applyFont="1" applyFill="1" applyBorder="1" applyAlignment="1">
      <alignment horizontal="center" vertical="center" wrapText="1"/>
    </xf>
    <xf numFmtId="10" fontId="6" fillId="0" borderId="29" xfId="0" applyNumberFormat="1" applyFont="1" applyBorder="1" applyAlignment="1">
      <alignment horizontal="left"/>
    </xf>
    <xf numFmtId="10" fontId="7" fillId="0" borderId="29" xfId="0" applyNumberFormat="1" applyFont="1" applyBorder="1" applyAlignment="1">
      <alignment horizontal="left"/>
    </xf>
    <xf numFmtId="10" fontId="23" fillId="0" borderId="27" xfId="0" applyNumberFormat="1" applyFont="1" applyBorder="1" applyAlignment="1" applyProtection="1">
      <alignment vertical="center"/>
      <protection locked="0"/>
    </xf>
    <xf numFmtId="10" fontId="20" fillId="0" borderId="29" xfId="0" applyNumberFormat="1" applyFont="1" applyBorder="1" applyAlignment="1">
      <alignment horizontal="left"/>
    </xf>
    <xf numFmtId="10" fontId="23" fillId="0" borderId="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>
      <alignment horizontal="left"/>
    </xf>
    <xf numFmtId="10" fontId="34" fillId="0" borderId="28" xfId="0" applyNumberFormat="1" applyFont="1" applyBorder="1" applyAlignment="1" applyProtection="1">
      <alignment horizontal="right"/>
      <protection locked="0"/>
    </xf>
    <xf numFmtId="168" fontId="23" fillId="0" borderId="31" xfId="0" applyNumberFormat="1" applyFont="1" applyBorder="1" applyAlignment="1" applyProtection="1">
      <alignment vertical="center"/>
      <protection locked="0"/>
    </xf>
    <xf numFmtId="168" fontId="0" fillId="0" borderId="32" xfId="0" applyNumberFormat="1" applyFont="1" applyBorder="1" applyAlignment="1" applyProtection="1">
      <alignment vertical="center"/>
      <protection locked="0"/>
    </xf>
    <xf numFmtId="168" fontId="24" fillId="0" borderId="32" xfId="0" applyNumberFormat="1" applyFont="1" applyBorder="1" applyAlignment="1" applyProtection="1">
      <alignment vertical="center"/>
      <protection locked="0"/>
    </xf>
    <xf numFmtId="168" fontId="0" fillId="2" borderId="21" xfId="0" applyNumberFormat="1" applyFont="1" applyFill="1" applyBorder="1" applyAlignment="1" applyProtection="1">
      <alignment vertical="center"/>
      <protection locked="0"/>
    </xf>
    <xf numFmtId="168" fontId="0" fillId="2" borderId="20" xfId="0" applyNumberFormat="1" applyFont="1" applyFill="1" applyBorder="1" applyAlignment="1" applyProtection="1">
      <alignment vertical="center"/>
      <protection locked="0"/>
    </xf>
    <xf numFmtId="168" fontId="26" fillId="2" borderId="20" xfId="0" applyNumberFormat="1" applyFont="1" applyFill="1" applyBorder="1" applyAlignment="1" applyProtection="1">
      <alignment vertical="center"/>
      <protection locked="0"/>
    </xf>
    <xf numFmtId="10" fontId="23" fillId="0" borderId="31" xfId="0" applyNumberFormat="1" applyFont="1" applyBorder="1" applyAlignment="1" applyProtection="1">
      <alignment vertical="center"/>
      <protection locked="0"/>
    </xf>
    <xf numFmtId="0" fontId="13" fillId="3" borderId="27" xfId="0" applyFont="1" applyFill="1" applyBorder="1" applyAlignment="1">
      <alignment horizontal="center" vertical="center" wrapText="1"/>
    </xf>
    <xf numFmtId="168" fontId="0" fillId="0" borderId="29" xfId="0" applyNumberFormat="1" applyFont="1" applyBorder="1" applyAlignment="1">
      <alignment vertical="center"/>
    </xf>
    <xf numFmtId="168" fontId="6" fillId="0" borderId="29" xfId="0" applyNumberFormat="1" applyFont="1" applyBorder="1" applyAlignment="1">
      <alignment horizontal="left"/>
    </xf>
    <xf numFmtId="168" fontId="7" fillId="0" borderId="29" xfId="0" applyNumberFormat="1" applyFont="1" applyBorder="1" applyAlignment="1">
      <alignment horizontal="left"/>
    </xf>
    <xf numFmtId="168" fontId="20" fillId="0" borderId="29" xfId="0" applyNumberFormat="1" applyFont="1" applyBorder="1" applyAlignment="1">
      <alignment horizontal="left"/>
    </xf>
    <xf numFmtId="168" fontId="23" fillId="0" borderId="29" xfId="0" applyNumberFormat="1" applyFont="1" applyBorder="1" applyAlignment="1" applyProtection="1">
      <alignment vertical="center"/>
      <protection locked="0"/>
    </xf>
    <xf numFmtId="168" fontId="30" fillId="0" borderId="29" xfId="0" applyNumberFormat="1" applyFont="1" applyBorder="1" applyAlignment="1">
      <alignment horizontal="left"/>
    </xf>
    <xf numFmtId="0" fontId="2" fillId="4" borderId="7" xfId="0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4" fontId="36" fillId="0" borderId="0" xfId="0" applyNumberFormat="1" applyFont="1" applyBorder="1" applyAlignment="1">
      <alignment horizontal="right" vertical="center"/>
    </xf>
    <xf numFmtId="4" fontId="36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4" fontId="37" fillId="0" borderId="0" xfId="0" applyNumberFormat="1" applyFont="1" applyBorder="1" applyAlignment="1">
      <alignment horizontal="right" vertical="center"/>
    </xf>
    <xf numFmtId="4" fontId="37" fillId="0" borderId="0" xfId="0" applyNumberFormat="1" applyFont="1" applyBorder="1" applyAlignment="1">
      <alignment vertical="center"/>
    </xf>
    <xf numFmtId="4" fontId="38" fillId="0" borderId="0" xfId="0" applyNumberFormat="1" applyFont="1" applyBorder="1" applyAlignment="1">
      <alignment vertical="center"/>
    </xf>
    <xf numFmtId="0" fontId="13" fillId="9" borderId="7" xfId="0" applyFont="1" applyFill="1" applyBorder="1" applyAlignment="1">
      <alignment horizontal="center" vertical="center" wrapText="1"/>
    </xf>
    <xf numFmtId="0" fontId="13" fillId="9" borderId="33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vertical="center"/>
    </xf>
    <xf numFmtId="0" fontId="0" fillId="9" borderId="29" xfId="0" applyFont="1" applyFill="1" applyBorder="1" applyAlignment="1">
      <alignment vertical="center"/>
    </xf>
    <xf numFmtId="4" fontId="15" fillId="9" borderId="0" xfId="0" applyNumberFormat="1" applyFont="1" applyFill="1" applyBorder="1" applyAlignment="1">
      <alignment horizontal="right" vertical="center"/>
    </xf>
    <xf numFmtId="10" fontId="15" fillId="9" borderId="29" xfId="0" applyNumberFormat="1" applyFont="1" applyFill="1" applyBorder="1" applyAlignment="1">
      <alignment horizontal="right" vertical="center"/>
    </xf>
    <xf numFmtId="4" fontId="36" fillId="9" borderId="0" xfId="0" applyNumberFormat="1" applyFont="1" applyFill="1" applyBorder="1" applyAlignment="1">
      <alignment horizontal="right" vertical="center"/>
    </xf>
    <xf numFmtId="10" fontId="36" fillId="9" borderId="29" xfId="0" applyNumberFormat="1" applyFont="1" applyFill="1" applyBorder="1" applyAlignment="1">
      <alignment horizontal="right" vertical="center"/>
    </xf>
    <xf numFmtId="4" fontId="7" fillId="9" borderId="0" xfId="0" applyNumberFormat="1" applyFont="1" applyFill="1" applyBorder="1" applyAlignment="1">
      <alignment vertical="center"/>
    </xf>
    <xf numFmtId="10" fontId="7" fillId="9" borderId="29" xfId="0" applyNumberFormat="1" applyFont="1" applyFill="1" applyBorder="1" applyAlignment="1">
      <alignment vertical="center"/>
    </xf>
    <xf numFmtId="4" fontId="37" fillId="9" borderId="0" xfId="0" applyNumberFormat="1" applyFont="1" applyFill="1" applyBorder="1" applyAlignment="1">
      <alignment horizontal="right" vertical="center"/>
    </xf>
    <xf numFmtId="10" fontId="37" fillId="9" borderId="29" xfId="0" applyNumberFormat="1" applyFont="1" applyFill="1" applyBorder="1" applyAlignment="1">
      <alignment horizontal="right" vertical="center"/>
    </xf>
    <xf numFmtId="4" fontId="7" fillId="9" borderId="0" xfId="0" applyNumberFormat="1" applyFont="1" applyFill="1" applyBorder="1" applyAlignment="1">
      <alignment horizontal="right" vertical="center"/>
    </xf>
    <xf numFmtId="4" fontId="37" fillId="9" borderId="0" xfId="0" applyNumberFormat="1" applyFont="1" applyFill="1" applyBorder="1" applyAlignment="1">
      <alignment vertical="center"/>
    </xf>
    <xf numFmtId="0" fontId="0" fillId="9" borderId="0" xfId="0" applyFill="1" applyBorder="1"/>
    <xf numFmtId="0" fontId="0" fillId="9" borderId="29" xfId="0" applyFill="1" applyBorder="1"/>
    <xf numFmtId="0" fontId="0" fillId="9" borderId="17" xfId="0" applyFont="1" applyFill="1" applyBorder="1" applyAlignment="1">
      <alignment vertical="center"/>
    </xf>
    <xf numFmtId="0" fontId="0" fillId="9" borderId="34" xfId="0" applyFont="1" applyFill="1" applyBorder="1" applyAlignment="1">
      <alignment vertical="center"/>
    </xf>
    <xf numFmtId="0" fontId="2" fillId="4" borderId="33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0" fillId="4" borderId="29" xfId="0" applyFont="1" applyFill="1" applyBorder="1" applyAlignment="1">
      <alignment vertical="center"/>
    </xf>
    <xf numFmtId="4" fontId="15" fillId="4" borderId="0" xfId="0" applyNumberFormat="1" applyFont="1" applyFill="1" applyBorder="1" applyAlignment="1">
      <alignment horizontal="right" vertical="center"/>
    </xf>
    <xf numFmtId="10" fontId="15" fillId="4" borderId="29" xfId="0" applyNumberFormat="1" applyFont="1" applyFill="1" applyBorder="1" applyAlignment="1">
      <alignment horizontal="right" vertical="center"/>
    </xf>
    <xf numFmtId="4" fontId="36" fillId="4" borderId="0" xfId="0" applyNumberFormat="1" applyFont="1" applyFill="1" applyBorder="1" applyAlignment="1">
      <alignment horizontal="right" vertical="center"/>
    </xf>
    <xf numFmtId="10" fontId="36" fillId="4" borderId="29" xfId="0" applyNumberFormat="1" applyFont="1" applyFill="1" applyBorder="1" applyAlignment="1">
      <alignment horizontal="right" vertical="center"/>
    </xf>
    <xf numFmtId="4" fontId="7" fillId="4" borderId="0" xfId="0" applyNumberFormat="1" applyFont="1" applyFill="1" applyBorder="1" applyAlignment="1">
      <alignment vertical="center"/>
    </xf>
    <xf numFmtId="10" fontId="7" fillId="4" borderId="29" xfId="0" applyNumberFormat="1" applyFont="1" applyFill="1" applyBorder="1" applyAlignment="1">
      <alignment vertical="center"/>
    </xf>
    <xf numFmtId="0" fontId="0" fillId="4" borderId="0" xfId="0" applyFill="1" applyBorder="1"/>
    <xf numFmtId="0" fontId="0" fillId="4" borderId="29" xfId="0" applyFill="1" applyBorder="1"/>
    <xf numFmtId="0" fontId="0" fillId="4" borderId="17" xfId="0" applyFont="1" applyFill="1" applyBorder="1" applyAlignment="1">
      <alignment vertical="center"/>
    </xf>
    <xf numFmtId="0" fontId="0" fillId="4" borderId="34" xfId="0" applyFont="1" applyFill="1" applyBorder="1" applyAlignment="1">
      <alignment vertical="center"/>
    </xf>
    <xf numFmtId="166" fontId="0" fillId="0" borderId="20" xfId="0" applyNumberFormat="1" applyFont="1" applyBorder="1" applyAlignment="1" applyProtection="1">
      <alignment vertical="center"/>
      <protection locked="0"/>
    </xf>
    <xf numFmtId="0" fontId="39" fillId="0" borderId="0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>
      <alignment vertical="center"/>
    </xf>
    <xf numFmtId="166" fontId="34" fillId="0" borderId="9" xfId="0" applyNumberFormat="1" applyFont="1" applyBorder="1" applyAlignment="1"/>
    <xf numFmtId="0" fontId="34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40" fillId="10" borderId="0" xfId="0" applyFont="1" applyFill="1" applyBorder="1" applyAlignment="1">
      <alignment horizontal="left"/>
    </xf>
    <xf numFmtId="0" fontId="39" fillId="10" borderId="0" xfId="0" applyFont="1" applyFill="1" applyBorder="1" applyAlignment="1">
      <alignment vertical="center"/>
    </xf>
    <xf numFmtId="0" fontId="39" fillId="10" borderId="0" xfId="0" applyFont="1" applyFill="1" applyAlignment="1">
      <alignment vertical="center"/>
    </xf>
    <xf numFmtId="166" fontId="40" fillId="10" borderId="9" xfId="0" applyNumberFormat="1" applyFont="1" applyFill="1" applyBorder="1" applyAlignment="1"/>
    <xf numFmtId="0" fontId="42" fillId="0" borderId="0" xfId="0" applyFont="1" applyAlignment="1"/>
    <xf numFmtId="0" fontId="42" fillId="0" borderId="4" xfId="0" applyFont="1" applyBorder="1" applyAlignment="1"/>
    <xf numFmtId="0" fontId="42" fillId="0" borderId="0" xfId="0" applyFont="1" applyBorder="1" applyAlignment="1"/>
    <xf numFmtId="0" fontId="42" fillId="0" borderId="5" xfId="0" applyFont="1" applyBorder="1" applyAlignment="1"/>
    <xf numFmtId="0" fontId="23" fillId="0" borderId="0" xfId="0" applyFont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>
      <alignment vertical="center"/>
    </xf>
    <xf numFmtId="0" fontId="23" fillId="0" borderId="4" xfId="0" applyFont="1" applyBorder="1" applyAlignment="1" applyProtection="1">
      <alignment vertical="center"/>
      <protection locked="0"/>
    </xf>
    <xf numFmtId="166" fontId="23" fillId="0" borderId="0" xfId="0" applyNumberFormat="1" applyFont="1" applyFill="1" applyBorder="1" applyAlignment="1" applyProtection="1">
      <alignment vertical="center"/>
      <protection locked="0"/>
    </xf>
    <xf numFmtId="0" fontId="23" fillId="0" borderId="5" xfId="0" applyFont="1" applyBorder="1" applyAlignment="1" applyProtection="1">
      <alignment vertical="center"/>
      <protection locked="0"/>
    </xf>
    <xf numFmtId="168" fontId="39" fillId="0" borderId="0" xfId="0" applyNumberFormat="1" applyFont="1" applyBorder="1" applyAlignment="1">
      <alignment vertical="center"/>
    </xf>
    <xf numFmtId="10" fontId="39" fillId="0" borderId="0" xfId="0" applyNumberFormat="1" applyFont="1" applyBorder="1" applyAlignment="1">
      <alignment vertical="center"/>
    </xf>
    <xf numFmtId="168" fontId="40" fillId="0" borderId="9" xfId="0" applyNumberFormat="1" applyFont="1" applyBorder="1" applyAlignment="1"/>
    <xf numFmtId="168" fontId="40" fillId="0" borderId="28" xfId="0" applyNumberFormat="1" applyFont="1" applyBorder="1" applyAlignment="1"/>
    <xf numFmtId="0" fontId="43" fillId="0" borderId="0" xfId="0" applyFont="1" applyFill="1" applyBorder="1" applyAlignment="1"/>
    <xf numFmtId="0" fontId="44" fillId="0" borderId="0" xfId="0" applyFont="1" applyFill="1" applyBorder="1" applyAlignment="1">
      <alignment horizontal="left"/>
    </xf>
    <xf numFmtId="168" fontId="44" fillId="0" borderId="0" xfId="0" applyNumberFormat="1" applyFont="1" applyFill="1" applyBorder="1" applyAlignment="1">
      <alignment horizontal="left"/>
    </xf>
    <xf numFmtId="168" fontId="45" fillId="0" borderId="0" xfId="0" applyNumberFormat="1" applyFont="1" applyFill="1" applyBorder="1" applyAlignment="1">
      <alignment horizontal="left"/>
    </xf>
    <xf numFmtId="10" fontId="45" fillId="0" borderId="0" xfId="0" applyNumberFormat="1" applyFont="1" applyFill="1" applyBorder="1" applyAlignment="1">
      <alignment horizontal="left"/>
    </xf>
    <xf numFmtId="168" fontId="45" fillId="0" borderId="9" xfId="0" applyNumberFormat="1" applyFont="1" applyFill="1" applyBorder="1" applyAlignment="1"/>
    <xf numFmtId="168" fontId="45" fillId="0" borderId="28" xfId="0" applyNumberFormat="1" applyFont="1" applyFill="1" applyBorder="1" applyAlignment="1"/>
    <xf numFmtId="168" fontId="45" fillId="0" borderId="9" xfId="0" applyNumberFormat="1" applyFont="1" applyBorder="1" applyAlignment="1"/>
    <xf numFmtId="168" fontId="45" fillId="0" borderId="29" xfId="0" applyNumberFormat="1" applyFont="1" applyBorder="1" applyAlignment="1">
      <alignment horizontal="left"/>
    </xf>
    <xf numFmtId="0" fontId="35" fillId="4" borderId="0" xfId="0" applyFont="1" applyFill="1" applyBorder="1" applyAlignment="1">
      <alignment vertical="center"/>
    </xf>
    <xf numFmtId="168" fontId="35" fillId="4" borderId="0" xfId="0" applyNumberFormat="1" applyFont="1" applyFill="1" applyBorder="1" applyAlignment="1">
      <alignment vertical="center"/>
    </xf>
    <xf numFmtId="10" fontId="35" fillId="4" borderId="0" xfId="0" applyNumberFormat="1" applyFont="1" applyFill="1" applyBorder="1" applyAlignment="1">
      <alignment vertical="center"/>
    </xf>
    <xf numFmtId="168" fontId="34" fillId="4" borderId="9" xfId="0" applyNumberFormat="1" applyFont="1" applyFill="1" applyBorder="1" applyAlignment="1"/>
    <xf numFmtId="168" fontId="34" fillId="4" borderId="28" xfId="0" applyNumberFormat="1" applyFont="1" applyFill="1" applyBorder="1" applyAlignment="1"/>
    <xf numFmtId="168" fontId="35" fillId="4" borderId="29" xfId="0" applyNumberFormat="1" applyFont="1" applyFill="1" applyBorder="1" applyAlignment="1">
      <alignment vertical="center"/>
    </xf>
    <xf numFmtId="0" fontId="0" fillId="9" borderId="35" xfId="0" applyFont="1" applyFill="1" applyBorder="1" applyAlignment="1">
      <alignment vertical="center"/>
    </xf>
    <xf numFmtId="166" fontId="0" fillId="0" borderId="21" xfId="0" applyNumberFormat="1" applyFont="1" applyBorder="1" applyAlignment="1" applyProtection="1">
      <alignment vertical="center"/>
      <protection locked="0"/>
    </xf>
    <xf numFmtId="166" fontId="24" fillId="0" borderId="21" xfId="0" applyNumberFormat="1" applyFont="1" applyBorder="1" applyAlignment="1" applyProtection="1">
      <alignment vertical="center"/>
      <protection locked="0"/>
    </xf>
    <xf numFmtId="166" fontId="31" fillId="0" borderId="21" xfId="0" applyNumberFormat="1" applyFont="1" applyBorder="1" applyAlignment="1" applyProtection="1">
      <alignment vertical="center"/>
      <protection locked="0"/>
    </xf>
    <xf numFmtId="166" fontId="23" fillId="0" borderId="31" xfId="0" applyNumberFormat="1" applyFont="1" applyBorder="1" applyAlignment="1" applyProtection="1">
      <alignment vertical="center"/>
      <protection locked="0"/>
    </xf>
    <xf numFmtId="166" fontId="29" fillId="0" borderId="31" xfId="0" applyNumberFormat="1" applyFont="1" applyBorder="1" applyAlignment="1" applyProtection="1">
      <alignment vertical="center"/>
      <protection locked="0"/>
    </xf>
    <xf numFmtId="0" fontId="23" fillId="0" borderId="14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166" fontId="24" fillId="0" borderId="20" xfId="0" applyNumberFormat="1" applyFont="1" applyBorder="1" applyAlignment="1" applyProtection="1">
      <alignment vertical="center"/>
      <protection locked="0"/>
    </xf>
    <xf numFmtId="166" fontId="34" fillId="0" borderId="28" xfId="0" applyNumberFormat="1" applyFont="1" applyBorder="1" applyAlignment="1"/>
    <xf numFmtId="166" fontId="28" fillId="0" borderId="29" xfId="0" applyNumberFormat="1" applyFont="1" applyBorder="1" applyAlignment="1"/>
    <xf numFmtId="166" fontId="20" fillId="0" borderId="30" xfId="0" applyNumberFormat="1" applyFont="1" applyBorder="1" applyAlignment="1"/>
    <xf numFmtId="166" fontId="0" fillId="0" borderId="31" xfId="0" applyNumberFormat="1" applyFont="1" applyBorder="1" applyAlignment="1" applyProtection="1">
      <alignment vertical="center"/>
      <protection locked="0"/>
    </xf>
    <xf numFmtId="166" fontId="20" fillId="0" borderId="27" xfId="0" applyNumberFormat="1" applyFont="1" applyBorder="1" applyAlignment="1"/>
    <xf numFmtId="166" fontId="28" fillId="0" borderId="28" xfId="0" applyNumberFormat="1" applyFont="1" applyBorder="1" applyAlignment="1"/>
    <xf numFmtId="166" fontId="24" fillId="0" borderId="31" xfId="0" applyNumberFormat="1" applyFont="1" applyBorder="1" applyAlignment="1" applyProtection="1">
      <alignment vertical="center"/>
      <protection locked="0"/>
    </xf>
    <xf numFmtId="166" fontId="40" fillId="10" borderId="28" xfId="0" applyNumberFormat="1" applyFont="1" applyFill="1" applyBorder="1" applyAlignment="1"/>
    <xf numFmtId="10" fontId="34" fillId="0" borderId="0" xfId="0" applyNumberFormat="1" applyFont="1" applyBorder="1" applyAlignment="1"/>
    <xf numFmtId="10" fontId="0" fillId="0" borderId="0" xfId="0" applyNumberFormat="1" applyBorder="1"/>
    <xf numFmtId="10" fontId="2" fillId="0" borderId="0" xfId="0" applyNumberFormat="1" applyFont="1" applyBorder="1" applyAlignment="1">
      <alignment horizontal="left" vertical="center"/>
    </xf>
    <xf numFmtId="10" fontId="2" fillId="3" borderId="0" xfId="0" applyNumberFormat="1" applyFont="1" applyFill="1" applyBorder="1" applyAlignment="1">
      <alignment horizontal="center" vertical="center" wrapText="1"/>
    </xf>
    <xf numFmtId="10" fontId="28" fillId="0" borderId="0" xfId="0" applyNumberFormat="1" applyFont="1" applyBorder="1" applyAlignment="1"/>
    <xf numFmtId="10" fontId="20" fillId="0" borderId="0" xfId="0" applyNumberFormat="1" applyFont="1" applyBorder="1" applyAlignment="1"/>
    <xf numFmtId="10" fontId="20" fillId="0" borderId="14" xfId="0" applyNumberFormat="1" applyFont="1" applyBorder="1" applyAlignment="1"/>
    <xf numFmtId="0" fontId="2" fillId="3" borderId="28" xfId="0" applyFont="1" applyFill="1" applyBorder="1" applyAlignment="1">
      <alignment horizontal="center" vertical="center" wrapText="1"/>
    </xf>
    <xf numFmtId="10" fontId="34" fillId="0" borderId="29" xfId="0" applyNumberFormat="1" applyFont="1" applyBorder="1" applyAlignment="1"/>
    <xf numFmtId="166" fontId="20" fillId="0" borderId="29" xfId="0" applyNumberFormat="1" applyFont="1" applyBorder="1" applyAlignment="1"/>
    <xf numFmtId="10" fontId="23" fillId="0" borderId="36" xfId="0" applyNumberFormat="1" applyFont="1" applyBorder="1" applyAlignment="1" applyProtection="1">
      <alignment vertical="center"/>
      <protection locked="0"/>
    </xf>
    <xf numFmtId="10" fontId="20" fillId="0" borderId="20" xfId="0" applyNumberFormat="1" applyFont="1" applyBorder="1" applyAlignment="1"/>
    <xf numFmtId="168" fontId="29" fillId="0" borderId="31" xfId="0" applyNumberFormat="1" applyFont="1" applyBorder="1" applyAlignment="1" applyProtection="1">
      <alignment vertical="center"/>
      <protection locked="0"/>
    </xf>
    <xf numFmtId="166" fontId="15" fillId="0" borderId="0" xfId="0" applyNumberFormat="1" applyFont="1" applyBorder="1" applyAlignment="1"/>
    <xf numFmtId="166" fontId="15" fillId="0" borderId="28" xfId="0" applyNumberFormat="1" applyFont="1" applyBorder="1" applyAlignment="1"/>
    <xf numFmtId="166" fontId="6" fillId="0" borderId="29" xfId="0" applyNumberFormat="1" applyFont="1" applyBorder="1" applyAlignment="1"/>
    <xf numFmtId="166" fontId="7" fillId="0" borderId="30" xfId="0" applyNumberFormat="1" applyFont="1" applyBorder="1" applyAlignment="1"/>
    <xf numFmtId="166" fontId="6" fillId="0" borderId="28" xfId="0" applyNumberFormat="1" applyFont="1" applyBorder="1" applyAlignment="1"/>
    <xf numFmtId="166" fontId="7" fillId="0" borderId="27" xfId="0" applyNumberFormat="1" applyFont="1" applyBorder="1" applyAlignment="1"/>
    <xf numFmtId="10" fontId="15" fillId="0" borderId="0" xfId="0" applyNumberFormat="1" applyFont="1" applyBorder="1" applyAlignment="1"/>
    <xf numFmtId="0" fontId="39" fillId="4" borderId="0" xfId="0" applyFont="1" applyFill="1" applyBorder="1" applyAlignment="1">
      <alignment vertical="center"/>
    </xf>
    <xf numFmtId="0" fontId="46" fillId="4" borderId="0" xfId="0" applyFont="1" applyFill="1" applyBorder="1" applyAlignment="1">
      <alignment horizontal="left"/>
    </xf>
    <xf numFmtId="166" fontId="46" fillId="4" borderId="9" xfId="0" applyNumberFormat="1" applyFont="1" applyFill="1" applyBorder="1" applyAlignment="1"/>
    <xf numFmtId="166" fontId="46" fillId="4" borderId="28" xfId="0" applyNumberFormat="1" applyFont="1" applyFill="1" applyBorder="1" applyAlignment="1"/>
    <xf numFmtId="10" fontId="40" fillId="4" borderId="0" xfId="0" applyNumberFormat="1" applyFont="1" applyFill="1" applyBorder="1" applyAlignment="1"/>
    <xf numFmtId="0" fontId="40" fillId="4" borderId="0" xfId="0" applyFont="1" applyFill="1" applyBorder="1" applyAlignment="1">
      <alignment horizontal="left"/>
    </xf>
    <xf numFmtId="0" fontId="47" fillId="4" borderId="0" xfId="0" applyFont="1" applyFill="1" applyBorder="1" applyAlignment="1">
      <alignment vertical="center"/>
    </xf>
    <xf numFmtId="168" fontId="47" fillId="4" borderId="0" xfId="0" applyNumberFormat="1" applyFont="1" applyFill="1" applyBorder="1" applyAlignment="1">
      <alignment vertical="center"/>
    </xf>
    <xf numFmtId="10" fontId="47" fillId="4" borderId="0" xfId="0" applyNumberFormat="1" applyFont="1" applyFill="1" applyBorder="1" applyAlignment="1">
      <alignment vertical="center"/>
    </xf>
    <xf numFmtId="168" fontId="40" fillId="4" borderId="9" xfId="0" applyNumberFormat="1" applyFont="1" applyFill="1" applyBorder="1" applyAlignment="1"/>
    <xf numFmtId="168" fontId="40" fillId="4" borderId="28" xfId="0" applyNumberFormat="1" applyFont="1" applyFill="1" applyBorder="1" applyAlignment="1"/>
    <xf numFmtId="10" fontId="40" fillId="4" borderId="28" xfId="0" applyNumberFormat="1" applyFont="1" applyFill="1" applyBorder="1" applyAlignment="1" applyProtection="1">
      <protection locked="0"/>
    </xf>
    <xf numFmtId="168" fontId="31" fillId="0" borderId="21" xfId="0" applyNumberFormat="1" applyFont="1" applyBorder="1" applyAlignment="1" applyProtection="1">
      <alignment vertical="center"/>
      <protection locked="0"/>
    </xf>
    <xf numFmtId="168" fontId="29" fillId="0" borderId="21" xfId="0" applyNumberFormat="1" applyFont="1" applyBorder="1" applyAlignment="1" applyProtection="1">
      <alignment vertical="center"/>
      <protection locked="0"/>
    </xf>
    <xf numFmtId="168" fontId="32" fillId="0" borderId="21" xfId="0" applyNumberFormat="1" applyFont="1" applyBorder="1" applyAlignment="1" applyProtection="1">
      <alignment vertical="center"/>
      <protection locked="0"/>
    </xf>
    <xf numFmtId="168" fontId="33" fillId="0" borderId="31" xfId="0" applyNumberFormat="1" applyFont="1" applyBorder="1" applyAlignment="1" applyProtection="1">
      <alignment vertical="center"/>
      <protection locked="0"/>
    </xf>
    <xf numFmtId="168" fontId="20" fillId="0" borderId="20" xfId="0" applyNumberFormat="1" applyFont="1" applyBorder="1" applyAlignment="1">
      <alignment horizontal="left"/>
    </xf>
    <xf numFmtId="168" fontId="7" fillId="0" borderId="0" xfId="0" applyNumberFormat="1" applyFont="1" applyBorder="1" applyAlignment="1"/>
    <xf numFmtId="168" fontId="7" fillId="0" borderId="27" xfId="0" applyNumberFormat="1" applyFont="1" applyBorder="1" applyAlignment="1"/>
    <xf numFmtId="168" fontId="7" fillId="0" borderId="30" xfId="0" applyNumberFormat="1" applyFont="1" applyBorder="1" applyAlignment="1"/>
    <xf numFmtId="168" fontId="31" fillId="0" borderId="31" xfId="0" applyNumberFormat="1" applyFont="1" applyBorder="1" applyAlignment="1" applyProtection="1">
      <alignment vertical="center"/>
      <protection locked="0"/>
    </xf>
    <xf numFmtId="168" fontId="32" fillId="0" borderId="31" xfId="0" applyNumberFormat="1" applyFont="1" applyBorder="1" applyAlignment="1" applyProtection="1">
      <alignment vertical="center"/>
      <protection locked="0"/>
    </xf>
    <xf numFmtId="166" fontId="40" fillId="4" borderId="9" xfId="0" applyNumberFormat="1" applyFont="1" applyFill="1" applyBorder="1" applyAlignment="1"/>
    <xf numFmtId="166" fontId="40" fillId="4" borderId="0" xfId="0" applyNumberFormat="1" applyFont="1" applyFill="1" applyBorder="1" applyAlignment="1"/>
    <xf numFmtId="166" fontId="0" fillId="2" borderId="22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11" borderId="7" xfId="0" applyFont="1" applyFill="1" applyBorder="1" applyAlignment="1">
      <alignment horizontal="center" vertical="center"/>
    </xf>
    <xf numFmtId="0" fontId="0" fillId="11" borderId="0" xfId="0" applyFont="1" applyFill="1" applyBorder="1" applyAlignment="1">
      <alignment vertical="center"/>
    </xf>
    <xf numFmtId="0" fontId="0" fillId="11" borderId="0" xfId="0" applyFill="1" applyBorder="1"/>
    <xf numFmtId="0" fontId="0" fillId="11" borderId="17" xfId="0" applyFont="1" applyFill="1" applyBorder="1" applyAlignment="1">
      <alignment vertical="center"/>
    </xf>
    <xf numFmtId="4" fontId="15" fillId="11" borderId="0" xfId="0" applyNumberFormat="1" applyFont="1" applyFill="1" applyBorder="1" applyAlignment="1">
      <alignment horizontal="right" vertical="center"/>
    </xf>
    <xf numFmtId="4" fontId="36" fillId="11" borderId="0" xfId="0" applyNumberFormat="1" applyFont="1" applyFill="1" applyBorder="1" applyAlignment="1">
      <alignment horizontal="right" vertical="center"/>
    </xf>
    <xf numFmtId="4" fontId="7" fillId="11" borderId="0" xfId="0" applyNumberFormat="1" applyFont="1" applyFill="1" applyBorder="1" applyAlignment="1">
      <alignment vertical="center"/>
    </xf>
    <xf numFmtId="166" fontId="40" fillId="10" borderId="0" xfId="0" applyNumberFormat="1" applyFont="1" applyFill="1" applyBorder="1" applyAlignment="1"/>
    <xf numFmtId="166" fontId="40" fillId="10" borderId="29" xfId="0" applyNumberFormat="1" applyFont="1" applyFill="1" applyBorder="1" applyAlignment="1"/>
    <xf numFmtId="10" fontId="23" fillId="0" borderId="14" xfId="0" applyNumberFormat="1" applyFont="1" applyBorder="1" applyAlignment="1" applyProtection="1">
      <alignment vertical="center"/>
      <protection locked="0"/>
    </xf>
    <xf numFmtId="168" fontId="34" fillId="4" borderId="0" xfId="0" applyNumberFormat="1" applyFont="1" applyFill="1" applyBorder="1" applyAlignment="1"/>
    <xf numFmtId="166" fontId="34" fillId="4" borderId="0" xfId="0" applyNumberFormat="1" applyFont="1" applyFill="1" applyBorder="1" applyAlignment="1"/>
    <xf numFmtId="166" fontId="46" fillId="4" borderId="0" xfId="0" applyNumberFormat="1" applyFont="1" applyFill="1" applyBorder="1" applyAlignment="1"/>
    <xf numFmtId="166" fontId="46" fillId="4" borderId="29" xfId="0" applyNumberFormat="1" applyFont="1" applyFill="1" applyBorder="1" applyAlignment="1"/>
    <xf numFmtId="0" fontId="0" fillId="0" borderId="11" xfId="0" applyFont="1" applyBorder="1" applyAlignment="1">
      <alignment vertical="center"/>
    </xf>
    <xf numFmtId="168" fontId="40" fillId="4" borderId="0" xfId="0" applyNumberFormat="1" applyFont="1" applyFill="1" applyBorder="1" applyAlignment="1"/>
    <xf numFmtId="168" fontId="40" fillId="4" borderId="29" xfId="0" applyNumberFormat="1" applyFont="1" applyFill="1" applyBorder="1" applyAlignment="1"/>
    <xf numFmtId="10" fontId="40" fillId="4" borderId="29" xfId="0" applyNumberFormat="1" applyFont="1" applyFill="1" applyBorder="1" applyAlignment="1" applyProtection="1">
      <protection locked="0"/>
    </xf>
    <xf numFmtId="0" fontId="36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23" fillId="8" borderId="14" xfId="0" applyFont="1" applyFill="1" applyBorder="1" applyAlignment="1">
      <alignment horizontal="center" vertical="center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31" fillId="0" borderId="19" xfId="0" applyFont="1" applyBorder="1" applyAlignment="1" applyProtection="1">
      <alignment horizontal="left" vertical="center" wrapText="1"/>
      <protection locked="0"/>
    </xf>
    <xf numFmtId="0" fontId="31" fillId="0" borderId="20" xfId="0" applyFont="1" applyBorder="1" applyAlignment="1" applyProtection="1">
      <alignment horizontal="left" vertical="center" wrapText="1"/>
      <protection locked="0"/>
    </xf>
    <xf numFmtId="0" fontId="31" fillId="0" borderId="21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/>
    </xf>
    <xf numFmtId="0" fontId="2" fillId="3" borderId="20" xfId="0" applyFont="1" applyFill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Border="1"/>
    <xf numFmtId="0" fontId="23" fillId="8" borderId="0" xfId="0" applyFont="1" applyFill="1" applyBorder="1" applyAlignment="1">
      <alignment horizontal="center" vertical="center"/>
    </xf>
    <xf numFmtId="166" fontId="0" fillId="2" borderId="22" xfId="0" applyNumberFormat="1" applyFont="1" applyFill="1" applyBorder="1" applyAlignment="1" applyProtection="1">
      <alignment vertical="center"/>
      <protection locked="0"/>
    </xf>
    <xf numFmtId="166" fontId="26" fillId="2" borderId="22" xfId="0" applyNumberFormat="1" applyFont="1" applyFill="1" applyBorder="1" applyAlignment="1" applyProtection="1">
      <alignment vertical="center"/>
      <protection locked="0"/>
    </xf>
    <xf numFmtId="0" fontId="21" fillId="3" borderId="20" xfId="0" applyFont="1" applyFill="1" applyBorder="1" applyAlignment="1">
      <alignment horizontal="center" vertical="center" wrapText="1"/>
    </xf>
  </cellXfs>
  <cellStyles count="3">
    <cellStyle name="Excel Built-in Normal" xfId="2"/>
    <cellStyle name="Hypertextové prepojenie" xfId="1" builtinId="8"/>
    <cellStyle name="Normálne" xfId="0" builtinId="0" customBuiltin="1"/>
  </cellStyles>
  <dxfs count="2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.lahoda/AppData/Local/Temp/Rar$DIa0.392/R_Obnova%20materskej%20&#353;koly%20Kubranska%2020_upraven&#25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Strešný plášť"/>
      <sheetName val="Obvodový plášť"/>
      <sheetName val="Okná, dvere"/>
      <sheetName val="Obnova chodníka"/>
      <sheetName val="Sanácie balkónov"/>
      <sheetName val="Elektroinštalácia"/>
      <sheetName val="Fotovoltaika - Elektroinš..."/>
      <sheetName val="SO 07 - Vzduchotechnika"/>
      <sheetName val="SO 08 - Vykurovan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6">
          <cell r="M16">
            <v>22017.414000000001</v>
          </cell>
          <cell r="S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N55"/>
  <sheetViews>
    <sheetView showGridLines="0" tabSelected="1" view="pageBreakPreview" zoomScaleNormal="100" zoomScaleSheetLayoutView="100" workbookViewId="0">
      <pane ySplit="1" topLeftCell="A2" activePane="bottomLeft" state="frozen"/>
      <selection pane="bottomLeft" activeCell="AR20" sqref="AR20"/>
    </sheetView>
  </sheetViews>
  <sheetFormatPr defaultRowHeight="13.5" outlineLevelCol="1"/>
  <cols>
    <col min="1" max="1" width="8.33203125" customWidth="1"/>
    <col min="2" max="2" width="1.6640625" customWidth="1"/>
    <col min="3" max="3" width="4.1640625" customWidth="1"/>
    <col min="4" max="8" width="2.5" customWidth="1"/>
    <col min="9" max="9" width="4.6640625" customWidth="1"/>
    <col min="10" max="32" width="2.5" customWidth="1"/>
    <col min="33" max="33" width="19.6640625" customWidth="1"/>
    <col min="34" max="34" width="19.6640625" style="121" hidden="1" customWidth="1" outlineLevel="1"/>
    <col min="35" max="35" width="10" style="121" hidden="1" customWidth="1" outlineLevel="1"/>
    <col min="36" max="36" width="19.6640625" style="121" hidden="1" customWidth="1" outlineLevel="1"/>
    <col min="37" max="37" width="12.83203125" style="121" hidden="1" customWidth="1" outlineLevel="1"/>
    <col min="38" max="38" width="17.5" bestFit="1" customWidth="1" collapsed="1"/>
    <col min="39" max="39" width="18.83203125" style="121" hidden="1" customWidth="1" outlineLevel="1"/>
    <col min="40" max="40" width="14" style="121" hidden="1" customWidth="1" outlineLevel="1"/>
    <col min="41" max="41" width="17.5" style="121" hidden="1" customWidth="1" outlineLevel="1"/>
    <col min="42" max="42" width="17.1640625" style="121" hidden="1" customWidth="1" outlineLevel="1"/>
    <col min="43" max="44" width="17.1640625" style="121" customWidth="1" outlineLevel="1"/>
    <col min="45" max="45" width="19.6640625" style="121" bestFit="1" customWidth="1"/>
    <col min="46" max="46" width="1.6640625" customWidth="1"/>
    <col min="47" max="47" width="13.6640625" customWidth="1"/>
    <col min="48" max="49" width="25.83203125" hidden="1" customWidth="1"/>
    <col min="50" max="50" width="25" hidden="1" customWidth="1"/>
    <col min="51" max="55" width="21.6640625" hidden="1" customWidth="1"/>
    <col min="56" max="56" width="19.1640625" hidden="1" customWidth="1"/>
    <col min="57" max="57" width="25" hidden="1" customWidth="1"/>
    <col min="58" max="59" width="19.1640625" hidden="1" customWidth="1"/>
    <col min="60" max="60" width="66.5" customWidth="1"/>
    <col min="74" max="92" width="9.33203125" hidden="1"/>
  </cols>
  <sheetData>
    <row r="3" spans="2:79" s="1" customFormat="1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8"/>
    </row>
    <row r="4" spans="2:79" s="1" customFormat="1" ht="36.950000000000003" customHeight="1">
      <c r="B4" s="15"/>
      <c r="C4" s="485" t="s">
        <v>12</v>
      </c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486"/>
      <c r="W4" s="486"/>
      <c r="X4" s="486"/>
      <c r="Y4" s="486"/>
      <c r="Z4" s="486"/>
      <c r="AA4" s="486"/>
      <c r="AB4" s="486"/>
      <c r="AC4" s="486"/>
      <c r="AD4" s="486"/>
      <c r="AE4" s="486"/>
      <c r="AF4" s="486"/>
      <c r="AG4" s="486"/>
      <c r="AH4" s="486"/>
      <c r="AI4" s="486"/>
      <c r="AJ4" s="486"/>
      <c r="AK4" s="486"/>
      <c r="AL4" s="486"/>
      <c r="AM4" s="268"/>
      <c r="AN4" s="268"/>
      <c r="AO4" s="268"/>
      <c r="AP4" s="268"/>
      <c r="AQ4" s="461"/>
      <c r="AR4" s="461"/>
      <c r="AS4" s="147"/>
      <c r="AT4" s="17"/>
    </row>
    <row r="5" spans="2:79" s="2" customFormat="1" ht="14.45" customHeight="1">
      <c r="B5" s="29"/>
      <c r="C5" s="14" t="s">
        <v>2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149"/>
      <c r="AI5" s="149"/>
      <c r="AJ5" s="149"/>
      <c r="AK5" s="149"/>
      <c r="AL5" s="30"/>
      <c r="AM5" s="149"/>
      <c r="AN5" s="149"/>
      <c r="AO5" s="149"/>
      <c r="AP5" s="149"/>
      <c r="AQ5" s="149"/>
      <c r="AR5" s="149"/>
      <c r="AS5" s="149"/>
      <c r="AT5" s="31"/>
    </row>
    <row r="6" spans="2:79" s="3" customFormat="1" ht="36.950000000000003" customHeight="1">
      <c r="B6" s="32"/>
      <c r="C6" s="33" t="s">
        <v>3</v>
      </c>
      <c r="D6" s="34"/>
      <c r="E6" s="34"/>
      <c r="F6" s="34"/>
      <c r="G6" s="34"/>
      <c r="H6" s="34"/>
      <c r="I6" s="34"/>
      <c r="J6" s="34"/>
      <c r="K6" s="34"/>
      <c r="L6" s="487"/>
      <c r="M6" s="488"/>
      <c r="N6" s="488"/>
      <c r="O6" s="488"/>
      <c r="P6" s="488"/>
      <c r="Q6" s="488"/>
      <c r="R6" s="488"/>
      <c r="S6" s="488"/>
      <c r="T6" s="488"/>
      <c r="U6" s="488"/>
      <c r="V6" s="488"/>
      <c r="W6" s="488"/>
      <c r="X6" s="488"/>
      <c r="Y6" s="488"/>
      <c r="Z6" s="488"/>
      <c r="AA6" s="488"/>
      <c r="AB6" s="488"/>
      <c r="AC6" s="488"/>
      <c r="AD6" s="488"/>
      <c r="AE6" s="488"/>
      <c r="AF6" s="488"/>
      <c r="AG6" s="488"/>
      <c r="AH6" s="488"/>
      <c r="AI6" s="488"/>
      <c r="AJ6" s="488"/>
      <c r="AK6" s="488"/>
      <c r="AL6" s="488"/>
      <c r="AM6" s="269"/>
      <c r="AN6" s="269"/>
      <c r="AO6" s="269"/>
      <c r="AP6" s="269"/>
      <c r="AQ6" s="462"/>
      <c r="AR6" s="462"/>
      <c r="AS6" s="148"/>
      <c r="AT6" s="35"/>
    </row>
    <row r="7" spans="2:79" s="1" customFormat="1" ht="6.95" customHeight="1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274"/>
      <c r="AI7" s="274"/>
      <c r="AJ7" s="274"/>
      <c r="AK7" s="274"/>
      <c r="AL7" s="16"/>
      <c r="AM7" s="274"/>
      <c r="AN7" s="274"/>
      <c r="AO7" s="274"/>
      <c r="AP7" s="274"/>
      <c r="AQ7" s="463"/>
      <c r="AR7" s="463"/>
      <c r="AS7" s="151"/>
      <c r="AT7" s="17"/>
    </row>
    <row r="8" spans="2:79" s="1" customFormat="1" ht="15">
      <c r="B8" s="15"/>
      <c r="C8" s="14" t="s">
        <v>4</v>
      </c>
      <c r="D8" s="16"/>
      <c r="E8" s="16"/>
      <c r="F8" s="16"/>
      <c r="G8" s="16"/>
      <c r="H8" s="16"/>
      <c r="I8" s="16"/>
      <c r="J8" s="16"/>
      <c r="K8" s="16"/>
      <c r="L8" s="3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274"/>
      <c r="AI8" s="274"/>
      <c r="AJ8" s="274"/>
      <c r="AK8" s="274"/>
      <c r="AL8" s="16"/>
      <c r="AM8" s="274"/>
      <c r="AN8" s="274"/>
      <c r="AO8" s="274"/>
      <c r="AP8" s="274"/>
      <c r="AQ8" s="463"/>
      <c r="AR8" s="463"/>
      <c r="AS8" s="151"/>
      <c r="AT8" s="17"/>
    </row>
    <row r="9" spans="2:79" s="1" customFormat="1" ht="6.95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274"/>
      <c r="AI9" s="274"/>
      <c r="AJ9" s="274"/>
      <c r="AK9" s="274"/>
      <c r="AL9" s="16"/>
      <c r="AM9" s="274"/>
      <c r="AN9" s="274"/>
      <c r="AO9" s="274"/>
      <c r="AP9" s="274"/>
      <c r="AQ9" s="463"/>
      <c r="AR9" s="463"/>
      <c r="AS9" s="151"/>
      <c r="AT9" s="17"/>
    </row>
    <row r="10" spans="2:79" s="1" customFormat="1" ht="15">
      <c r="B10" s="15"/>
      <c r="C10" s="14" t="s">
        <v>6</v>
      </c>
      <c r="D10" s="16"/>
      <c r="E10" s="16"/>
      <c r="F10" s="16"/>
      <c r="G10" s="16"/>
      <c r="H10" s="16"/>
      <c r="I10" s="16"/>
      <c r="J10" s="16"/>
      <c r="K10" s="16"/>
      <c r="L10" s="30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274"/>
      <c r="AI10" s="274"/>
      <c r="AJ10" s="274"/>
      <c r="AK10" s="274"/>
      <c r="AL10" s="149"/>
      <c r="AM10" s="149"/>
      <c r="AN10" s="149"/>
      <c r="AO10" s="149"/>
      <c r="AP10" s="149"/>
      <c r="AQ10" s="149"/>
      <c r="AR10" s="149"/>
      <c r="AS10" s="149"/>
      <c r="AT10" s="17"/>
      <c r="AV10" s="489" t="s">
        <v>13</v>
      </c>
      <c r="AW10" s="490"/>
      <c r="AX10" s="19"/>
      <c r="AY10" s="19"/>
      <c r="AZ10" s="19"/>
      <c r="BA10" s="19"/>
      <c r="BB10" s="19"/>
      <c r="BC10" s="19"/>
      <c r="BD10" s="19"/>
      <c r="BE10" s="19"/>
      <c r="BF10" s="19"/>
      <c r="BG10" s="20"/>
    </row>
    <row r="11" spans="2:79" s="1" customFormat="1" ht="15">
      <c r="B11" s="15"/>
      <c r="C11" s="14" t="s">
        <v>7</v>
      </c>
      <c r="D11" s="16"/>
      <c r="E11" s="16"/>
      <c r="F11" s="16"/>
      <c r="G11" s="16"/>
      <c r="H11" s="16"/>
      <c r="I11" s="16"/>
      <c r="J11" s="16"/>
      <c r="K11" s="16"/>
      <c r="L11" s="30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74"/>
      <c r="AI11" s="274"/>
      <c r="AJ11" s="274"/>
      <c r="AK11" s="274"/>
      <c r="AL11" s="149"/>
      <c r="AM11" s="149"/>
      <c r="AN11" s="149"/>
      <c r="AO11" s="149"/>
      <c r="AP11" s="149"/>
      <c r="AQ11" s="149"/>
      <c r="AR11" s="149"/>
      <c r="AS11" s="149"/>
      <c r="AT11" s="17"/>
      <c r="AV11" s="491"/>
      <c r="AW11" s="492"/>
      <c r="AX11" s="16"/>
      <c r="AY11" s="16"/>
      <c r="AZ11" s="16"/>
      <c r="BA11" s="16"/>
      <c r="BB11" s="16"/>
      <c r="BC11" s="16"/>
      <c r="BD11" s="16"/>
      <c r="BE11" s="16"/>
      <c r="BF11" s="16"/>
      <c r="BG11" s="37"/>
    </row>
    <row r="12" spans="2:79" s="1" customFormat="1" ht="10.9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274"/>
      <c r="AI12" s="274"/>
      <c r="AJ12" s="274"/>
      <c r="AK12" s="274"/>
      <c r="AL12" s="16"/>
      <c r="AM12" s="274"/>
      <c r="AN12" s="274"/>
      <c r="AO12" s="274"/>
      <c r="AP12" s="274"/>
      <c r="AQ12" s="463"/>
      <c r="AR12" s="463"/>
      <c r="AS12" s="151"/>
      <c r="AT12" s="17"/>
      <c r="AV12" s="491"/>
      <c r="AW12" s="492"/>
      <c r="AX12" s="16"/>
      <c r="AY12" s="16"/>
      <c r="AZ12" s="16"/>
      <c r="BA12" s="16"/>
      <c r="BB12" s="16"/>
      <c r="BC12" s="16"/>
      <c r="BD12" s="16"/>
      <c r="BE12" s="16"/>
      <c r="BF12" s="16"/>
      <c r="BG12" s="37"/>
    </row>
    <row r="13" spans="2:79" s="1" customFormat="1" ht="29.25" customHeight="1">
      <c r="B13" s="15"/>
      <c r="C13" s="493" t="s">
        <v>14</v>
      </c>
      <c r="D13" s="494"/>
      <c r="E13" s="494"/>
      <c r="F13" s="494"/>
      <c r="G13" s="494"/>
      <c r="H13" s="38"/>
      <c r="I13" s="495" t="s">
        <v>15</v>
      </c>
      <c r="J13" s="494"/>
      <c r="K13" s="494"/>
      <c r="L13" s="494"/>
      <c r="M13" s="494"/>
      <c r="N13" s="494"/>
      <c r="O13" s="494"/>
      <c r="P13" s="494"/>
      <c r="Q13" s="494"/>
      <c r="R13" s="494"/>
      <c r="S13" s="494"/>
      <c r="T13" s="494"/>
      <c r="U13" s="494"/>
      <c r="V13" s="494"/>
      <c r="W13" s="494"/>
      <c r="X13" s="494"/>
      <c r="Y13" s="494"/>
      <c r="Z13" s="494"/>
      <c r="AA13" s="494"/>
      <c r="AB13" s="494"/>
      <c r="AC13" s="494"/>
      <c r="AD13" s="494"/>
      <c r="AE13" s="494"/>
      <c r="AF13" s="494"/>
      <c r="AG13" s="270" t="s">
        <v>16</v>
      </c>
      <c r="AH13" s="328" t="s">
        <v>1411</v>
      </c>
      <c r="AI13" s="329" t="s">
        <v>883</v>
      </c>
      <c r="AJ13" s="320" t="s">
        <v>1410</v>
      </c>
      <c r="AK13" s="346" t="s">
        <v>883</v>
      </c>
      <c r="AL13" s="145" t="s">
        <v>1148</v>
      </c>
      <c r="AM13" s="328" t="s">
        <v>1411</v>
      </c>
      <c r="AN13" s="329" t="s">
        <v>883</v>
      </c>
      <c r="AO13" s="320" t="s">
        <v>1410</v>
      </c>
      <c r="AP13" s="346" t="s">
        <v>883</v>
      </c>
      <c r="AQ13" s="465" t="s">
        <v>1433</v>
      </c>
      <c r="AR13" s="320" t="s">
        <v>1434</v>
      </c>
      <c r="AS13" s="191" t="s">
        <v>1154</v>
      </c>
      <c r="AT13" s="17"/>
      <c r="AV13" s="39" t="s">
        <v>17</v>
      </c>
      <c r="AW13" s="40" t="s">
        <v>18</v>
      </c>
      <c r="AX13" s="40" t="s">
        <v>19</v>
      </c>
      <c r="AY13" s="40" t="s">
        <v>20</v>
      </c>
      <c r="AZ13" s="40" t="s">
        <v>21</v>
      </c>
      <c r="BA13" s="40" t="s">
        <v>22</v>
      </c>
      <c r="BB13" s="40" t="s">
        <v>23</v>
      </c>
      <c r="BC13" s="40" t="s">
        <v>24</v>
      </c>
      <c r="BD13" s="40" t="s">
        <v>25</v>
      </c>
      <c r="BE13" s="40" t="s">
        <v>26</v>
      </c>
      <c r="BF13" s="40" t="s">
        <v>27</v>
      </c>
      <c r="BG13" s="41" t="s">
        <v>28</v>
      </c>
    </row>
    <row r="14" spans="2:79" s="1" customFormat="1" ht="10.9" customHeight="1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274"/>
      <c r="AH14" s="399"/>
      <c r="AI14" s="331"/>
      <c r="AJ14" s="347"/>
      <c r="AK14" s="348"/>
      <c r="AL14" s="16"/>
      <c r="AM14" s="330"/>
      <c r="AN14" s="331"/>
      <c r="AO14" s="347"/>
      <c r="AP14" s="348"/>
      <c r="AQ14" s="466"/>
      <c r="AR14" s="347"/>
      <c r="AS14" s="151"/>
      <c r="AT14" s="17"/>
      <c r="AV14" s="42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20"/>
    </row>
    <row r="15" spans="2:79" s="3" customFormat="1" ht="32.450000000000003" customHeight="1">
      <c r="B15" s="32"/>
      <c r="C15" s="43" t="s">
        <v>29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146">
        <f>ROUND(AG16+AG22+AG28+AG34+AG39+AG44+AG52+AG53,2)</f>
        <v>666035</v>
      </c>
      <c r="AH15" s="332">
        <f>ROUND(AH16+AH22+AH28+AH34+AH39+AH44+AH52+AH53,2)</f>
        <v>13303.08</v>
      </c>
      <c r="AI15" s="333">
        <f>AH15/AG15</f>
        <v>1.9973544933824798E-2</v>
      </c>
      <c r="AJ15" s="349">
        <f>AG15-AH15</f>
        <v>652731.92000000004</v>
      </c>
      <c r="AK15" s="350">
        <f>AJ15/AG15</f>
        <v>0.98002645506617525</v>
      </c>
      <c r="AL15" s="142">
        <f>ROUND(AL16+AL22+AL28+AL34+AL39+AL44+AL52+AL53,2)</f>
        <v>165846.54999999999</v>
      </c>
      <c r="AM15" s="332">
        <f>ROUND(AM16+AM22+AM28+AM34+AM39+AM44+AM52+AM53,2)</f>
        <v>11866.45</v>
      </c>
      <c r="AN15" s="333">
        <f t="shared" ref="AN15:AN22" si="0">AM15/AL15</f>
        <v>7.155077992276597E-2</v>
      </c>
      <c r="AO15" s="349">
        <f>AL15-AM15</f>
        <v>153980.09999999998</v>
      </c>
      <c r="AP15" s="350">
        <f>AO15/AL15</f>
        <v>0.92844922007723396</v>
      </c>
      <c r="AQ15" s="469">
        <f t="shared" ref="AQ15:AR15" si="1">ROUND(AQ16+AQ22+AQ28+AQ34+AQ39+AQ44+AQ52+AQ53,2)</f>
        <v>-45308.99</v>
      </c>
      <c r="AR15" s="349">
        <f t="shared" si="1"/>
        <v>211155.53</v>
      </c>
      <c r="AS15" s="142">
        <f t="shared" ref="AS15:AS53" si="2">AG15+AL15</f>
        <v>831881.55</v>
      </c>
      <c r="AT15" s="35"/>
      <c r="AV15" s="45" t="e">
        <f>ROUND(AV16+AV22+AV28+AV34+AV39+AV44+AV52+AV53,2)</f>
        <v>#REF!</v>
      </c>
      <c r="AW15" s="46" t="e">
        <f t="shared" ref="AW15:AW53" si="3">ROUND(SUM(AY15:AZ15),2)</f>
        <v>#REF!</v>
      </c>
      <c r="AX15" s="47" t="e">
        <f>ROUND(AX16+AX22+AX28+AX34+AX39+AX44+AX52+AX53,5)</f>
        <v>#REF!</v>
      </c>
      <c r="AY15" s="46" t="e">
        <f>ROUND(BC15*#REF!,2)</f>
        <v>#REF!</v>
      </c>
      <c r="AZ15" s="46" t="e">
        <f>ROUND(BD15*#REF!,2)</f>
        <v>#REF!</v>
      </c>
      <c r="BA15" s="46" t="e">
        <f>ROUND(BE15*#REF!,2)</f>
        <v>#REF!</v>
      </c>
      <c r="BB15" s="46" t="e">
        <f>ROUND(BF15*#REF!,2)</f>
        <v>#REF!</v>
      </c>
      <c r="BC15" s="46" t="e">
        <f>ROUND(BC16+BC22+BC28+BC34+BC39+BC44+BC52+BC53,2)</f>
        <v>#REF!</v>
      </c>
      <c r="BD15" s="46" t="e">
        <f>ROUND(BD16+BD22+BD28+BD34+BD39+BD44+BD52+BD53,2)</f>
        <v>#REF!</v>
      </c>
      <c r="BE15" s="46" t="e">
        <f>ROUND(BE16+BE22+BE28+BE34+BE39+BE44+BE52+BE53,2)</f>
        <v>#REF!</v>
      </c>
      <c r="BF15" s="46" t="e">
        <f>ROUND(BF16+BF22+BF28+BF34+BF39+BF44+BF52+BF53,2)</f>
        <v>#REF!</v>
      </c>
      <c r="BG15" s="48" t="e">
        <f>ROUND(BG16+BG22+BG28+BG34+BG39+BG44+BG52+BG53,2)</f>
        <v>#REF!</v>
      </c>
      <c r="BV15" s="49" t="s">
        <v>30</v>
      </c>
      <c r="BW15" s="49" t="s">
        <v>31</v>
      </c>
      <c r="BX15" s="50" t="s">
        <v>32</v>
      </c>
      <c r="BY15" s="49" t="s">
        <v>33</v>
      </c>
      <c r="BZ15" s="49" t="s">
        <v>34</v>
      </c>
      <c r="CA15" s="49" t="s">
        <v>35</v>
      </c>
    </row>
    <row r="16" spans="2:79" s="4" customFormat="1" ht="37.5" customHeight="1">
      <c r="B16" s="51"/>
      <c r="C16" s="52"/>
      <c r="D16" s="483" t="s">
        <v>36</v>
      </c>
      <c r="E16" s="483"/>
      <c r="F16" s="483"/>
      <c r="G16" s="483"/>
      <c r="H16" s="483"/>
      <c r="I16" s="321"/>
      <c r="J16" s="483" t="s">
        <v>37</v>
      </c>
      <c r="K16" s="483"/>
      <c r="L16" s="483"/>
      <c r="M16" s="483"/>
      <c r="N16" s="483"/>
      <c r="O16" s="483"/>
      <c r="P16" s="483"/>
      <c r="Q16" s="483"/>
      <c r="R16" s="483"/>
      <c r="S16" s="483"/>
      <c r="T16" s="483"/>
      <c r="U16" s="483"/>
      <c r="V16" s="483"/>
      <c r="W16" s="483"/>
      <c r="X16" s="483"/>
      <c r="Y16" s="483"/>
      <c r="Z16" s="483"/>
      <c r="AA16" s="483"/>
      <c r="AB16" s="483"/>
      <c r="AC16" s="483"/>
      <c r="AD16" s="483"/>
      <c r="AE16" s="483"/>
      <c r="AF16" s="483"/>
      <c r="AG16" s="322">
        <f>ROUND(SUM(AG17:AG21),2)</f>
        <v>86953.07</v>
      </c>
      <c r="AH16" s="334">
        <f>ROUND(SUM(AH17:AH21),2)</f>
        <v>532.22</v>
      </c>
      <c r="AI16" s="335">
        <f>AH16/AG16</f>
        <v>6.1207729640828093E-3</v>
      </c>
      <c r="AJ16" s="351">
        <f>AG16-AH16</f>
        <v>86420.85</v>
      </c>
      <c r="AK16" s="352">
        <f>AJ16/AG16</f>
        <v>0.99387922703591713</v>
      </c>
      <c r="AL16" s="323">
        <f>ROUND(SUM(AL17:AL21),2)</f>
        <v>22380.240000000002</v>
      </c>
      <c r="AM16" s="334">
        <f>ROUND(SUM(AM17:AM21),2)</f>
        <v>1749.88</v>
      </c>
      <c r="AN16" s="335">
        <f t="shared" si="0"/>
        <v>7.8188616386598173E-2</v>
      </c>
      <c r="AO16" s="351">
        <f>AL16-AM16</f>
        <v>20630.36</v>
      </c>
      <c r="AP16" s="352">
        <f>AO16/AL16</f>
        <v>0.92181138361340176</v>
      </c>
      <c r="AQ16" s="470">
        <f t="shared" ref="AQ16:AR16" si="4">ROUND(SUM(AQ17:AQ21),2)</f>
        <v>-8266.8799999999992</v>
      </c>
      <c r="AR16" s="351">
        <f t="shared" si="4"/>
        <v>30647.119999999999</v>
      </c>
      <c r="AS16" s="323">
        <f t="shared" si="2"/>
        <v>109333.31000000001</v>
      </c>
      <c r="AT16" s="53"/>
      <c r="AV16" s="54" t="e">
        <f>ROUND(SUM(AV17:AV21),2)</f>
        <v>#REF!</v>
      </c>
      <c r="AW16" s="55" t="e">
        <f t="shared" si="3"/>
        <v>#REF!</v>
      </c>
      <c r="AX16" s="56" t="e">
        <f>ROUND(SUM(AX17:AX21),5)</f>
        <v>#REF!</v>
      </c>
      <c r="AY16" s="55" t="e">
        <f>ROUND(BC16*#REF!,2)</f>
        <v>#REF!</v>
      </c>
      <c r="AZ16" s="55" t="e">
        <f>ROUND(BD16*#REF!,2)</f>
        <v>#REF!</v>
      </c>
      <c r="BA16" s="55" t="e">
        <f>ROUND(BE16*#REF!,2)</f>
        <v>#REF!</v>
      </c>
      <c r="BB16" s="55" t="e">
        <f>ROUND(BF16*#REF!,2)</f>
        <v>#REF!</v>
      </c>
      <c r="BC16" s="55" t="e">
        <f>ROUND(SUM(BC17:BC21),2)</f>
        <v>#REF!</v>
      </c>
      <c r="BD16" s="55" t="e">
        <f>ROUND(SUM(BD17:BD21),2)</f>
        <v>#REF!</v>
      </c>
      <c r="BE16" s="55" t="e">
        <f>ROUND(SUM(BE17:BE21),2)</f>
        <v>#REF!</v>
      </c>
      <c r="BF16" s="55" t="e">
        <f>ROUND(SUM(BF17:BF21),2)</f>
        <v>#REF!</v>
      </c>
      <c r="BG16" s="57" t="e">
        <f>ROUND(SUM(BG17:BG21),2)</f>
        <v>#REF!</v>
      </c>
      <c r="BV16" s="58" t="s">
        <v>30</v>
      </c>
      <c r="BW16" s="58" t="s">
        <v>38</v>
      </c>
      <c r="BX16" s="58" t="s">
        <v>32</v>
      </c>
      <c r="BY16" s="58" t="s">
        <v>33</v>
      </c>
      <c r="BZ16" s="58" t="s">
        <v>39</v>
      </c>
      <c r="CA16" s="58" t="s">
        <v>34</v>
      </c>
    </row>
    <row r="17" spans="1:79" s="5" customFormat="1" ht="22.5" customHeight="1">
      <c r="A17" s="59"/>
      <c r="B17" s="60"/>
      <c r="C17" s="61"/>
      <c r="D17" s="61"/>
      <c r="E17" s="484" t="s">
        <v>40</v>
      </c>
      <c r="F17" s="484"/>
      <c r="G17" s="484"/>
      <c r="H17" s="484"/>
      <c r="I17" s="484"/>
      <c r="J17" s="61"/>
      <c r="K17" s="484" t="s">
        <v>41</v>
      </c>
      <c r="L17" s="484"/>
      <c r="M17" s="484"/>
      <c r="N17" s="484"/>
      <c r="O17" s="484"/>
      <c r="P17" s="484"/>
      <c r="Q17" s="484"/>
      <c r="R17" s="484"/>
      <c r="S17" s="484"/>
      <c r="T17" s="484"/>
      <c r="U17" s="484"/>
      <c r="V17" s="484"/>
      <c r="W17" s="484"/>
      <c r="X17" s="484"/>
      <c r="Y17" s="484"/>
      <c r="Z17" s="484"/>
      <c r="AA17" s="484"/>
      <c r="AB17" s="484"/>
      <c r="AC17" s="484"/>
      <c r="AD17" s="484"/>
      <c r="AE17" s="484"/>
      <c r="AF17" s="484"/>
      <c r="AG17" s="204">
        <f>ROUND('Strešný plášť'!AJ16,2)</f>
        <v>21463.98</v>
      </c>
      <c r="AH17" s="336">
        <f>'Strešný plášť'!AP16</f>
        <v>0</v>
      </c>
      <c r="AI17" s="337">
        <f>AH17/AG17</f>
        <v>0</v>
      </c>
      <c r="AJ17" s="353">
        <f>AG17-AH17</f>
        <v>21463.98</v>
      </c>
      <c r="AK17" s="354">
        <f>AJ17/AG17</f>
        <v>1</v>
      </c>
      <c r="AL17" s="143">
        <f>ROUND('Strešný plášť'!AJ68,2)</f>
        <v>3493.97</v>
      </c>
      <c r="AM17" s="336">
        <f>'Strešný plášť'!AP68</f>
        <v>0</v>
      </c>
      <c r="AN17" s="337">
        <f t="shared" si="0"/>
        <v>0</v>
      </c>
      <c r="AO17" s="353">
        <f>AL17-AM17</f>
        <v>3493.97</v>
      </c>
      <c r="AP17" s="354">
        <f>AO17/AL17</f>
        <v>1</v>
      </c>
      <c r="AQ17" s="471">
        <f>ROUND('Strešný plášť'!AJ69,2)</f>
        <v>0</v>
      </c>
      <c r="AR17" s="353">
        <f>ROUND('Strešný plášť'!AJ70,2)</f>
        <v>3493.97</v>
      </c>
      <c r="AS17" s="143">
        <f t="shared" si="2"/>
        <v>24957.95</v>
      </c>
      <c r="AT17" s="62"/>
      <c r="AV17" s="63" t="e">
        <f>'Strešný plášť'!#REF!</f>
        <v>#REF!</v>
      </c>
      <c r="AW17" s="64" t="e">
        <f t="shared" si="3"/>
        <v>#REF!</v>
      </c>
      <c r="AX17" s="65" t="e">
        <f>'Strešný plášť'!#REF!</f>
        <v>#REF!</v>
      </c>
      <c r="AY17" s="64" t="e">
        <f>'Strešný plášť'!#REF!</f>
        <v>#REF!</v>
      </c>
      <c r="AZ17" s="64" t="e">
        <f>'Strešný plášť'!#REF!</f>
        <v>#REF!</v>
      </c>
      <c r="BA17" s="64" t="e">
        <f>'Strešný plášť'!#REF!</f>
        <v>#REF!</v>
      </c>
      <c r="BB17" s="64" t="e">
        <f>'Strešný plášť'!#REF!</f>
        <v>#REF!</v>
      </c>
      <c r="BC17" s="64" t="e">
        <f>'Strešný plášť'!#REF!</f>
        <v>#REF!</v>
      </c>
      <c r="BD17" s="64" t="e">
        <f>'Strešný plášť'!#REF!</f>
        <v>#REF!</v>
      </c>
      <c r="BE17" s="64" t="e">
        <f>'Strešný plášť'!#REF!</f>
        <v>#REF!</v>
      </c>
      <c r="BF17" s="64" t="e">
        <f>'Strešný plášť'!#REF!</f>
        <v>#REF!</v>
      </c>
      <c r="BG17" s="66" t="e">
        <f>'Strešný plášť'!#REF!</f>
        <v>#REF!</v>
      </c>
      <c r="BH17" s="178"/>
      <c r="BW17" s="67" t="s">
        <v>42</v>
      </c>
      <c r="BY17" s="67" t="s">
        <v>33</v>
      </c>
      <c r="BZ17" s="67" t="s">
        <v>43</v>
      </c>
      <c r="CA17" s="67" t="s">
        <v>39</v>
      </c>
    </row>
    <row r="18" spans="1:79" s="5" customFormat="1" ht="22.5" customHeight="1">
      <c r="A18" s="59"/>
      <c r="B18" s="60"/>
      <c r="C18" s="61"/>
      <c r="D18" s="61"/>
      <c r="E18" s="484" t="s">
        <v>44</v>
      </c>
      <c r="F18" s="484"/>
      <c r="G18" s="484"/>
      <c r="H18" s="484"/>
      <c r="I18" s="484"/>
      <c r="J18" s="61"/>
      <c r="K18" s="484" t="s">
        <v>45</v>
      </c>
      <c r="L18" s="484"/>
      <c r="M18" s="484"/>
      <c r="N18" s="484"/>
      <c r="O18" s="484"/>
      <c r="P18" s="484"/>
      <c r="Q18" s="484"/>
      <c r="R18" s="484"/>
      <c r="S18" s="484"/>
      <c r="T18" s="484"/>
      <c r="U18" s="484"/>
      <c r="V18" s="484"/>
      <c r="W18" s="484"/>
      <c r="X18" s="484"/>
      <c r="Y18" s="484"/>
      <c r="Z18" s="484"/>
      <c r="AA18" s="484"/>
      <c r="AB18" s="484"/>
      <c r="AC18" s="484"/>
      <c r="AD18" s="484"/>
      <c r="AE18" s="484"/>
      <c r="AF18" s="484"/>
      <c r="AG18" s="143">
        <f>ROUND('Obvodový plášť'!AJ18,2)</f>
        <v>44907.48</v>
      </c>
      <c r="AH18" s="336">
        <f>ROUND('Obvodový plášť'!AP18,2)</f>
        <v>0</v>
      </c>
      <c r="AI18" s="337">
        <f>AH18/AG18</f>
        <v>0</v>
      </c>
      <c r="AJ18" s="353">
        <f t="shared" ref="AJ18:AJ21" si="5">AG18-AH18</f>
        <v>44907.48</v>
      </c>
      <c r="AK18" s="354">
        <f t="shared" ref="AK18:AK21" si="6">AJ18/AG18</f>
        <v>1</v>
      </c>
      <c r="AL18" s="143">
        <f>'Obvodový plášť'!AJ64</f>
        <v>11346.574999999999</v>
      </c>
      <c r="AM18" s="336">
        <f>ROUND('Obvodový plášť'!AP64,2)</f>
        <v>0</v>
      </c>
      <c r="AN18" s="337">
        <f t="shared" si="0"/>
        <v>0</v>
      </c>
      <c r="AO18" s="353">
        <f t="shared" ref="AO18:AO21" si="7">AL18-AM18</f>
        <v>11346.574999999999</v>
      </c>
      <c r="AP18" s="354">
        <f t="shared" ref="AP18:AP21" si="8">AO18/AL18</f>
        <v>1</v>
      </c>
      <c r="AQ18" s="471">
        <f>ROUND('Obvodový plášť'!AJ65,2)</f>
        <v>0</v>
      </c>
      <c r="AR18" s="353">
        <f>ROUND('Obvodový plášť'!AJ66,2)</f>
        <v>11346.58</v>
      </c>
      <c r="AS18" s="143">
        <f t="shared" si="2"/>
        <v>56254.055</v>
      </c>
      <c r="AT18" s="62"/>
      <c r="AV18" s="63" t="e">
        <f>'Obvodový plášť'!#REF!</f>
        <v>#REF!</v>
      </c>
      <c r="AW18" s="64" t="e">
        <f t="shared" si="3"/>
        <v>#REF!</v>
      </c>
      <c r="AX18" s="65">
        <f>'Obvodový plášť'!BI18</f>
        <v>0</v>
      </c>
      <c r="AY18" s="64" t="e">
        <f>'Obvodový plášť'!#REF!</f>
        <v>#REF!</v>
      </c>
      <c r="AZ18" s="64" t="e">
        <f>'Obvodový plášť'!#REF!</f>
        <v>#REF!</v>
      </c>
      <c r="BA18" s="64" t="e">
        <f>'Obvodový plášť'!#REF!</f>
        <v>#REF!</v>
      </c>
      <c r="BB18" s="64" t="e">
        <f>'Obvodový plášť'!#REF!</f>
        <v>#REF!</v>
      </c>
      <c r="BC18" s="64" t="e">
        <f>'Obvodový plášť'!#REF!</f>
        <v>#REF!</v>
      </c>
      <c r="BD18" s="64" t="e">
        <f>'Obvodový plášť'!#REF!</f>
        <v>#REF!</v>
      </c>
      <c r="BE18" s="64" t="e">
        <f>'Obvodový plášť'!#REF!</f>
        <v>#REF!</v>
      </c>
      <c r="BF18" s="64" t="e">
        <f>'Obvodový plášť'!#REF!</f>
        <v>#REF!</v>
      </c>
      <c r="BG18" s="66" t="e">
        <f>'Obvodový plášť'!#REF!</f>
        <v>#REF!</v>
      </c>
      <c r="BW18" s="67" t="s">
        <v>42</v>
      </c>
      <c r="BY18" s="67" t="s">
        <v>33</v>
      </c>
      <c r="BZ18" s="67" t="s">
        <v>46</v>
      </c>
      <c r="CA18" s="67" t="s">
        <v>39</v>
      </c>
    </row>
    <row r="19" spans="1:79" s="5" customFormat="1" ht="32.25" customHeight="1">
      <c r="A19" s="59"/>
      <c r="B19" s="60"/>
      <c r="C19" s="61"/>
      <c r="D19" s="61"/>
      <c r="E19" s="484" t="s">
        <v>47</v>
      </c>
      <c r="F19" s="484"/>
      <c r="G19" s="484"/>
      <c r="H19" s="484"/>
      <c r="I19" s="484"/>
      <c r="J19" s="61"/>
      <c r="K19" s="484" t="s">
        <v>1396</v>
      </c>
      <c r="L19" s="484"/>
      <c r="M19" s="484"/>
      <c r="N19" s="484"/>
      <c r="O19" s="484"/>
      <c r="P19" s="484"/>
      <c r="Q19" s="484"/>
      <c r="R19" s="484"/>
      <c r="S19" s="484"/>
      <c r="T19" s="484"/>
      <c r="U19" s="484"/>
      <c r="V19" s="484"/>
      <c r="W19" s="484"/>
      <c r="X19" s="484"/>
      <c r="Y19" s="484"/>
      <c r="Z19" s="484"/>
      <c r="AA19" s="484"/>
      <c r="AB19" s="484"/>
      <c r="AC19" s="484"/>
      <c r="AD19" s="484"/>
      <c r="AE19" s="484"/>
      <c r="AF19" s="484"/>
      <c r="AG19" s="204">
        <f>ROUND('Okná, dvere'!AJ18,2)</f>
        <v>10937.62</v>
      </c>
      <c r="AH19" s="336">
        <f>'Okná, dvere'!AP18</f>
        <v>0</v>
      </c>
      <c r="AI19" s="337">
        <f t="shared" ref="AI19:AI21" si="9">AH19/AG19</f>
        <v>0</v>
      </c>
      <c r="AJ19" s="353">
        <f t="shared" si="5"/>
        <v>10937.62</v>
      </c>
      <c r="AK19" s="354">
        <f t="shared" si="6"/>
        <v>1</v>
      </c>
      <c r="AL19" s="143">
        <f>'Okná, dvere'!AJ56</f>
        <v>-497.27999999999952</v>
      </c>
      <c r="AM19" s="336">
        <f>'Okná, dvere'!AP56</f>
        <v>0</v>
      </c>
      <c r="AN19" s="337">
        <f t="shared" si="0"/>
        <v>0</v>
      </c>
      <c r="AO19" s="353">
        <f t="shared" si="7"/>
        <v>-497.27999999999952</v>
      </c>
      <c r="AP19" s="354">
        <f t="shared" si="8"/>
        <v>1</v>
      </c>
      <c r="AQ19" s="471">
        <f>ROUND('Okná, dvere'!AJ57,2)</f>
        <v>-4939.42</v>
      </c>
      <c r="AR19" s="353">
        <f>ROUND('Okná, dvere'!AJ58,2)</f>
        <v>4442.1400000000003</v>
      </c>
      <c r="AS19" s="143">
        <f t="shared" si="2"/>
        <v>10440.340000000002</v>
      </c>
      <c r="AT19" s="62"/>
      <c r="AV19" s="63" t="e">
        <f>#REF!</f>
        <v>#REF!</v>
      </c>
      <c r="AW19" s="64" t="e">
        <f t="shared" si="3"/>
        <v>#REF!</v>
      </c>
      <c r="AX19" s="65" t="e">
        <f>#REF!</f>
        <v>#REF!</v>
      </c>
      <c r="AY19" s="64" t="e">
        <f>#REF!</f>
        <v>#REF!</v>
      </c>
      <c r="AZ19" s="64" t="e">
        <f>#REF!</f>
        <v>#REF!</v>
      </c>
      <c r="BA19" s="64" t="e">
        <f>#REF!</f>
        <v>#REF!</v>
      </c>
      <c r="BB19" s="64" t="e">
        <f>#REF!</f>
        <v>#REF!</v>
      </c>
      <c r="BC19" s="64" t="e">
        <f>#REF!</f>
        <v>#REF!</v>
      </c>
      <c r="BD19" s="64" t="e">
        <f>#REF!</f>
        <v>#REF!</v>
      </c>
      <c r="BE19" s="64" t="e">
        <f>#REF!</f>
        <v>#REF!</v>
      </c>
      <c r="BF19" s="64" t="e">
        <f>#REF!</f>
        <v>#REF!</v>
      </c>
      <c r="BG19" s="66" t="e">
        <f>#REF!</f>
        <v>#REF!</v>
      </c>
      <c r="BW19" s="67" t="s">
        <v>42</v>
      </c>
      <c r="BY19" s="67" t="s">
        <v>33</v>
      </c>
      <c r="BZ19" s="67" t="s">
        <v>48</v>
      </c>
      <c r="CA19" s="67" t="s">
        <v>39</v>
      </c>
    </row>
    <row r="20" spans="1:79" s="5" customFormat="1" ht="22.5" customHeight="1">
      <c r="A20" s="59"/>
      <c r="B20" s="60"/>
      <c r="C20" s="61"/>
      <c r="D20" s="61"/>
      <c r="E20" s="484" t="s">
        <v>49</v>
      </c>
      <c r="F20" s="484"/>
      <c r="G20" s="484"/>
      <c r="H20" s="484"/>
      <c r="I20" s="484"/>
      <c r="J20" s="61"/>
      <c r="K20" s="484" t="s">
        <v>1397</v>
      </c>
      <c r="L20" s="484"/>
      <c r="M20" s="484"/>
      <c r="N20" s="484"/>
      <c r="O20" s="484"/>
      <c r="P20" s="484"/>
      <c r="Q20" s="484"/>
      <c r="R20" s="484"/>
      <c r="S20" s="484"/>
      <c r="T20" s="484"/>
      <c r="U20" s="484"/>
      <c r="V20" s="484"/>
      <c r="W20" s="484"/>
      <c r="X20" s="484"/>
      <c r="Y20" s="484"/>
      <c r="Z20" s="484"/>
      <c r="AA20" s="484"/>
      <c r="AB20" s="484"/>
      <c r="AC20" s="484"/>
      <c r="AD20" s="484"/>
      <c r="AE20" s="484"/>
      <c r="AF20" s="484"/>
      <c r="AG20" s="143">
        <f>ROUND('Obnova chodníka'!AJ17,2)</f>
        <v>2844.18</v>
      </c>
      <c r="AH20" s="336">
        <f>ROUND('Obnova chodníka'!AP17,2)</f>
        <v>532.22</v>
      </c>
      <c r="AI20" s="337">
        <f t="shared" si="9"/>
        <v>0.18712599061944041</v>
      </c>
      <c r="AJ20" s="353">
        <f t="shared" si="5"/>
        <v>2311.96</v>
      </c>
      <c r="AK20" s="354">
        <f t="shared" si="6"/>
        <v>0.81287400938055965</v>
      </c>
      <c r="AL20" s="143">
        <f>'Obnova chodníka'!AJ39</f>
        <v>5762.8639999999996</v>
      </c>
      <c r="AM20" s="336">
        <f>ROUND('Obnova chodníka'!AP39,2)</f>
        <v>1749.88</v>
      </c>
      <c r="AN20" s="337">
        <f t="shared" si="0"/>
        <v>0.30364763076137147</v>
      </c>
      <c r="AO20" s="353">
        <f t="shared" si="7"/>
        <v>4012.9839999999995</v>
      </c>
      <c r="AP20" s="354">
        <f t="shared" si="8"/>
        <v>0.69635236923862853</v>
      </c>
      <c r="AQ20" s="471">
        <f>ROUND('Obnova chodníka'!AJ40,2)</f>
        <v>-398.51</v>
      </c>
      <c r="AR20" s="353">
        <f>ROUND('Obnova chodníka'!AJ41,2)</f>
        <v>6161.37</v>
      </c>
      <c r="AS20" s="143">
        <f t="shared" si="2"/>
        <v>8607.0439999999999</v>
      </c>
      <c r="AT20" s="62"/>
      <c r="AV20" s="63" t="e">
        <f>'Obnova chodníka'!#REF!</f>
        <v>#REF!</v>
      </c>
      <c r="AW20" s="64" t="e">
        <f t="shared" si="3"/>
        <v>#REF!</v>
      </c>
      <c r="AX20" s="65">
        <f>'Obnova chodníka'!BI17</f>
        <v>0</v>
      </c>
      <c r="AY20" s="64" t="e">
        <f>'Obnova chodníka'!#REF!</f>
        <v>#REF!</v>
      </c>
      <c r="AZ20" s="64" t="e">
        <f>'Obnova chodníka'!#REF!</f>
        <v>#REF!</v>
      </c>
      <c r="BA20" s="64" t="e">
        <f>'Obnova chodníka'!#REF!</f>
        <v>#REF!</v>
      </c>
      <c r="BB20" s="64" t="e">
        <f>'Obnova chodníka'!#REF!</f>
        <v>#REF!</v>
      </c>
      <c r="BC20" s="64" t="e">
        <f>'Obnova chodníka'!#REF!</f>
        <v>#REF!</v>
      </c>
      <c r="BD20" s="64" t="e">
        <f>'Obnova chodníka'!#REF!</f>
        <v>#REF!</v>
      </c>
      <c r="BE20" s="64" t="e">
        <f>'Obnova chodníka'!#REF!</f>
        <v>#REF!</v>
      </c>
      <c r="BF20" s="64" t="e">
        <f>'Obnova chodníka'!#REF!</f>
        <v>#REF!</v>
      </c>
      <c r="BG20" s="66" t="e">
        <f>'Obnova chodníka'!#REF!</f>
        <v>#REF!</v>
      </c>
      <c r="BW20" s="67" t="s">
        <v>42</v>
      </c>
      <c r="BY20" s="67" t="s">
        <v>33</v>
      </c>
      <c r="BZ20" s="67" t="s">
        <v>50</v>
      </c>
      <c r="CA20" s="67" t="s">
        <v>39</v>
      </c>
    </row>
    <row r="21" spans="1:79" s="5" customFormat="1" ht="22.5" customHeight="1">
      <c r="A21" s="59"/>
      <c r="B21" s="60"/>
      <c r="C21" s="61"/>
      <c r="D21" s="61"/>
      <c r="E21" s="484" t="s">
        <v>51</v>
      </c>
      <c r="F21" s="484"/>
      <c r="G21" s="484"/>
      <c r="H21" s="484"/>
      <c r="I21" s="484"/>
      <c r="J21" s="61"/>
      <c r="K21" s="484" t="s">
        <v>1398</v>
      </c>
      <c r="L21" s="484"/>
      <c r="M21" s="484"/>
      <c r="N21" s="484"/>
      <c r="O21" s="484"/>
      <c r="P21" s="484"/>
      <c r="Q21" s="484"/>
      <c r="R21" s="484"/>
      <c r="S21" s="484"/>
      <c r="T21" s="484"/>
      <c r="U21" s="484"/>
      <c r="V21" s="484"/>
      <c r="W21" s="484"/>
      <c r="X21" s="484"/>
      <c r="Y21" s="484"/>
      <c r="Z21" s="484"/>
      <c r="AA21" s="484"/>
      <c r="AB21" s="484"/>
      <c r="AC21" s="484"/>
      <c r="AD21" s="484"/>
      <c r="AE21" s="484"/>
      <c r="AF21" s="484"/>
      <c r="AG21" s="143">
        <f>ROUND('Sanácie balkónov'!AB18,2)</f>
        <v>6799.81</v>
      </c>
      <c r="AH21" s="336">
        <f>'Sanácie balkónov'!AF18</f>
        <v>0</v>
      </c>
      <c r="AI21" s="337">
        <f t="shared" si="9"/>
        <v>0</v>
      </c>
      <c r="AJ21" s="353">
        <f t="shared" si="5"/>
        <v>6799.81</v>
      </c>
      <c r="AK21" s="354">
        <f t="shared" si="6"/>
        <v>1</v>
      </c>
      <c r="AL21" s="143">
        <f>'Sanácie balkónov'!AB56</f>
        <v>2274.107</v>
      </c>
      <c r="AM21" s="336">
        <f>'Sanácie balkónov'!AF56</f>
        <v>0</v>
      </c>
      <c r="AN21" s="337">
        <f t="shared" si="0"/>
        <v>0</v>
      </c>
      <c r="AO21" s="353">
        <f t="shared" si="7"/>
        <v>2274.107</v>
      </c>
      <c r="AP21" s="354">
        <f t="shared" si="8"/>
        <v>1</v>
      </c>
      <c r="AQ21" s="471">
        <f>ROUND('Sanácie balkónov'!AB57,2)</f>
        <v>-2928.95</v>
      </c>
      <c r="AR21" s="353">
        <f>ROUND('Sanácie balkónov'!AB58,2)</f>
        <v>5203.0600000000004</v>
      </c>
      <c r="AS21" s="143">
        <f t="shared" si="2"/>
        <v>9073.9170000000013</v>
      </c>
      <c r="AT21" s="62"/>
      <c r="AV21" s="63" t="e">
        <f>#REF!</f>
        <v>#REF!</v>
      </c>
      <c r="AW21" s="64" t="e">
        <f t="shared" si="3"/>
        <v>#REF!</v>
      </c>
      <c r="AX21" s="65" t="e">
        <f>#REF!</f>
        <v>#REF!</v>
      </c>
      <c r="AY21" s="64" t="e">
        <f>#REF!</f>
        <v>#REF!</v>
      </c>
      <c r="AZ21" s="64" t="e">
        <f>#REF!</f>
        <v>#REF!</v>
      </c>
      <c r="BA21" s="64" t="e">
        <f>#REF!</f>
        <v>#REF!</v>
      </c>
      <c r="BB21" s="64" t="e">
        <f>#REF!</f>
        <v>#REF!</v>
      </c>
      <c r="BC21" s="64" t="e">
        <f>#REF!</f>
        <v>#REF!</v>
      </c>
      <c r="BD21" s="64" t="e">
        <f>#REF!</f>
        <v>#REF!</v>
      </c>
      <c r="BE21" s="64" t="e">
        <f>#REF!</f>
        <v>#REF!</v>
      </c>
      <c r="BF21" s="64" t="e">
        <f>#REF!</f>
        <v>#REF!</v>
      </c>
      <c r="BG21" s="66" t="e">
        <f>#REF!</f>
        <v>#REF!</v>
      </c>
      <c r="BW21" s="67" t="s">
        <v>42</v>
      </c>
      <c r="BY21" s="67" t="s">
        <v>33</v>
      </c>
      <c r="BZ21" s="67" t="s">
        <v>52</v>
      </c>
      <c r="CA21" s="67" t="s">
        <v>39</v>
      </c>
    </row>
    <row r="22" spans="1:79" s="4" customFormat="1" ht="37.5" customHeight="1">
      <c r="B22" s="51"/>
      <c r="C22" s="52"/>
      <c r="D22" s="483" t="s">
        <v>53</v>
      </c>
      <c r="E22" s="483"/>
      <c r="F22" s="483"/>
      <c r="G22" s="483"/>
      <c r="H22" s="483"/>
      <c r="I22" s="324"/>
      <c r="J22" s="483" t="s">
        <v>37</v>
      </c>
      <c r="K22" s="483"/>
      <c r="L22" s="483"/>
      <c r="M22" s="483"/>
      <c r="N22" s="483"/>
      <c r="O22" s="483"/>
      <c r="P22" s="483"/>
      <c r="Q22" s="483"/>
      <c r="R22" s="483"/>
      <c r="S22" s="483"/>
      <c r="T22" s="483"/>
      <c r="U22" s="483"/>
      <c r="V22" s="483"/>
      <c r="W22" s="483"/>
      <c r="X22" s="483"/>
      <c r="Y22" s="483"/>
      <c r="Z22" s="483"/>
      <c r="AA22" s="483"/>
      <c r="AB22" s="483"/>
      <c r="AC22" s="483"/>
      <c r="AD22" s="483"/>
      <c r="AE22" s="483"/>
      <c r="AF22" s="483"/>
      <c r="AG22" s="325">
        <f>ROUND(SUM(AG23:AG27),2)</f>
        <v>86354.34</v>
      </c>
      <c r="AH22" s="338">
        <f>ROUND(SUM(AH23:AH27),2)</f>
        <v>6536.79</v>
      </c>
      <c r="AI22" s="339">
        <f>AH22/AG22</f>
        <v>7.5697295584680524E-2</v>
      </c>
      <c r="AJ22" s="351">
        <f>AG22-AH22</f>
        <v>79817.55</v>
      </c>
      <c r="AK22" s="352">
        <f>AJ22/AG22</f>
        <v>0.92430270441531959</v>
      </c>
      <c r="AL22" s="325">
        <f>ROUND(SUM(AL23:AL27),2)</f>
        <v>24664.21</v>
      </c>
      <c r="AM22" s="338">
        <f>ROUND(SUM(AM23:AM27),2)</f>
        <v>5550.58</v>
      </c>
      <c r="AN22" s="339">
        <f t="shared" si="0"/>
        <v>0.22504592687136543</v>
      </c>
      <c r="AO22" s="351">
        <f>AL22-AM22</f>
        <v>19113.629999999997</v>
      </c>
      <c r="AP22" s="352">
        <f>AO22/AL22</f>
        <v>0.77495407312863451</v>
      </c>
      <c r="AQ22" s="470">
        <f t="shared" ref="AQ22:AR22" si="10">ROUND(SUM(AQ23:AQ27),2)</f>
        <v>-7572.06</v>
      </c>
      <c r="AR22" s="351">
        <f t="shared" si="10"/>
        <v>32236.26</v>
      </c>
      <c r="AS22" s="325">
        <f t="shared" si="2"/>
        <v>111018.54999999999</v>
      </c>
      <c r="AT22" s="53"/>
      <c r="AV22" s="54" t="e">
        <f>ROUND(SUM(AV23:AV27),2)</f>
        <v>#REF!</v>
      </c>
      <c r="AW22" s="55" t="e">
        <f t="shared" si="3"/>
        <v>#REF!</v>
      </c>
      <c r="AX22" s="56" t="e">
        <f>ROUND(SUM(AX23:AX27),5)</f>
        <v>#REF!</v>
      </c>
      <c r="AY22" s="55" t="e">
        <f>ROUND(BC22*#REF!,2)</f>
        <v>#REF!</v>
      </c>
      <c r="AZ22" s="55" t="e">
        <f>ROUND(BD22*#REF!,2)</f>
        <v>#REF!</v>
      </c>
      <c r="BA22" s="55" t="e">
        <f>ROUND(BE22*#REF!,2)</f>
        <v>#REF!</v>
      </c>
      <c r="BB22" s="55" t="e">
        <f>ROUND(BF22*#REF!,2)</f>
        <v>#REF!</v>
      </c>
      <c r="BC22" s="55" t="e">
        <f>ROUND(SUM(BC23:BC27),2)</f>
        <v>#REF!</v>
      </c>
      <c r="BD22" s="55" t="e">
        <f>ROUND(SUM(BD23:BD27),2)</f>
        <v>#REF!</v>
      </c>
      <c r="BE22" s="55" t="e">
        <f>ROUND(SUM(BE23:BE27),2)</f>
        <v>#REF!</v>
      </c>
      <c r="BF22" s="55" t="e">
        <f>ROUND(SUM(BF23:BF27),2)</f>
        <v>#REF!</v>
      </c>
      <c r="BG22" s="57" t="e">
        <f>ROUND(SUM(BG23:BG27),2)</f>
        <v>#REF!</v>
      </c>
      <c r="BV22" s="58" t="s">
        <v>30</v>
      </c>
      <c r="BW22" s="58" t="s">
        <v>38</v>
      </c>
      <c r="BX22" s="58" t="s">
        <v>32</v>
      </c>
      <c r="BY22" s="58" t="s">
        <v>33</v>
      </c>
      <c r="BZ22" s="58" t="s">
        <v>54</v>
      </c>
      <c r="CA22" s="58" t="s">
        <v>34</v>
      </c>
    </row>
    <row r="23" spans="1:79" s="5" customFormat="1" ht="22.5" customHeight="1">
      <c r="A23" s="59"/>
      <c r="B23" s="60"/>
      <c r="C23" s="61"/>
      <c r="D23" s="61"/>
      <c r="E23" s="484" t="s">
        <v>55</v>
      </c>
      <c r="F23" s="484"/>
      <c r="G23" s="484"/>
      <c r="H23" s="484"/>
      <c r="I23" s="484"/>
      <c r="J23" s="61"/>
      <c r="K23" s="484" t="s">
        <v>45</v>
      </c>
      <c r="L23" s="484"/>
      <c r="M23" s="484"/>
      <c r="N23" s="484"/>
      <c r="O23" s="484"/>
      <c r="P23" s="484"/>
      <c r="Q23" s="484"/>
      <c r="R23" s="484"/>
      <c r="S23" s="484"/>
      <c r="T23" s="484"/>
      <c r="U23" s="484"/>
      <c r="V23" s="484"/>
      <c r="W23" s="484"/>
      <c r="X23" s="484"/>
      <c r="Y23" s="484"/>
      <c r="Z23" s="484"/>
      <c r="AA23" s="484"/>
      <c r="AB23" s="484"/>
      <c r="AC23" s="484"/>
      <c r="AD23" s="484"/>
      <c r="AE23" s="484"/>
      <c r="AF23" s="484"/>
      <c r="AG23" s="143">
        <f>ROUND('Obvodový plášť'!AK18,2)</f>
        <v>44907.48</v>
      </c>
      <c r="AH23" s="336">
        <f>ROUND('Obvodový plášť'!AQ18,2)</f>
        <v>4698.96</v>
      </c>
      <c r="AI23" s="337">
        <f t="shared" ref="AI23:AI27" si="11">AH23/AG23</f>
        <v>0.10463646590723862</v>
      </c>
      <c r="AJ23" s="353">
        <f t="shared" ref="AJ23:AJ27" si="12">AG23-AH23</f>
        <v>40208.520000000004</v>
      </c>
      <c r="AK23" s="354">
        <f t="shared" ref="AK23:AK27" si="13">AJ23/AG23</f>
        <v>0.89536353409276137</v>
      </c>
      <c r="AL23" s="143">
        <f>'Obvodový plášť'!AK64</f>
        <v>11346.574999999999</v>
      </c>
      <c r="AM23" s="336">
        <f>ROUND('Obvodový plášť'!AQ64,2)</f>
        <v>1084.9100000000001</v>
      </c>
      <c r="AN23" s="337">
        <f t="shared" ref="AN23:AN27" si="14">AM23/AL23</f>
        <v>9.5615637317869068E-2</v>
      </c>
      <c r="AO23" s="353">
        <f t="shared" ref="AO23:AO27" si="15">AL23-AM23</f>
        <v>10261.664999999999</v>
      </c>
      <c r="AP23" s="354">
        <f t="shared" ref="AP23:AP27" si="16">AO23/AL23</f>
        <v>0.90438436268213096</v>
      </c>
      <c r="AQ23" s="471">
        <v>0</v>
      </c>
      <c r="AR23" s="353">
        <f>ROUND('Obvodový plášť'!AK66,2)</f>
        <v>11346.58</v>
      </c>
      <c r="AS23" s="143">
        <f t="shared" si="2"/>
        <v>56254.055</v>
      </c>
      <c r="AT23" s="62"/>
      <c r="AV23" s="63" t="e">
        <f>#REF!</f>
        <v>#REF!</v>
      </c>
      <c r="AW23" s="64" t="e">
        <f t="shared" si="3"/>
        <v>#REF!</v>
      </c>
      <c r="AX23" s="65" t="e">
        <f>#REF!</f>
        <v>#REF!</v>
      </c>
      <c r="AY23" s="64" t="e">
        <f>#REF!</f>
        <v>#REF!</v>
      </c>
      <c r="AZ23" s="64" t="e">
        <f>#REF!</f>
        <v>#REF!</v>
      </c>
      <c r="BA23" s="64" t="e">
        <f>#REF!</f>
        <v>#REF!</v>
      </c>
      <c r="BB23" s="64" t="e">
        <f>#REF!</f>
        <v>#REF!</v>
      </c>
      <c r="BC23" s="64" t="e">
        <f>#REF!</f>
        <v>#REF!</v>
      </c>
      <c r="BD23" s="64" t="e">
        <f>#REF!</f>
        <v>#REF!</v>
      </c>
      <c r="BE23" s="64" t="e">
        <f>#REF!</f>
        <v>#REF!</v>
      </c>
      <c r="BF23" s="64" t="e">
        <f>#REF!</f>
        <v>#REF!</v>
      </c>
      <c r="BG23" s="66" t="e">
        <f>#REF!</f>
        <v>#REF!</v>
      </c>
      <c r="BW23" s="67" t="s">
        <v>42</v>
      </c>
      <c r="BY23" s="67" t="s">
        <v>33</v>
      </c>
      <c r="BZ23" s="67" t="s">
        <v>56</v>
      </c>
      <c r="CA23" s="67" t="s">
        <v>54</v>
      </c>
    </row>
    <row r="24" spans="1:79" s="5" customFormat="1" ht="22.5" customHeight="1">
      <c r="A24" s="59"/>
      <c r="B24" s="60"/>
      <c r="C24" s="61"/>
      <c r="D24" s="61"/>
      <c r="E24" s="484" t="s">
        <v>57</v>
      </c>
      <c r="F24" s="484"/>
      <c r="G24" s="484"/>
      <c r="H24" s="484"/>
      <c r="I24" s="484"/>
      <c r="J24" s="61"/>
      <c r="K24" s="484" t="s">
        <v>41</v>
      </c>
      <c r="L24" s="484"/>
      <c r="M24" s="484"/>
      <c r="N24" s="484"/>
      <c r="O24" s="484"/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  <c r="AA24" s="484"/>
      <c r="AB24" s="484"/>
      <c r="AC24" s="484"/>
      <c r="AD24" s="484"/>
      <c r="AE24" s="484"/>
      <c r="AF24" s="484"/>
      <c r="AG24" s="204">
        <f>ROUND('Strešný plášť'!AK16,2)</f>
        <v>21471.31</v>
      </c>
      <c r="AH24" s="336">
        <f>'Strešný plášť'!AQ16</f>
        <v>0</v>
      </c>
      <c r="AI24" s="337">
        <f t="shared" si="11"/>
        <v>0</v>
      </c>
      <c r="AJ24" s="353">
        <f t="shared" si="12"/>
        <v>21471.31</v>
      </c>
      <c r="AK24" s="354">
        <f t="shared" si="13"/>
        <v>1</v>
      </c>
      <c r="AL24" s="143">
        <f>ROUND('Strešný plášť'!AK68,2)</f>
        <v>1558.99</v>
      </c>
      <c r="AM24" s="336">
        <f>'Strešný plášť'!AQ68</f>
        <v>0</v>
      </c>
      <c r="AN24" s="337">
        <f>AM24/AL24</f>
        <v>0</v>
      </c>
      <c r="AO24" s="353">
        <f t="shared" si="15"/>
        <v>1558.99</v>
      </c>
      <c r="AP24" s="354">
        <f t="shared" si="16"/>
        <v>1</v>
      </c>
      <c r="AQ24" s="471">
        <f>ROUND('Strešný plášť'!AK69,2)</f>
        <v>-1536.37</v>
      </c>
      <c r="AR24" s="353">
        <f>ROUND('Strešný plášť'!AK70,2)</f>
        <v>3095.36</v>
      </c>
      <c r="AS24" s="143">
        <f t="shared" si="2"/>
        <v>23030.300000000003</v>
      </c>
      <c r="AT24" s="62"/>
      <c r="AV24" s="63" t="e">
        <f>#REF!</f>
        <v>#REF!</v>
      </c>
      <c r="AW24" s="64" t="e">
        <f t="shared" si="3"/>
        <v>#REF!</v>
      </c>
      <c r="AX24" s="65" t="e">
        <f>#REF!</f>
        <v>#REF!</v>
      </c>
      <c r="AY24" s="64" t="e">
        <f>#REF!</f>
        <v>#REF!</v>
      </c>
      <c r="AZ24" s="64" t="e">
        <f>#REF!</f>
        <v>#REF!</v>
      </c>
      <c r="BA24" s="64" t="e">
        <f>#REF!</f>
        <v>#REF!</v>
      </c>
      <c r="BB24" s="64" t="e">
        <f>#REF!</f>
        <v>#REF!</v>
      </c>
      <c r="BC24" s="64" t="e">
        <f>#REF!</f>
        <v>#REF!</v>
      </c>
      <c r="BD24" s="64" t="e">
        <f>#REF!</f>
        <v>#REF!</v>
      </c>
      <c r="BE24" s="64" t="e">
        <f>#REF!</f>
        <v>#REF!</v>
      </c>
      <c r="BF24" s="64" t="e">
        <f>#REF!</f>
        <v>#REF!</v>
      </c>
      <c r="BG24" s="66" t="e">
        <f>#REF!</f>
        <v>#REF!</v>
      </c>
      <c r="BW24" s="67" t="s">
        <v>42</v>
      </c>
      <c r="BY24" s="67" t="s">
        <v>33</v>
      </c>
      <c r="BZ24" s="67" t="s">
        <v>58</v>
      </c>
      <c r="CA24" s="67" t="s">
        <v>54</v>
      </c>
    </row>
    <row r="25" spans="1:79" s="5" customFormat="1" ht="22.5" customHeight="1">
      <c r="A25" s="59"/>
      <c r="B25" s="60"/>
      <c r="C25" s="61"/>
      <c r="D25" s="61"/>
      <c r="E25" s="484" t="s">
        <v>59</v>
      </c>
      <c r="F25" s="484"/>
      <c r="G25" s="484"/>
      <c r="H25" s="484"/>
      <c r="I25" s="484"/>
      <c r="J25" s="61"/>
      <c r="K25" s="484" t="s">
        <v>1399</v>
      </c>
      <c r="L25" s="484"/>
      <c r="M25" s="484"/>
      <c r="N25" s="484"/>
      <c r="O25" s="484"/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84"/>
      <c r="AA25" s="484"/>
      <c r="AB25" s="484"/>
      <c r="AC25" s="484"/>
      <c r="AD25" s="484"/>
      <c r="AE25" s="484"/>
      <c r="AF25" s="484"/>
      <c r="AG25" s="204">
        <f>ROUND('Okná, dvere'!AK18,2)</f>
        <v>10331.56</v>
      </c>
      <c r="AH25" s="336">
        <f>'Okná, dvere'!AQ18</f>
        <v>0</v>
      </c>
      <c r="AI25" s="337">
        <f t="shared" si="11"/>
        <v>0</v>
      </c>
      <c r="AJ25" s="353">
        <f t="shared" si="12"/>
        <v>10331.56</v>
      </c>
      <c r="AK25" s="354">
        <f t="shared" si="13"/>
        <v>1</v>
      </c>
      <c r="AL25" s="143">
        <f>'Okná, dvere'!AK56</f>
        <v>2512.5030000000002</v>
      </c>
      <c r="AM25" s="336">
        <f>'Okná, dvere'!AQ56</f>
        <v>0</v>
      </c>
      <c r="AN25" s="337">
        <f>AM25/AL25</f>
        <v>0</v>
      </c>
      <c r="AO25" s="353">
        <f t="shared" si="15"/>
        <v>2512.5030000000002</v>
      </c>
      <c r="AP25" s="354">
        <f t="shared" si="16"/>
        <v>1</v>
      </c>
      <c r="AQ25" s="471">
        <f>ROUND('Okná, dvere'!AK57,2)</f>
        <v>-2995.2</v>
      </c>
      <c r="AR25" s="353">
        <f>ROUND('Okná, dvere'!AK58,2)</f>
        <v>5507.7</v>
      </c>
      <c r="AS25" s="143">
        <f t="shared" si="2"/>
        <v>12844.063</v>
      </c>
      <c r="AT25" s="62"/>
      <c r="AV25" s="63" t="e">
        <f>#REF!</f>
        <v>#REF!</v>
      </c>
      <c r="AW25" s="64" t="e">
        <f t="shared" si="3"/>
        <v>#REF!</v>
      </c>
      <c r="AX25" s="65" t="e">
        <f>#REF!</f>
        <v>#REF!</v>
      </c>
      <c r="AY25" s="64" t="e">
        <f>#REF!</f>
        <v>#REF!</v>
      </c>
      <c r="AZ25" s="64" t="e">
        <f>#REF!</f>
        <v>#REF!</v>
      </c>
      <c r="BA25" s="64" t="e">
        <f>#REF!</f>
        <v>#REF!</v>
      </c>
      <c r="BB25" s="64" t="e">
        <f>#REF!</f>
        <v>#REF!</v>
      </c>
      <c r="BC25" s="64" t="e">
        <f>#REF!</f>
        <v>#REF!</v>
      </c>
      <c r="BD25" s="64" t="e">
        <f>#REF!</f>
        <v>#REF!</v>
      </c>
      <c r="BE25" s="64" t="e">
        <f>#REF!</f>
        <v>#REF!</v>
      </c>
      <c r="BF25" s="64" t="e">
        <f>#REF!</f>
        <v>#REF!</v>
      </c>
      <c r="BG25" s="66" t="e">
        <f>#REF!</f>
        <v>#REF!</v>
      </c>
      <c r="BW25" s="67" t="s">
        <v>42</v>
      </c>
      <c r="BY25" s="67" t="s">
        <v>33</v>
      </c>
      <c r="BZ25" s="67" t="s">
        <v>60</v>
      </c>
      <c r="CA25" s="67" t="s">
        <v>54</v>
      </c>
    </row>
    <row r="26" spans="1:79" s="5" customFormat="1" ht="22.5" customHeight="1">
      <c r="A26" s="59"/>
      <c r="B26" s="60"/>
      <c r="C26" s="61"/>
      <c r="D26" s="61"/>
      <c r="E26" s="484" t="s">
        <v>61</v>
      </c>
      <c r="F26" s="484"/>
      <c r="G26" s="484"/>
      <c r="H26" s="484"/>
      <c r="I26" s="484"/>
      <c r="J26" s="61"/>
      <c r="K26" s="484" t="s">
        <v>62</v>
      </c>
      <c r="L26" s="484"/>
      <c r="M26" s="484"/>
      <c r="N26" s="484"/>
      <c r="O26" s="484"/>
      <c r="P26" s="484"/>
      <c r="Q26" s="484"/>
      <c r="R26" s="484"/>
      <c r="S26" s="484"/>
      <c r="T26" s="484"/>
      <c r="U26" s="484"/>
      <c r="V26" s="484"/>
      <c r="W26" s="484"/>
      <c r="X26" s="484"/>
      <c r="Y26" s="484"/>
      <c r="Z26" s="484"/>
      <c r="AA26" s="484"/>
      <c r="AB26" s="484"/>
      <c r="AC26" s="484"/>
      <c r="AD26" s="484"/>
      <c r="AE26" s="484"/>
      <c r="AF26" s="484"/>
      <c r="AG26" s="143">
        <f>ROUND('Obnova chodníka'!AK17,2)</f>
        <v>2844.18</v>
      </c>
      <c r="AH26" s="336">
        <f>ROUND('Obnova chodníka'!AQ17,2)</f>
        <v>1299.6300000000001</v>
      </c>
      <c r="AI26" s="337">
        <f>AH26/AG26</f>
        <v>0.45694365335527293</v>
      </c>
      <c r="AJ26" s="353">
        <f t="shared" si="12"/>
        <v>1544.5499999999997</v>
      </c>
      <c r="AK26" s="354">
        <f t="shared" si="13"/>
        <v>0.54305634664472702</v>
      </c>
      <c r="AL26" s="143">
        <f>'Obnova chodníka'!AK39</f>
        <v>5689.6040000000003</v>
      </c>
      <c r="AM26" s="336">
        <f>ROUND('Obnova chodníka'!AQ39,2)</f>
        <v>3155.99</v>
      </c>
      <c r="AN26" s="337">
        <f t="shared" si="14"/>
        <v>0.55469414040063236</v>
      </c>
      <c r="AO26" s="353">
        <f t="shared" si="15"/>
        <v>2533.6140000000005</v>
      </c>
      <c r="AP26" s="354">
        <f t="shared" si="16"/>
        <v>0.44530585959936764</v>
      </c>
      <c r="AQ26" s="471">
        <f>ROUND('Obnova chodníka'!AK40,2)</f>
        <v>-398.51</v>
      </c>
      <c r="AR26" s="353">
        <f>ROUND('Obnova chodníka'!AK41,2)</f>
        <v>6088.11</v>
      </c>
      <c r="AS26" s="143">
        <f t="shared" si="2"/>
        <v>8533.7839999999997</v>
      </c>
      <c r="AT26" s="62"/>
      <c r="AV26" s="63" t="e">
        <f>#REF!</f>
        <v>#REF!</v>
      </c>
      <c r="AW26" s="64" t="e">
        <f t="shared" si="3"/>
        <v>#REF!</v>
      </c>
      <c r="AX26" s="65" t="e">
        <f>#REF!</f>
        <v>#REF!</v>
      </c>
      <c r="AY26" s="64" t="e">
        <f>#REF!</f>
        <v>#REF!</v>
      </c>
      <c r="AZ26" s="64" t="e">
        <f>#REF!</f>
        <v>#REF!</v>
      </c>
      <c r="BA26" s="64" t="e">
        <f>#REF!</f>
        <v>#REF!</v>
      </c>
      <c r="BB26" s="64" t="e">
        <f>#REF!</f>
        <v>#REF!</v>
      </c>
      <c r="BC26" s="64" t="e">
        <f>#REF!</f>
        <v>#REF!</v>
      </c>
      <c r="BD26" s="64" t="e">
        <f>#REF!</f>
        <v>#REF!</v>
      </c>
      <c r="BE26" s="64" t="e">
        <f>#REF!</f>
        <v>#REF!</v>
      </c>
      <c r="BF26" s="64" t="e">
        <f>#REF!</f>
        <v>#REF!</v>
      </c>
      <c r="BG26" s="66" t="e">
        <f>#REF!</f>
        <v>#REF!</v>
      </c>
      <c r="BW26" s="67" t="s">
        <v>42</v>
      </c>
      <c r="BY26" s="67" t="s">
        <v>33</v>
      </c>
      <c r="BZ26" s="67" t="s">
        <v>63</v>
      </c>
      <c r="CA26" s="67" t="s">
        <v>54</v>
      </c>
    </row>
    <row r="27" spans="1:79" s="5" customFormat="1" ht="22.5" customHeight="1">
      <c r="A27" s="59"/>
      <c r="B27" s="60"/>
      <c r="C27" s="61"/>
      <c r="D27" s="61"/>
      <c r="E27" s="484" t="s">
        <v>64</v>
      </c>
      <c r="F27" s="484"/>
      <c r="G27" s="484"/>
      <c r="H27" s="484"/>
      <c r="I27" s="484"/>
      <c r="J27" s="61"/>
      <c r="K27" s="484" t="s">
        <v>1398</v>
      </c>
      <c r="L27" s="484"/>
      <c r="M27" s="484"/>
      <c r="N27" s="484"/>
      <c r="O27" s="484"/>
      <c r="P27" s="484"/>
      <c r="Q27" s="484"/>
      <c r="R27" s="484"/>
      <c r="S27" s="484"/>
      <c r="T27" s="484"/>
      <c r="U27" s="484"/>
      <c r="V27" s="484"/>
      <c r="W27" s="484"/>
      <c r="X27" s="484"/>
      <c r="Y27" s="484"/>
      <c r="Z27" s="484"/>
      <c r="AA27" s="484"/>
      <c r="AB27" s="484"/>
      <c r="AC27" s="484"/>
      <c r="AD27" s="484"/>
      <c r="AE27" s="484"/>
      <c r="AF27" s="484"/>
      <c r="AG27" s="143">
        <f>ROUND('Sanácie balkónov'!AC18,2)</f>
        <v>6799.81</v>
      </c>
      <c r="AH27" s="336">
        <f>'Sanácie balkónov'!AG18</f>
        <v>538.20000000000005</v>
      </c>
      <c r="AI27" s="337">
        <f t="shared" si="11"/>
        <v>7.9149270347259701E-2</v>
      </c>
      <c r="AJ27" s="353">
        <f t="shared" si="12"/>
        <v>6261.6100000000006</v>
      </c>
      <c r="AK27" s="354">
        <f t="shared" si="13"/>
        <v>0.92085072965274029</v>
      </c>
      <c r="AL27" s="143">
        <f>'Sanácie balkónov'!AC56</f>
        <v>3556.5330000000004</v>
      </c>
      <c r="AM27" s="336">
        <f>'Sanácie balkónov'!AG56</f>
        <v>1309.6779999999999</v>
      </c>
      <c r="AN27" s="337">
        <f t="shared" si="14"/>
        <v>0.36824570445430976</v>
      </c>
      <c r="AO27" s="353">
        <f t="shared" si="15"/>
        <v>2246.8550000000005</v>
      </c>
      <c r="AP27" s="354">
        <f t="shared" si="16"/>
        <v>0.63175429554569018</v>
      </c>
      <c r="AQ27" s="471">
        <f>ROUND('Sanácie balkónov'!AC57,2)</f>
        <v>-2641.98</v>
      </c>
      <c r="AR27" s="353">
        <f>ROUND('Sanácie balkónov'!AC58,2)</f>
        <v>6198.51</v>
      </c>
      <c r="AS27" s="143">
        <f t="shared" si="2"/>
        <v>10356.343000000001</v>
      </c>
      <c r="AT27" s="62"/>
      <c r="AV27" s="63" t="e">
        <f>#REF!</f>
        <v>#REF!</v>
      </c>
      <c r="AW27" s="64" t="e">
        <f t="shared" si="3"/>
        <v>#REF!</v>
      </c>
      <c r="AX27" s="65" t="e">
        <f>#REF!</f>
        <v>#REF!</v>
      </c>
      <c r="AY27" s="64" t="e">
        <f>#REF!</f>
        <v>#REF!</v>
      </c>
      <c r="AZ27" s="64" t="e">
        <f>#REF!</f>
        <v>#REF!</v>
      </c>
      <c r="BA27" s="64" t="e">
        <f>#REF!</f>
        <v>#REF!</v>
      </c>
      <c r="BB27" s="64" t="e">
        <f>#REF!</f>
        <v>#REF!</v>
      </c>
      <c r="BC27" s="64" t="e">
        <f>#REF!</f>
        <v>#REF!</v>
      </c>
      <c r="BD27" s="64" t="e">
        <f>#REF!</f>
        <v>#REF!</v>
      </c>
      <c r="BE27" s="64" t="e">
        <f>#REF!</f>
        <v>#REF!</v>
      </c>
      <c r="BF27" s="64" t="e">
        <f>#REF!</f>
        <v>#REF!</v>
      </c>
      <c r="BG27" s="66" t="e">
        <f>#REF!</f>
        <v>#REF!</v>
      </c>
      <c r="BW27" s="67" t="s">
        <v>42</v>
      </c>
      <c r="BY27" s="67" t="s">
        <v>33</v>
      </c>
      <c r="BZ27" s="67" t="s">
        <v>65</v>
      </c>
      <c r="CA27" s="67" t="s">
        <v>54</v>
      </c>
    </row>
    <row r="28" spans="1:79" s="4" customFormat="1" ht="37.5" customHeight="1">
      <c r="B28" s="51"/>
      <c r="C28" s="52"/>
      <c r="D28" s="483" t="s">
        <v>66</v>
      </c>
      <c r="E28" s="483"/>
      <c r="F28" s="483"/>
      <c r="G28" s="483"/>
      <c r="H28" s="483"/>
      <c r="I28" s="324"/>
      <c r="J28" s="483" t="s">
        <v>37</v>
      </c>
      <c r="K28" s="483"/>
      <c r="L28" s="483"/>
      <c r="M28" s="483"/>
      <c r="N28" s="483"/>
      <c r="O28" s="483"/>
      <c r="P28" s="483"/>
      <c r="Q28" s="483"/>
      <c r="R28" s="483"/>
      <c r="S28" s="483"/>
      <c r="T28" s="483"/>
      <c r="U28" s="483"/>
      <c r="V28" s="483"/>
      <c r="W28" s="483"/>
      <c r="X28" s="483"/>
      <c r="Y28" s="483"/>
      <c r="Z28" s="483"/>
      <c r="AA28" s="483"/>
      <c r="AB28" s="483"/>
      <c r="AC28" s="483"/>
      <c r="AD28" s="483"/>
      <c r="AE28" s="483"/>
      <c r="AF28" s="483"/>
      <c r="AG28" s="325">
        <f>ROUND(SUM(AG29:AG33),2)</f>
        <v>108639.23</v>
      </c>
      <c r="AH28" s="338">
        <f>ROUND(SUM(AH29:AH33),2)</f>
        <v>2721.4</v>
      </c>
      <c r="AI28" s="339">
        <f>AH28/AG28</f>
        <v>2.5049882993463782E-2</v>
      </c>
      <c r="AJ28" s="351">
        <f>AG28-AH28</f>
        <v>105917.83</v>
      </c>
      <c r="AK28" s="352">
        <f>AJ28/AG28</f>
        <v>0.97495011700653622</v>
      </c>
      <c r="AL28" s="326">
        <f>ROUND(SUM(AL29:AL33),2)</f>
        <v>22943.78</v>
      </c>
      <c r="AM28" s="338">
        <f>ROUND(SUM(AM29:AM33),2)</f>
        <v>2136.4499999999998</v>
      </c>
      <c r="AN28" s="339">
        <f>AM28/AL28</f>
        <v>9.3116740136106602E-2</v>
      </c>
      <c r="AO28" s="351">
        <f>AL28-AM28</f>
        <v>20807.329999999998</v>
      </c>
      <c r="AP28" s="352">
        <f>AO28/AL28</f>
        <v>0.9068832598638934</v>
      </c>
      <c r="AQ28" s="470">
        <f t="shared" ref="AQ28:AR28" si="17">ROUND(SUM(AQ29:AQ33),2)</f>
        <v>-15934.58</v>
      </c>
      <c r="AR28" s="351">
        <f t="shared" si="17"/>
        <v>38878.36</v>
      </c>
      <c r="AS28" s="326">
        <f t="shared" si="2"/>
        <v>131583.01</v>
      </c>
      <c r="AT28" s="53"/>
      <c r="AV28" s="54" t="e">
        <f>ROUND(SUM(AV29:AV33),2)</f>
        <v>#REF!</v>
      </c>
      <c r="AW28" s="55" t="e">
        <f t="shared" si="3"/>
        <v>#REF!</v>
      </c>
      <c r="AX28" s="56" t="e">
        <f>ROUND(SUM(AX29:AX33),5)</f>
        <v>#REF!</v>
      </c>
      <c r="AY28" s="55" t="e">
        <f>ROUND(BC28*#REF!,2)</f>
        <v>#REF!</v>
      </c>
      <c r="AZ28" s="55" t="e">
        <f>ROUND(BD28*#REF!,2)</f>
        <v>#REF!</v>
      </c>
      <c r="BA28" s="55" t="e">
        <f>ROUND(BE28*#REF!,2)</f>
        <v>#REF!</v>
      </c>
      <c r="BB28" s="55" t="e">
        <f>ROUND(BF28*#REF!,2)</f>
        <v>#REF!</v>
      </c>
      <c r="BC28" s="55" t="e">
        <f>ROUND(SUM(BC29:BC33),2)</f>
        <v>#REF!</v>
      </c>
      <c r="BD28" s="55" t="e">
        <f>ROUND(SUM(BD29:BD33),2)</f>
        <v>#REF!</v>
      </c>
      <c r="BE28" s="55" t="e">
        <f>ROUND(SUM(BE29:BE33),2)</f>
        <v>#REF!</v>
      </c>
      <c r="BF28" s="55" t="e">
        <f>ROUND(SUM(BF29:BF33),2)</f>
        <v>#REF!</v>
      </c>
      <c r="BG28" s="57" t="e">
        <f>ROUND(SUM(BG29:BG33),2)</f>
        <v>#REF!</v>
      </c>
      <c r="BV28" s="58" t="s">
        <v>30</v>
      </c>
      <c r="BW28" s="58" t="s">
        <v>38</v>
      </c>
      <c r="BX28" s="58" t="s">
        <v>32</v>
      </c>
      <c r="BY28" s="58" t="s">
        <v>33</v>
      </c>
      <c r="BZ28" s="58" t="s">
        <v>67</v>
      </c>
      <c r="CA28" s="58" t="s">
        <v>34</v>
      </c>
    </row>
    <row r="29" spans="1:79" s="5" customFormat="1" ht="22.5" customHeight="1">
      <c r="A29" s="59"/>
      <c r="B29" s="60"/>
      <c r="C29" s="61"/>
      <c r="D29" s="61"/>
      <c r="E29" s="484" t="s">
        <v>68</v>
      </c>
      <c r="F29" s="484"/>
      <c r="G29" s="484"/>
      <c r="H29" s="484"/>
      <c r="I29" s="484"/>
      <c r="J29" s="61"/>
      <c r="K29" s="484" t="s">
        <v>45</v>
      </c>
      <c r="L29" s="484"/>
      <c r="M29" s="484"/>
      <c r="N29" s="484"/>
      <c r="O29" s="484"/>
      <c r="P29" s="484"/>
      <c r="Q29" s="484"/>
      <c r="R29" s="484"/>
      <c r="S29" s="484"/>
      <c r="T29" s="484"/>
      <c r="U29" s="484"/>
      <c r="V29" s="484"/>
      <c r="W29" s="484"/>
      <c r="X29" s="484"/>
      <c r="Y29" s="484"/>
      <c r="Z29" s="484"/>
      <c r="AA29" s="484"/>
      <c r="AB29" s="484"/>
      <c r="AC29" s="484"/>
      <c r="AD29" s="484"/>
      <c r="AE29" s="484"/>
      <c r="AF29" s="484"/>
      <c r="AG29" s="143">
        <f>ROUND('Obvodový plášť'!AL18,2)</f>
        <v>53652.82</v>
      </c>
      <c r="AH29" s="336">
        <f>ROUND('Obvodový plášť'!AR18,2)</f>
        <v>1627.1</v>
      </c>
      <c r="AI29" s="337">
        <f t="shared" ref="AI29:AI33" si="18">AH29/AG29</f>
        <v>3.0326458143299827E-2</v>
      </c>
      <c r="AJ29" s="353">
        <f t="shared" ref="AJ29:AJ33" si="19">AG29-AH29</f>
        <v>52025.72</v>
      </c>
      <c r="AK29" s="354">
        <f t="shared" ref="AK29:AK33" si="20">AJ29/AG29</f>
        <v>0.96967354185670018</v>
      </c>
      <c r="AL29" s="143">
        <f>'Obvodový plášť'!AL64</f>
        <v>16680.680999999997</v>
      </c>
      <c r="AM29" s="336">
        <f>ROUND('Obvodový plášť'!AR64,2)</f>
        <v>70.37</v>
      </c>
      <c r="AN29" s="337">
        <f t="shared" ref="AN29:AN33" si="21">AM29/AL29</f>
        <v>4.2186527036875785E-3</v>
      </c>
      <c r="AO29" s="353">
        <f t="shared" ref="AO29:AO33" si="22">AL29-AM29</f>
        <v>16610.310999999998</v>
      </c>
      <c r="AP29" s="354">
        <f t="shared" ref="AP29:AP33" si="23">AO29/AL29</f>
        <v>0.99578134729631251</v>
      </c>
      <c r="AQ29" s="471">
        <v>0</v>
      </c>
      <c r="AR29" s="353">
        <f>ROUND('Obvodový plášť'!AL66,2)</f>
        <v>16680.68</v>
      </c>
      <c r="AS29" s="143">
        <f t="shared" si="2"/>
        <v>70333.500999999989</v>
      </c>
      <c r="AT29" s="62"/>
      <c r="AV29" s="63" t="e">
        <f>#REF!</f>
        <v>#REF!</v>
      </c>
      <c r="AW29" s="64" t="e">
        <f t="shared" si="3"/>
        <v>#REF!</v>
      </c>
      <c r="AX29" s="65" t="e">
        <f>#REF!</f>
        <v>#REF!</v>
      </c>
      <c r="AY29" s="64" t="e">
        <f>#REF!</f>
        <v>#REF!</v>
      </c>
      <c r="AZ29" s="64" t="e">
        <f>#REF!</f>
        <v>#REF!</v>
      </c>
      <c r="BA29" s="64" t="e">
        <f>#REF!</f>
        <v>#REF!</v>
      </c>
      <c r="BB29" s="64" t="e">
        <f>#REF!</f>
        <v>#REF!</v>
      </c>
      <c r="BC29" s="64" t="e">
        <f>#REF!</f>
        <v>#REF!</v>
      </c>
      <c r="BD29" s="64" t="e">
        <f>#REF!</f>
        <v>#REF!</v>
      </c>
      <c r="BE29" s="64" t="e">
        <f>#REF!</f>
        <v>#REF!</v>
      </c>
      <c r="BF29" s="64" t="e">
        <f>#REF!</f>
        <v>#REF!</v>
      </c>
      <c r="BG29" s="66" t="e">
        <f>#REF!</f>
        <v>#REF!</v>
      </c>
      <c r="BW29" s="67" t="s">
        <v>42</v>
      </c>
      <c r="BY29" s="67" t="s">
        <v>33</v>
      </c>
      <c r="BZ29" s="67" t="s">
        <v>69</v>
      </c>
      <c r="CA29" s="67" t="s">
        <v>67</v>
      </c>
    </row>
    <row r="30" spans="1:79" s="5" customFormat="1" ht="22.5" customHeight="1">
      <c r="A30" s="59"/>
      <c r="B30" s="60"/>
      <c r="C30" s="61"/>
      <c r="D30" s="61"/>
      <c r="E30" s="484" t="s">
        <v>70</v>
      </c>
      <c r="F30" s="484"/>
      <c r="G30" s="484"/>
      <c r="H30" s="484"/>
      <c r="I30" s="484"/>
      <c r="J30" s="61"/>
      <c r="K30" s="484" t="s">
        <v>41</v>
      </c>
      <c r="L30" s="484"/>
      <c r="M30" s="484"/>
      <c r="N30" s="484"/>
      <c r="O30" s="484"/>
      <c r="P30" s="484"/>
      <c r="Q30" s="484"/>
      <c r="R30" s="484"/>
      <c r="S30" s="484"/>
      <c r="T30" s="484"/>
      <c r="U30" s="484"/>
      <c r="V30" s="484"/>
      <c r="W30" s="484"/>
      <c r="X30" s="484"/>
      <c r="Y30" s="484"/>
      <c r="Z30" s="484"/>
      <c r="AA30" s="484"/>
      <c r="AB30" s="484"/>
      <c r="AC30" s="484"/>
      <c r="AD30" s="484"/>
      <c r="AE30" s="484"/>
      <c r="AF30" s="484"/>
      <c r="AG30" s="204">
        <f>ROUND('Strešný plášť'!AL16,2)</f>
        <v>22219.35</v>
      </c>
      <c r="AH30" s="336">
        <f>'Strešný plášť'!AR16</f>
        <v>0</v>
      </c>
      <c r="AI30" s="337">
        <f t="shared" si="18"/>
        <v>0</v>
      </c>
      <c r="AJ30" s="353">
        <f t="shared" si="19"/>
        <v>22219.35</v>
      </c>
      <c r="AK30" s="354">
        <f t="shared" si="20"/>
        <v>1</v>
      </c>
      <c r="AL30" s="143">
        <f>ROUND('Strešný plášť'!AL68,2)</f>
        <v>1539.81</v>
      </c>
      <c r="AM30" s="336">
        <f>'Strešný plášť'!AR68</f>
        <v>0</v>
      </c>
      <c r="AN30" s="337">
        <f t="shared" si="21"/>
        <v>0</v>
      </c>
      <c r="AO30" s="353">
        <f t="shared" si="22"/>
        <v>1539.81</v>
      </c>
      <c r="AP30" s="354">
        <f t="shared" si="23"/>
        <v>1</v>
      </c>
      <c r="AQ30" s="471">
        <f>ROUND('Strešný plášť'!AL69,2)</f>
        <v>-2329.61</v>
      </c>
      <c r="AR30" s="353">
        <f>ROUND('Strešný plášť'!AL70,2)</f>
        <v>3869.43</v>
      </c>
      <c r="AS30" s="143">
        <f t="shared" si="2"/>
        <v>23759.16</v>
      </c>
      <c r="AT30" s="62"/>
      <c r="AV30" s="63" t="e">
        <f>#REF!</f>
        <v>#REF!</v>
      </c>
      <c r="AW30" s="64" t="e">
        <f t="shared" si="3"/>
        <v>#REF!</v>
      </c>
      <c r="AX30" s="65" t="e">
        <f>#REF!</f>
        <v>#REF!</v>
      </c>
      <c r="AY30" s="64" t="e">
        <f>#REF!</f>
        <v>#REF!</v>
      </c>
      <c r="AZ30" s="64" t="e">
        <f>#REF!</f>
        <v>#REF!</v>
      </c>
      <c r="BA30" s="64" t="e">
        <f>#REF!</f>
        <v>#REF!</v>
      </c>
      <c r="BB30" s="64" t="e">
        <f>#REF!</f>
        <v>#REF!</v>
      </c>
      <c r="BC30" s="64" t="e">
        <f>#REF!</f>
        <v>#REF!</v>
      </c>
      <c r="BD30" s="64" t="e">
        <f>#REF!</f>
        <v>#REF!</v>
      </c>
      <c r="BE30" s="64" t="e">
        <f>#REF!</f>
        <v>#REF!</v>
      </c>
      <c r="BF30" s="64" t="e">
        <f>#REF!</f>
        <v>#REF!</v>
      </c>
      <c r="BG30" s="66" t="e">
        <f>#REF!</f>
        <v>#REF!</v>
      </c>
      <c r="BW30" s="67" t="s">
        <v>42</v>
      </c>
      <c r="BY30" s="67" t="s">
        <v>33</v>
      </c>
      <c r="BZ30" s="67" t="s">
        <v>71</v>
      </c>
      <c r="CA30" s="67" t="s">
        <v>67</v>
      </c>
    </row>
    <row r="31" spans="1:79" s="5" customFormat="1" ht="22.5" customHeight="1">
      <c r="A31" s="59"/>
      <c r="B31" s="60"/>
      <c r="C31" s="61"/>
      <c r="D31" s="61"/>
      <c r="E31" s="484" t="s">
        <v>72</v>
      </c>
      <c r="F31" s="484"/>
      <c r="G31" s="484"/>
      <c r="H31" s="484"/>
      <c r="I31" s="484"/>
      <c r="J31" s="61"/>
      <c r="K31" s="484" t="s">
        <v>73</v>
      </c>
      <c r="L31" s="484"/>
      <c r="M31" s="484"/>
      <c r="N31" s="484"/>
      <c r="O31" s="484"/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  <c r="AA31" s="484"/>
      <c r="AB31" s="484"/>
      <c r="AC31" s="484"/>
      <c r="AD31" s="484"/>
      <c r="AE31" s="484"/>
      <c r="AF31" s="484"/>
      <c r="AG31" s="204">
        <f>ROUND('Okná, dvere'!AL18,2)</f>
        <v>15306.83</v>
      </c>
      <c r="AH31" s="336">
        <f>'Okná, dvere'!AR18</f>
        <v>0</v>
      </c>
      <c r="AI31" s="337">
        <f t="shared" si="18"/>
        <v>0</v>
      </c>
      <c r="AJ31" s="353">
        <f t="shared" si="19"/>
        <v>15306.83</v>
      </c>
      <c r="AK31" s="354">
        <f t="shared" si="20"/>
        <v>1</v>
      </c>
      <c r="AL31" s="143">
        <f>'Okná, dvere'!AL56</f>
        <v>-37.914999999999907</v>
      </c>
      <c r="AM31" s="336">
        <f>'Okná, dvere'!AR56</f>
        <v>0</v>
      </c>
      <c r="AN31" s="337">
        <f t="shared" si="21"/>
        <v>0</v>
      </c>
      <c r="AO31" s="353">
        <f t="shared" si="22"/>
        <v>-37.914999999999907</v>
      </c>
      <c r="AP31" s="354">
        <f t="shared" si="23"/>
        <v>1</v>
      </c>
      <c r="AQ31" s="471">
        <f>ROUND('Okná, dvere'!AL57,2)</f>
        <v>-4555.78</v>
      </c>
      <c r="AR31" s="353">
        <f>ROUND('Okná, dvere'!AL58,2)</f>
        <v>4517.8599999999997</v>
      </c>
      <c r="AS31" s="143">
        <f t="shared" si="2"/>
        <v>15268.915000000001</v>
      </c>
      <c r="AT31" s="62"/>
      <c r="AV31" s="63" t="e">
        <f>#REF!</f>
        <v>#REF!</v>
      </c>
      <c r="AW31" s="64" t="e">
        <f t="shared" si="3"/>
        <v>#REF!</v>
      </c>
      <c r="AX31" s="65" t="e">
        <f>#REF!</f>
        <v>#REF!</v>
      </c>
      <c r="AY31" s="64" t="e">
        <f>#REF!</f>
        <v>#REF!</v>
      </c>
      <c r="AZ31" s="64" t="e">
        <f>#REF!</f>
        <v>#REF!</v>
      </c>
      <c r="BA31" s="64" t="e">
        <f>#REF!</f>
        <v>#REF!</v>
      </c>
      <c r="BB31" s="64" t="e">
        <f>#REF!</f>
        <v>#REF!</v>
      </c>
      <c r="BC31" s="64" t="e">
        <f>#REF!</f>
        <v>#REF!</v>
      </c>
      <c r="BD31" s="64" t="e">
        <f>#REF!</f>
        <v>#REF!</v>
      </c>
      <c r="BE31" s="64" t="e">
        <f>#REF!</f>
        <v>#REF!</v>
      </c>
      <c r="BF31" s="64" t="e">
        <f>#REF!</f>
        <v>#REF!</v>
      </c>
      <c r="BG31" s="66" t="e">
        <f>#REF!</f>
        <v>#REF!</v>
      </c>
      <c r="BW31" s="67" t="s">
        <v>42</v>
      </c>
      <c r="BY31" s="67" t="s">
        <v>33</v>
      </c>
      <c r="BZ31" s="67" t="s">
        <v>74</v>
      </c>
      <c r="CA31" s="67" t="s">
        <v>67</v>
      </c>
    </row>
    <row r="32" spans="1:79" s="5" customFormat="1" ht="22.5" customHeight="1">
      <c r="A32" s="59"/>
      <c r="B32" s="60"/>
      <c r="C32" s="61"/>
      <c r="D32" s="61"/>
      <c r="E32" s="484" t="s">
        <v>75</v>
      </c>
      <c r="F32" s="484"/>
      <c r="G32" s="484"/>
      <c r="H32" s="484"/>
      <c r="I32" s="484"/>
      <c r="J32" s="61"/>
      <c r="K32" s="484" t="s">
        <v>62</v>
      </c>
      <c r="L32" s="484"/>
      <c r="M32" s="484"/>
      <c r="N32" s="484"/>
      <c r="O32" s="484"/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  <c r="AA32" s="484"/>
      <c r="AB32" s="484"/>
      <c r="AC32" s="484"/>
      <c r="AD32" s="484"/>
      <c r="AE32" s="484"/>
      <c r="AF32" s="484"/>
      <c r="AG32" s="143">
        <f>ROUND('Obnova chodníka'!AL17,2)</f>
        <v>3854.41</v>
      </c>
      <c r="AH32" s="336">
        <f>ROUND('Obnova chodníka'!AR17,2)</f>
        <v>1094.3</v>
      </c>
      <c r="AI32" s="337">
        <f t="shared" si="18"/>
        <v>0.28390856188106611</v>
      </c>
      <c r="AJ32" s="353">
        <f t="shared" si="19"/>
        <v>2760.1099999999997</v>
      </c>
      <c r="AK32" s="354">
        <f t="shared" si="20"/>
        <v>0.71609143811893383</v>
      </c>
      <c r="AL32" s="143">
        <f>'Obnova chodníka'!AL39</f>
        <v>6291.3489999999993</v>
      </c>
      <c r="AM32" s="336">
        <f>ROUND('Obnova chodníka'!AR39,2)</f>
        <v>2066.08</v>
      </c>
      <c r="AN32" s="337">
        <f t="shared" si="21"/>
        <v>0.328400157104621</v>
      </c>
      <c r="AO32" s="353">
        <f t="shared" si="22"/>
        <v>4225.2689999999993</v>
      </c>
      <c r="AP32" s="354">
        <f t="shared" si="23"/>
        <v>0.671599842895379</v>
      </c>
      <c r="AQ32" s="471">
        <f>ROUND('Obnova chodníka'!AL40,2)</f>
        <v>-978.85</v>
      </c>
      <c r="AR32" s="353">
        <f>ROUND('Obnova chodníka'!AL41,2)</f>
        <v>7270.2</v>
      </c>
      <c r="AS32" s="143">
        <f t="shared" si="2"/>
        <v>10145.758999999998</v>
      </c>
      <c r="AT32" s="62"/>
      <c r="AV32" s="63" t="e">
        <f>#REF!</f>
        <v>#REF!</v>
      </c>
      <c r="AW32" s="64" t="e">
        <f t="shared" si="3"/>
        <v>#REF!</v>
      </c>
      <c r="AX32" s="65" t="e">
        <f>#REF!</f>
        <v>#REF!</v>
      </c>
      <c r="AY32" s="64" t="e">
        <f>#REF!</f>
        <v>#REF!</v>
      </c>
      <c r="AZ32" s="64" t="e">
        <f>#REF!</f>
        <v>#REF!</v>
      </c>
      <c r="BA32" s="64" t="e">
        <f>#REF!</f>
        <v>#REF!</v>
      </c>
      <c r="BB32" s="64" t="e">
        <f>#REF!</f>
        <v>#REF!</v>
      </c>
      <c r="BC32" s="64" t="e">
        <f>#REF!</f>
        <v>#REF!</v>
      </c>
      <c r="BD32" s="64" t="e">
        <f>#REF!</f>
        <v>#REF!</v>
      </c>
      <c r="BE32" s="64" t="e">
        <f>#REF!</f>
        <v>#REF!</v>
      </c>
      <c r="BF32" s="64" t="e">
        <f>#REF!</f>
        <v>#REF!</v>
      </c>
      <c r="BG32" s="66" t="e">
        <f>#REF!</f>
        <v>#REF!</v>
      </c>
      <c r="BW32" s="67" t="s">
        <v>42</v>
      </c>
      <c r="BY32" s="67" t="s">
        <v>33</v>
      </c>
      <c r="BZ32" s="67" t="s">
        <v>76</v>
      </c>
      <c r="CA32" s="67" t="s">
        <v>67</v>
      </c>
    </row>
    <row r="33" spans="1:79" s="5" customFormat="1" ht="22.5" customHeight="1">
      <c r="A33" s="59"/>
      <c r="B33" s="60"/>
      <c r="C33" s="61"/>
      <c r="D33" s="61"/>
      <c r="E33" s="484" t="s">
        <v>77</v>
      </c>
      <c r="F33" s="484"/>
      <c r="G33" s="484"/>
      <c r="H33" s="484"/>
      <c r="I33" s="484"/>
      <c r="J33" s="61"/>
      <c r="K33" s="484" t="s">
        <v>1398</v>
      </c>
      <c r="L33" s="484"/>
      <c r="M33" s="484"/>
      <c r="N33" s="484"/>
      <c r="O33" s="484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  <c r="AA33" s="484"/>
      <c r="AB33" s="484"/>
      <c r="AC33" s="484"/>
      <c r="AD33" s="484"/>
      <c r="AE33" s="484"/>
      <c r="AF33" s="484"/>
      <c r="AG33" s="143">
        <f>ROUND('Sanácie balkónov'!AD18,2)</f>
        <v>13605.82</v>
      </c>
      <c r="AH33" s="336">
        <f>'Sanácie balkónov'!AH18</f>
        <v>0</v>
      </c>
      <c r="AI33" s="337">
        <f t="shared" si="18"/>
        <v>0</v>
      </c>
      <c r="AJ33" s="353">
        <f t="shared" si="19"/>
        <v>13605.82</v>
      </c>
      <c r="AK33" s="354">
        <f t="shared" si="20"/>
        <v>1</v>
      </c>
      <c r="AL33" s="143">
        <f>'Sanácie balkónov'!AD56</f>
        <v>-1530.1430000000005</v>
      </c>
      <c r="AM33" s="336">
        <f>'Sanácie balkónov'!AH56</f>
        <v>0</v>
      </c>
      <c r="AN33" s="337">
        <f t="shared" si="21"/>
        <v>0</v>
      </c>
      <c r="AO33" s="353">
        <f t="shared" si="22"/>
        <v>-1530.1430000000005</v>
      </c>
      <c r="AP33" s="354">
        <f t="shared" si="23"/>
        <v>1</v>
      </c>
      <c r="AQ33" s="471">
        <f>ROUND('Sanácie balkónov'!AD57,2)</f>
        <v>-8070.34</v>
      </c>
      <c r="AR33" s="353">
        <f>ROUND('Sanácie balkónov'!AD58,2)</f>
        <v>6540.19</v>
      </c>
      <c r="AS33" s="143">
        <f t="shared" si="2"/>
        <v>12075.677</v>
      </c>
      <c r="AT33" s="62"/>
      <c r="AV33" s="63" t="e">
        <f>'Sanácie balkónov'!#REF!</f>
        <v>#REF!</v>
      </c>
      <c r="AW33" s="64" t="e">
        <f t="shared" si="3"/>
        <v>#REF!</v>
      </c>
      <c r="AX33" s="65">
        <f>'Sanácie balkónov'!AU18</f>
        <v>0</v>
      </c>
      <c r="AY33" s="64" t="e">
        <f>'Sanácie balkónov'!#REF!</f>
        <v>#REF!</v>
      </c>
      <c r="AZ33" s="64" t="e">
        <f>'Sanácie balkónov'!#REF!</f>
        <v>#REF!</v>
      </c>
      <c r="BA33" s="64" t="e">
        <f>'Sanácie balkónov'!#REF!</f>
        <v>#REF!</v>
      </c>
      <c r="BB33" s="64" t="e">
        <f>'Sanácie balkónov'!#REF!</f>
        <v>#REF!</v>
      </c>
      <c r="BC33" s="64" t="e">
        <f>'Sanácie balkónov'!#REF!</f>
        <v>#REF!</v>
      </c>
      <c r="BD33" s="64" t="e">
        <f>'Sanácie balkónov'!#REF!</f>
        <v>#REF!</v>
      </c>
      <c r="BE33" s="64" t="e">
        <f>'Sanácie balkónov'!#REF!</f>
        <v>#REF!</v>
      </c>
      <c r="BF33" s="64" t="e">
        <f>'Sanácie balkónov'!#REF!</f>
        <v>#REF!</v>
      </c>
      <c r="BG33" s="66" t="e">
        <f>'Sanácie balkónov'!#REF!</f>
        <v>#REF!</v>
      </c>
      <c r="BW33" s="67" t="s">
        <v>42</v>
      </c>
      <c r="BY33" s="67" t="s">
        <v>33</v>
      </c>
      <c r="BZ33" s="67" t="s">
        <v>78</v>
      </c>
      <c r="CA33" s="67" t="s">
        <v>67</v>
      </c>
    </row>
    <row r="34" spans="1:79" s="4" customFormat="1" ht="37.5" customHeight="1">
      <c r="B34" s="51"/>
      <c r="C34" s="52"/>
      <c r="D34" s="483" t="s">
        <v>79</v>
      </c>
      <c r="E34" s="483"/>
      <c r="F34" s="483"/>
      <c r="G34" s="483"/>
      <c r="H34" s="483"/>
      <c r="I34" s="324"/>
      <c r="J34" s="483" t="s">
        <v>37</v>
      </c>
      <c r="K34" s="483"/>
      <c r="L34" s="483"/>
      <c r="M34" s="483"/>
      <c r="N34" s="483"/>
      <c r="O34" s="483"/>
      <c r="P34" s="483"/>
      <c r="Q34" s="483"/>
      <c r="R34" s="483"/>
      <c r="S34" s="483"/>
      <c r="T34" s="483"/>
      <c r="U34" s="483"/>
      <c r="V34" s="483"/>
      <c r="W34" s="483"/>
      <c r="X34" s="483"/>
      <c r="Y34" s="483"/>
      <c r="Z34" s="483"/>
      <c r="AA34" s="483"/>
      <c r="AB34" s="483"/>
      <c r="AC34" s="483"/>
      <c r="AD34" s="483"/>
      <c r="AE34" s="483"/>
      <c r="AF34" s="483"/>
      <c r="AG34" s="325">
        <f>ROUND(SUM(AG35:AG38),2)</f>
        <v>101015.45</v>
      </c>
      <c r="AH34" s="338">
        <f>ROUND(SUM(AH35:AH38),2)</f>
        <v>844.64</v>
      </c>
      <c r="AI34" s="339">
        <f>AH34/AG34</f>
        <v>8.3614932171266875E-3</v>
      </c>
      <c r="AJ34" s="351">
        <f>AG34-AH34</f>
        <v>100170.81</v>
      </c>
      <c r="AK34" s="352">
        <f>AJ34/AG34</f>
        <v>0.99163850678287335</v>
      </c>
      <c r="AL34" s="325">
        <f>ROUND(SUM(AL35:AL38),2)</f>
        <v>49347.13</v>
      </c>
      <c r="AM34" s="338">
        <f>ROUND(SUM(AM35:AM38),2)</f>
        <v>1475.46</v>
      </c>
      <c r="AN34" s="339">
        <f>AM34/AL34</f>
        <v>2.9899611183061711E-2</v>
      </c>
      <c r="AO34" s="351">
        <f>AL34-AM34</f>
        <v>47871.67</v>
      </c>
      <c r="AP34" s="352">
        <f>AO34/AL34</f>
        <v>0.97010038881693827</v>
      </c>
      <c r="AQ34" s="470">
        <f t="shared" ref="AQ34:AR34" si="24">ROUND(SUM(AQ35:AQ38),2)</f>
        <v>-3499.33</v>
      </c>
      <c r="AR34" s="351">
        <f t="shared" si="24"/>
        <v>52846.45</v>
      </c>
      <c r="AS34" s="325">
        <f t="shared" si="2"/>
        <v>150362.57999999999</v>
      </c>
      <c r="AT34" s="53"/>
      <c r="AV34" s="54" t="e">
        <f>ROUND(SUM(AV35:AV38),2)</f>
        <v>#REF!</v>
      </c>
      <c r="AW34" s="55" t="e">
        <f t="shared" si="3"/>
        <v>#REF!</v>
      </c>
      <c r="AX34" s="56" t="e">
        <f>ROUND(SUM(AX35:AX38),5)</f>
        <v>#REF!</v>
      </c>
      <c r="AY34" s="55" t="e">
        <f>ROUND(BC34*#REF!,2)</f>
        <v>#REF!</v>
      </c>
      <c r="AZ34" s="55" t="e">
        <f>ROUND(BD34*#REF!,2)</f>
        <v>#REF!</v>
      </c>
      <c r="BA34" s="55" t="e">
        <f>ROUND(BE34*#REF!,2)</f>
        <v>#REF!</v>
      </c>
      <c r="BB34" s="55" t="e">
        <f>ROUND(BF34*#REF!,2)</f>
        <v>#REF!</v>
      </c>
      <c r="BC34" s="55" t="e">
        <f>ROUND(SUM(BC35:BC38),2)</f>
        <v>#REF!</v>
      </c>
      <c r="BD34" s="55" t="e">
        <f>ROUND(SUM(BD35:BD38),2)</f>
        <v>#REF!</v>
      </c>
      <c r="BE34" s="55" t="e">
        <f>ROUND(SUM(BE35:BE38),2)</f>
        <v>#REF!</v>
      </c>
      <c r="BF34" s="55" t="e">
        <f>ROUND(SUM(BF35:BF38),2)</f>
        <v>#REF!</v>
      </c>
      <c r="BG34" s="57" t="e">
        <f>ROUND(SUM(BG35:BG38),2)</f>
        <v>#REF!</v>
      </c>
      <c r="BV34" s="58" t="s">
        <v>30</v>
      </c>
      <c r="BW34" s="58" t="s">
        <v>38</v>
      </c>
      <c r="BX34" s="58" t="s">
        <v>32</v>
      </c>
      <c r="BY34" s="58" t="s">
        <v>33</v>
      </c>
      <c r="BZ34" s="58" t="s">
        <v>80</v>
      </c>
      <c r="CA34" s="58" t="s">
        <v>34</v>
      </c>
    </row>
    <row r="35" spans="1:79" s="5" customFormat="1" ht="22.5" customHeight="1">
      <c r="A35" s="59"/>
      <c r="B35" s="60"/>
      <c r="C35" s="61"/>
      <c r="D35" s="61"/>
      <c r="E35" s="484" t="s">
        <v>81</v>
      </c>
      <c r="F35" s="484"/>
      <c r="G35" s="484"/>
      <c r="H35" s="484"/>
      <c r="I35" s="484"/>
      <c r="J35" s="61"/>
      <c r="K35" s="484" t="s">
        <v>45</v>
      </c>
      <c r="L35" s="484"/>
      <c r="M35" s="484"/>
      <c r="N35" s="484"/>
      <c r="O35" s="484"/>
      <c r="P35" s="484"/>
      <c r="Q35" s="484"/>
      <c r="R35" s="484"/>
      <c r="S35" s="484"/>
      <c r="T35" s="484"/>
      <c r="U35" s="484"/>
      <c r="V35" s="484"/>
      <c r="W35" s="484"/>
      <c r="X35" s="484"/>
      <c r="Y35" s="484"/>
      <c r="Z35" s="484"/>
      <c r="AA35" s="484"/>
      <c r="AB35" s="484"/>
      <c r="AC35" s="484"/>
      <c r="AD35" s="484"/>
      <c r="AE35" s="484"/>
      <c r="AF35" s="484"/>
      <c r="AG35" s="143">
        <f>ROUND('Obvodový plášť'!AM18,2)</f>
        <v>53180.55</v>
      </c>
      <c r="AH35" s="336">
        <f>ROUND('Obvodový plášť'!AS18,2)</f>
        <v>0</v>
      </c>
      <c r="AI35" s="337">
        <f t="shared" ref="AI35:AI38" si="25">AH35/AG35</f>
        <v>0</v>
      </c>
      <c r="AJ35" s="353">
        <f>AG35-AH35</f>
        <v>53180.55</v>
      </c>
      <c r="AK35" s="354">
        <f t="shared" ref="AK35:AK38" si="26">AJ35/AG35</f>
        <v>1</v>
      </c>
      <c r="AL35" s="143">
        <f>'Obvodový plášť'!AM64</f>
        <v>24763.42</v>
      </c>
      <c r="AM35" s="336">
        <f>ROUND('Obvodový plášť'!AS64,2)</f>
        <v>0</v>
      </c>
      <c r="AN35" s="337">
        <f t="shared" ref="AN35:AN38" si="27">AM35/AL35</f>
        <v>0</v>
      </c>
      <c r="AO35" s="353">
        <f>AL35-AM35</f>
        <v>24763.42</v>
      </c>
      <c r="AP35" s="354">
        <f t="shared" ref="AP35:AP38" si="28">AO35/AL35</f>
        <v>1</v>
      </c>
      <c r="AQ35" s="471">
        <v>0</v>
      </c>
      <c r="AR35" s="353">
        <f>ROUND('Obvodový plášť'!AM66,2)</f>
        <v>24763.42</v>
      </c>
      <c r="AS35" s="143">
        <f t="shared" si="2"/>
        <v>77943.97</v>
      </c>
      <c r="AT35" s="62"/>
      <c r="AV35" s="63" t="e">
        <f>#REF!</f>
        <v>#REF!</v>
      </c>
      <c r="AW35" s="64" t="e">
        <f t="shared" si="3"/>
        <v>#REF!</v>
      </c>
      <c r="AX35" s="65" t="e">
        <f>#REF!</f>
        <v>#REF!</v>
      </c>
      <c r="AY35" s="64" t="e">
        <f>#REF!</f>
        <v>#REF!</v>
      </c>
      <c r="AZ35" s="64" t="e">
        <f>#REF!</f>
        <v>#REF!</v>
      </c>
      <c r="BA35" s="64" t="e">
        <f>#REF!</f>
        <v>#REF!</v>
      </c>
      <c r="BB35" s="64" t="e">
        <f>#REF!</f>
        <v>#REF!</v>
      </c>
      <c r="BC35" s="64" t="e">
        <f>#REF!</f>
        <v>#REF!</v>
      </c>
      <c r="BD35" s="64" t="e">
        <f>#REF!</f>
        <v>#REF!</v>
      </c>
      <c r="BE35" s="64" t="e">
        <f>#REF!</f>
        <v>#REF!</v>
      </c>
      <c r="BF35" s="64" t="e">
        <f>#REF!</f>
        <v>#REF!</v>
      </c>
      <c r="BG35" s="66" t="e">
        <f>#REF!</f>
        <v>#REF!</v>
      </c>
      <c r="BW35" s="67" t="s">
        <v>42</v>
      </c>
      <c r="BY35" s="67" t="s">
        <v>33</v>
      </c>
      <c r="BZ35" s="67" t="s">
        <v>82</v>
      </c>
      <c r="CA35" s="67" t="s">
        <v>80</v>
      </c>
    </row>
    <row r="36" spans="1:79" s="5" customFormat="1" ht="22.5" customHeight="1">
      <c r="A36" s="59"/>
      <c r="B36" s="60"/>
      <c r="C36" s="61"/>
      <c r="D36" s="61"/>
      <c r="E36" s="484" t="s">
        <v>83</v>
      </c>
      <c r="F36" s="484"/>
      <c r="G36" s="484"/>
      <c r="H36" s="484"/>
      <c r="I36" s="484"/>
      <c r="J36" s="61"/>
      <c r="K36" s="484" t="s">
        <v>41</v>
      </c>
      <c r="L36" s="484"/>
      <c r="M36" s="484"/>
      <c r="N36" s="484"/>
      <c r="O36" s="484"/>
      <c r="P36" s="484"/>
      <c r="Q36" s="484"/>
      <c r="R36" s="484"/>
      <c r="S36" s="484"/>
      <c r="T36" s="484"/>
      <c r="U36" s="484"/>
      <c r="V36" s="484"/>
      <c r="W36" s="484"/>
      <c r="X36" s="484"/>
      <c r="Y36" s="484"/>
      <c r="Z36" s="484"/>
      <c r="AA36" s="484"/>
      <c r="AB36" s="484"/>
      <c r="AC36" s="484"/>
      <c r="AD36" s="484"/>
      <c r="AE36" s="484"/>
      <c r="AF36" s="484"/>
      <c r="AG36" s="204">
        <f>ROUND('Strešný plášť'!AM16,2)</f>
        <v>29654.05</v>
      </c>
      <c r="AH36" s="336">
        <f>'Strešný plášť'!AS16</f>
        <v>0</v>
      </c>
      <c r="AI36" s="337">
        <f t="shared" si="25"/>
        <v>0</v>
      </c>
      <c r="AJ36" s="353">
        <f t="shared" ref="AJ36:AJ38" si="29">AG36-AH36</f>
        <v>29654.05</v>
      </c>
      <c r="AK36" s="354">
        <f t="shared" si="26"/>
        <v>1</v>
      </c>
      <c r="AL36" s="143">
        <f>ROUND('Strešný plášť'!AM68,2)</f>
        <v>-1988.46</v>
      </c>
      <c r="AM36" s="336">
        <f>'Strešný plášť'!BS68</f>
        <v>0</v>
      </c>
      <c r="AN36" s="337">
        <f t="shared" si="27"/>
        <v>0</v>
      </c>
      <c r="AO36" s="353">
        <f t="shared" ref="AO36:AO38" si="30">AL36-AM36</f>
        <v>-1988.46</v>
      </c>
      <c r="AP36" s="354">
        <f t="shared" si="28"/>
        <v>1</v>
      </c>
      <c r="AQ36" s="471">
        <f>ROUND('Strešný plášť'!AM69,2)</f>
        <v>-2068.3200000000002</v>
      </c>
      <c r="AR36" s="353">
        <f>ROUND('Strešný plášť'!AM70,2)</f>
        <v>79.86</v>
      </c>
      <c r="AS36" s="143">
        <f t="shared" si="2"/>
        <v>27665.59</v>
      </c>
      <c r="AT36" s="62"/>
      <c r="AV36" s="63" t="e">
        <f>#REF!</f>
        <v>#REF!</v>
      </c>
      <c r="AW36" s="64" t="e">
        <f t="shared" si="3"/>
        <v>#REF!</v>
      </c>
      <c r="AX36" s="65" t="e">
        <f>#REF!</f>
        <v>#REF!</v>
      </c>
      <c r="AY36" s="64" t="e">
        <f>#REF!</f>
        <v>#REF!</v>
      </c>
      <c r="AZ36" s="64" t="e">
        <f>#REF!</f>
        <v>#REF!</v>
      </c>
      <c r="BA36" s="64" t="e">
        <f>#REF!</f>
        <v>#REF!</v>
      </c>
      <c r="BB36" s="64" t="e">
        <f>#REF!</f>
        <v>#REF!</v>
      </c>
      <c r="BC36" s="64" t="e">
        <f>#REF!</f>
        <v>#REF!</v>
      </c>
      <c r="BD36" s="64" t="e">
        <f>#REF!</f>
        <v>#REF!</v>
      </c>
      <c r="BE36" s="64" t="e">
        <f>#REF!</f>
        <v>#REF!</v>
      </c>
      <c r="BF36" s="64" t="e">
        <f>#REF!</f>
        <v>#REF!</v>
      </c>
      <c r="BG36" s="66" t="e">
        <f>#REF!</f>
        <v>#REF!</v>
      </c>
      <c r="BW36" s="67" t="s">
        <v>42</v>
      </c>
      <c r="BY36" s="67" t="s">
        <v>33</v>
      </c>
      <c r="BZ36" s="67" t="s">
        <v>84</v>
      </c>
      <c r="CA36" s="67" t="s">
        <v>80</v>
      </c>
    </row>
    <row r="37" spans="1:79" s="5" customFormat="1" ht="22.5" customHeight="1">
      <c r="A37" s="59"/>
      <c r="B37" s="60"/>
      <c r="C37" s="61"/>
      <c r="D37" s="61"/>
      <c r="E37" s="484" t="s">
        <v>85</v>
      </c>
      <c r="F37" s="484"/>
      <c r="G37" s="484"/>
      <c r="H37" s="484"/>
      <c r="I37" s="484"/>
      <c r="J37" s="61"/>
      <c r="K37" s="484" t="s">
        <v>1399</v>
      </c>
      <c r="L37" s="484"/>
      <c r="M37" s="484"/>
      <c r="N37" s="484"/>
      <c r="O37" s="484"/>
      <c r="P37" s="484"/>
      <c r="Q37" s="484"/>
      <c r="R37" s="484"/>
      <c r="S37" s="484"/>
      <c r="T37" s="484"/>
      <c r="U37" s="484"/>
      <c r="V37" s="484"/>
      <c r="W37" s="484"/>
      <c r="X37" s="484"/>
      <c r="Y37" s="484"/>
      <c r="Z37" s="484"/>
      <c r="AA37" s="484"/>
      <c r="AB37" s="484"/>
      <c r="AC37" s="484"/>
      <c r="AD37" s="484"/>
      <c r="AE37" s="484"/>
      <c r="AF37" s="484"/>
      <c r="AG37" s="204">
        <f>ROUND('Okná, dvere'!AM18,2)</f>
        <v>14862.96</v>
      </c>
      <c r="AH37" s="336">
        <f>'Okná, dvere'!AS18</f>
        <v>0</v>
      </c>
      <c r="AI37" s="337">
        <f t="shared" si="25"/>
        <v>0</v>
      </c>
      <c r="AJ37" s="353">
        <f t="shared" si="29"/>
        <v>14862.96</v>
      </c>
      <c r="AK37" s="354">
        <f t="shared" si="26"/>
        <v>1</v>
      </c>
      <c r="AL37" s="143">
        <f>'Okná, dvere'!AM56</f>
        <v>3214.721</v>
      </c>
      <c r="AM37" s="336">
        <f>'Okná, dvere'!AS56</f>
        <v>0</v>
      </c>
      <c r="AN37" s="337">
        <f t="shared" si="27"/>
        <v>0</v>
      </c>
      <c r="AO37" s="353">
        <f t="shared" si="30"/>
        <v>3214.721</v>
      </c>
      <c r="AP37" s="354">
        <f t="shared" si="28"/>
        <v>1</v>
      </c>
      <c r="AQ37" s="471">
        <f>ROUND('Okná, dvere'!AM57,2)</f>
        <v>-600.04999999999995</v>
      </c>
      <c r="AR37" s="353">
        <f>ROUND('Okná, dvere'!AM58,2)</f>
        <v>3814.77</v>
      </c>
      <c r="AS37" s="143">
        <f t="shared" si="2"/>
        <v>18077.681</v>
      </c>
      <c r="AT37" s="62"/>
      <c r="AV37" s="63" t="e">
        <f>#REF!</f>
        <v>#REF!</v>
      </c>
      <c r="AW37" s="64" t="e">
        <f t="shared" si="3"/>
        <v>#REF!</v>
      </c>
      <c r="AX37" s="65" t="e">
        <f>#REF!</f>
        <v>#REF!</v>
      </c>
      <c r="AY37" s="64" t="e">
        <f>#REF!</f>
        <v>#REF!</v>
      </c>
      <c r="AZ37" s="64" t="e">
        <f>#REF!</f>
        <v>#REF!</v>
      </c>
      <c r="BA37" s="64" t="e">
        <f>#REF!</f>
        <v>#REF!</v>
      </c>
      <c r="BB37" s="64" t="e">
        <f>#REF!</f>
        <v>#REF!</v>
      </c>
      <c r="BC37" s="64" t="e">
        <f>#REF!</f>
        <v>#REF!</v>
      </c>
      <c r="BD37" s="64" t="e">
        <f>#REF!</f>
        <v>#REF!</v>
      </c>
      <c r="BE37" s="64" t="e">
        <f>#REF!</f>
        <v>#REF!</v>
      </c>
      <c r="BF37" s="64" t="e">
        <f>#REF!</f>
        <v>#REF!</v>
      </c>
      <c r="BG37" s="66" t="e">
        <f>#REF!</f>
        <v>#REF!</v>
      </c>
      <c r="BW37" s="67" t="s">
        <v>42</v>
      </c>
      <c r="BY37" s="67" t="s">
        <v>33</v>
      </c>
      <c r="BZ37" s="67" t="s">
        <v>86</v>
      </c>
      <c r="CA37" s="67" t="s">
        <v>80</v>
      </c>
    </row>
    <row r="38" spans="1:79" s="5" customFormat="1" ht="22.5" customHeight="1">
      <c r="A38" s="59"/>
      <c r="B38" s="60"/>
      <c r="C38" s="61"/>
      <c r="D38" s="61"/>
      <c r="E38" s="484" t="s">
        <v>87</v>
      </c>
      <c r="F38" s="484"/>
      <c r="G38" s="484"/>
      <c r="H38" s="484"/>
      <c r="I38" s="484"/>
      <c r="J38" s="61"/>
      <c r="K38" s="484" t="s">
        <v>62</v>
      </c>
      <c r="L38" s="484"/>
      <c r="M38" s="484"/>
      <c r="N38" s="484"/>
      <c r="O38" s="484"/>
      <c r="P38" s="484"/>
      <c r="Q38" s="484"/>
      <c r="R38" s="484"/>
      <c r="S38" s="484"/>
      <c r="T38" s="484"/>
      <c r="U38" s="484"/>
      <c r="V38" s="484"/>
      <c r="W38" s="484"/>
      <c r="X38" s="484"/>
      <c r="Y38" s="484"/>
      <c r="Z38" s="484"/>
      <c r="AA38" s="484"/>
      <c r="AB38" s="484"/>
      <c r="AC38" s="484"/>
      <c r="AD38" s="484"/>
      <c r="AE38" s="484"/>
      <c r="AF38" s="484"/>
      <c r="AG38" s="143">
        <f>ROUND('Obnova chodníka'!AM17,2)</f>
        <v>3317.89</v>
      </c>
      <c r="AH38" s="336">
        <f>ROUND('Obnova chodníka'!AS17,2)</f>
        <v>844.64</v>
      </c>
      <c r="AI38" s="337">
        <f t="shared" si="25"/>
        <v>0.25457142943256106</v>
      </c>
      <c r="AJ38" s="353">
        <f t="shared" si="29"/>
        <v>2473.25</v>
      </c>
      <c r="AK38" s="354">
        <f t="shared" si="26"/>
        <v>0.74542857056743894</v>
      </c>
      <c r="AL38" s="143">
        <f>'Obnova chodníka'!AM39</f>
        <v>23357.444</v>
      </c>
      <c r="AM38" s="336">
        <f>ROUND('Obnova chodníka'!AS39,2)</f>
        <v>1475.46</v>
      </c>
      <c r="AN38" s="337">
        <f t="shared" si="27"/>
        <v>6.3168726852133317E-2</v>
      </c>
      <c r="AO38" s="353">
        <f t="shared" si="30"/>
        <v>21881.984</v>
      </c>
      <c r="AP38" s="354">
        <f t="shared" si="28"/>
        <v>0.93683127314786674</v>
      </c>
      <c r="AQ38" s="471">
        <f>ROUND('Obnova chodníka'!AM40,2)</f>
        <v>-830.96</v>
      </c>
      <c r="AR38" s="353">
        <f>ROUND('Obnova chodníka'!AM41,2)</f>
        <v>24188.400000000001</v>
      </c>
      <c r="AS38" s="143">
        <f t="shared" si="2"/>
        <v>26675.333999999999</v>
      </c>
      <c r="AT38" s="62"/>
      <c r="AV38" s="63" t="e">
        <f>#REF!</f>
        <v>#REF!</v>
      </c>
      <c r="AW38" s="64" t="e">
        <f t="shared" si="3"/>
        <v>#REF!</v>
      </c>
      <c r="AX38" s="65" t="e">
        <f>#REF!</f>
        <v>#REF!</v>
      </c>
      <c r="AY38" s="64" t="e">
        <f>#REF!</f>
        <v>#REF!</v>
      </c>
      <c r="AZ38" s="64" t="e">
        <f>#REF!</f>
        <v>#REF!</v>
      </c>
      <c r="BA38" s="64" t="e">
        <f>#REF!</f>
        <v>#REF!</v>
      </c>
      <c r="BB38" s="64" t="e">
        <f>#REF!</f>
        <v>#REF!</v>
      </c>
      <c r="BC38" s="64" t="e">
        <f>#REF!</f>
        <v>#REF!</v>
      </c>
      <c r="BD38" s="64" t="e">
        <f>#REF!</f>
        <v>#REF!</v>
      </c>
      <c r="BE38" s="64" t="e">
        <f>#REF!</f>
        <v>#REF!</v>
      </c>
      <c r="BF38" s="64" t="e">
        <f>#REF!</f>
        <v>#REF!</v>
      </c>
      <c r="BG38" s="66" t="e">
        <f>#REF!</f>
        <v>#REF!</v>
      </c>
      <c r="BW38" s="67" t="s">
        <v>42</v>
      </c>
      <c r="BY38" s="67" t="s">
        <v>33</v>
      </c>
      <c r="BZ38" s="67" t="s">
        <v>88</v>
      </c>
      <c r="CA38" s="67" t="s">
        <v>80</v>
      </c>
    </row>
    <row r="39" spans="1:79" s="4" customFormat="1" ht="37.5" customHeight="1">
      <c r="B39" s="51"/>
      <c r="C39" s="52"/>
      <c r="D39" s="483" t="s">
        <v>89</v>
      </c>
      <c r="E39" s="483"/>
      <c r="F39" s="483"/>
      <c r="G39" s="483"/>
      <c r="H39" s="483"/>
      <c r="I39" s="324"/>
      <c r="J39" s="483" t="s">
        <v>37</v>
      </c>
      <c r="K39" s="483"/>
      <c r="L39" s="483"/>
      <c r="M39" s="483"/>
      <c r="N39" s="483"/>
      <c r="O39" s="483"/>
      <c r="P39" s="483"/>
      <c r="Q39" s="483"/>
      <c r="R39" s="483"/>
      <c r="S39" s="483"/>
      <c r="T39" s="483"/>
      <c r="U39" s="483"/>
      <c r="V39" s="483"/>
      <c r="W39" s="483"/>
      <c r="X39" s="483"/>
      <c r="Y39" s="483"/>
      <c r="Z39" s="483"/>
      <c r="AA39" s="483"/>
      <c r="AB39" s="483"/>
      <c r="AC39" s="483"/>
      <c r="AD39" s="483"/>
      <c r="AE39" s="483"/>
      <c r="AF39" s="483"/>
      <c r="AG39" s="325">
        <f>ROUND(SUM(AG40:AG43),2)</f>
        <v>44122.29</v>
      </c>
      <c r="AH39" s="338">
        <f>ROUND(SUM(AH40:AH43),2)</f>
        <v>2668.03</v>
      </c>
      <c r="AI39" s="339">
        <f>AH39/AG39</f>
        <v>6.0468982910905127E-2</v>
      </c>
      <c r="AJ39" s="351">
        <f>AG39-AH39</f>
        <v>41454.26</v>
      </c>
      <c r="AK39" s="352">
        <f>AJ39/AG39</f>
        <v>0.93953101708909492</v>
      </c>
      <c r="AL39" s="325">
        <f>ROUND(SUM(AL40:AL43),2)</f>
        <v>11190.04</v>
      </c>
      <c r="AM39" s="338">
        <f>ROUND(SUM(AM40:AM43),2)</f>
        <v>954.08</v>
      </c>
      <c r="AN39" s="339">
        <f>AM39/AL39</f>
        <v>8.5261536151792133E-2</v>
      </c>
      <c r="AO39" s="351">
        <f>AL39-AM39</f>
        <v>10235.960000000001</v>
      </c>
      <c r="AP39" s="352">
        <f>AO39/AL39</f>
        <v>0.91473846384820789</v>
      </c>
      <c r="AQ39" s="470">
        <f t="shared" ref="AQ39:AR39" si="31">ROUND(SUM(AQ40:AQ43),2)</f>
        <v>-2697.25</v>
      </c>
      <c r="AR39" s="351">
        <f t="shared" si="31"/>
        <v>13887.3</v>
      </c>
      <c r="AS39" s="325">
        <f t="shared" si="2"/>
        <v>55312.33</v>
      </c>
      <c r="AT39" s="53"/>
      <c r="AV39" s="54" t="e">
        <f>ROUND(SUM(AV40:AV43),2)</f>
        <v>#REF!</v>
      </c>
      <c r="AW39" s="55" t="e">
        <f t="shared" si="3"/>
        <v>#REF!</v>
      </c>
      <c r="AX39" s="56" t="e">
        <f>ROUND(SUM(AX40:AX43),5)</f>
        <v>#REF!</v>
      </c>
      <c r="AY39" s="55" t="e">
        <f>ROUND(BC39*#REF!,2)</f>
        <v>#REF!</v>
      </c>
      <c r="AZ39" s="55" t="e">
        <f>ROUND(BD39*#REF!,2)</f>
        <v>#REF!</v>
      </c>
      <c r="BA39" s="55" t="e">
        <f>ROUND(BE39*#REF!,2)</f>
        <v>#REF!</v>
      </c>
      <c r="BB39" s="55" t="e">
        <f>ROUND(BF39*#REF!,2)</f>
        <v>#REF!</v>
      </c>
      <c r="BC39" s="55" t="e">
        <f>ROUND(SUM(BC40:BC43),2)</f>
        <v>#REF!</v>
      </c>
      <c r="BD39" s="55" t="e">
        <f>ROUND(SUM(BD40:BD43),2)</f>
        <v>#REF!</v>
      </c>
      <c r="BE39" s="55" t="e">
        <f>ROUND(SUM(BE40:BE43),2)</f>
        <v>#REF!</v>
      </c>
      <c r="BF39" s="55" t="e">
        <f>ROUND(SUM(BF40:BF43),2)</f>
        <v>#REF!</v>
      </c>
      <c r="BG39" s="57" t="e">
        <f>ROUND(SUM(BG40:BG43),2)</f>
        <v>#REF!</v>
      </c>
      <c r="BV39" s="58" t="s">
        <v>30</v>
      </c>
      <c r="BW39" s="58" t="s">
        <v>38</v>
      </c>
      <c r="BX39" s="58" t="s">
        <v>32</v>
      </c>
      <c r="BY39" s="58" t="s">
        <v>33</v>
      </c>
      <c r="BZ39" s="58" t="s">
        <v>90</v>
      </c>
      <c r="CA39" s="58" t="s">
        <v>34</v>
      </c>
    </row>
    <row r="40" spans="1:79" s="5" customFormat="1" ht="22.5" customHeight="1">
      <c r="A40" s="59"/>
      <c r="B40" s="60"/>
      <c r="C40" s="61"/>
      <c r="D40" s="61"/>
      <c r="E40" s="484" t="s">
        <v>91</v>
      </c>
      <c r="F40" s="484"/>
      <c r="G40" s="484"/>
      <c r="H40" s="484"/>
      <c r="I40" s="484"/>
      <c r="J40" s="61"/>
      <c r="K40" s="484" t="s">
        <v>45</v>
      </c>
      <c r="L40" s="484"/>
      <c r="M40" s="484"/>
      <c r="N40" s="484"/>
      <c r="O40" s="484"/>
      <c r="P40" s="484"/>
      <c r="Q40" s="484"/>
      <c r="R40" s="484"/>
      <c r="S40" s="484"/>
      <c r="T40" s="484"/>
      <c r="U40" s="484"/>
      <c r="V40" s="484"/>
      <c r="W40" s="484"/>
      <c r="X40" s="484"/>
      <c r="Y40" s="484"/>
      <c r="Z40" s="484"/>
      <c r="AA40" s="484"/>
      <c r="AB40" s="484"/>
      <c r="AC40" s="484"/>
      <c r="AD40" s="484"/>
      <c r="AE40" s="484"/>
      <c r="AF40" s="484"/>
      <c r="AG40" s="143">
        <f>ROUND('Obvodový plášť'!AN18,2)</f>
        <v>9571.08</v>
      </c>
      <c r="AH40" s="336">
        <f>ROUND('Obvodový plášť'!AT18,2)</f>
        <v>1581.96</v>
      </c>
      <c r="AI40" s="337">
        <f t="shared" ref="AI40:AI43" si="32">AH40/AG40</f>
        <v>0.16528542233478355</v>
      </c>
      <c r="AJ40" s="353">
        <f t="shared" ref="AJ40:AJ43" si="33">AG40-AH40</f>
        <v>7989.12</v>
      </c>
      <c r="AK40" s="354">
        <f t="shared" ref="AK40:AK43" si="34">AJ40/AG40</f>
        <v>0.83471457766521651</v>
      </c>
      <c r="AL40" s="143">
        <f>'Obvodový plášť'!AN64</f>
        <v>5056.7030000000004</v>
      </c>
      <c r="AM40" s="336">
        <f>ROUND('Obvodový plášť'!AT64,2)</f>
        <v>102.36</v>
      </c>
      <c r="AN40" s="337">
        <f t="shared" ref="AN40:AN43" si="35">AM40/AL40</f>
        <v>2.0242438600803724E-2</v>
      </c>
      <c r="AO40" s="353">
        <f t="shared" ref="AO40:AO43" si="36">AL40-AM40</f>
        <v>4954.3430000000008</v>
      </c>
      <c r="AP40" s="354">
        <f t="shared" ref="AP40:AP43" si="37">AO40/AL40</f>
        <v>0.97975756139919634</v>
      </c>
      <c r="AQ40" s="471">
        <v>0</v>
      </c>
      <c r="AR40" s="353">
        <f>ROUND('Obvodový plášť'!AN66,2)</f>
        <v>5056.7</v>
      </c>
      <c r="AS40" s="143">
        <f t="shared" si="2"/>
        <v>14627.782999999999</v>
      </c>
      <c r="AT40" s="62"/>
      <c r="AV40" s="63" t="e">
        <f>#REF!</f>
        <v>#REF!</v>
      </c>
      <c r="AW40" s="64" t="e">
        <f t="shared" si="3"/>
        <v>#REF!</v>
      </c>
      <c r="AX40" s="65" t="e">
        <f>#REF!</f>
        <v>#REF!</v>
      </c>
      <c r="AY40" s="64" t="e">
        <f>#REF!</f>
        <v>#REF!</v>
      </c>
      <c r="AZ40" s="64" t="e">
        <f>#REF!</f>
        <v>#REF!</v>
      </c>
      <c r="BA40" s="64" t="e">
        <f>#REF!</f>
        <v>#REF!</v>
      </c>
      <c r="BB40" s="64" t="e">
        <f>#REF!</f>
        <v>#REF!</v>
      </c>
      <c r="BC40" s="64" t="e">
        <f>#REF!</f>
        <v>#REF!</v>
      </c>
      <c r="BD40" s="64" t="e">
        <f>#REF!</f>
        <v>#REF!</v>
      </c>
      <c r="BE40" s="64" t="e">
        <f>#REF!</f>
        <v>#REF!</v>
      </c>
      <c r="BF40" s="64" t="e">
        <f>#REF!</f>
        <v>#REF!</v>
      </c>
      <c r="BG40" s="66" t="e">
        <f>#REF!</f>
        <v>#REF!</v>
      </c>
      <c r="BW40" s="67" t="s">
        <v>42</v>
      </c>
      <c r="BY40" s="67" t="s">
        <v>33</v>
      </c>
      <c r="BZ40" s="67" t="s">
        <v>92</v>
      </c>
      <c r="CA40" s="67" t="s">
        <v>90</v>
      </c>
    </row>
    <row r="41" spans="1:79" s="5" customFormat="1" ht="22.5" customHeight="1">
      <c r="A41" s="59"/>
      <c r="B41" s="60"/>
      <c r="C41" s="61"/>
      <c r="D41" s="61"/>
      <c r="E41" s="484" t="s">
        <v>93</v>
      </c>
      <c r="F41" s="484"/>
      <c r="G41" s="484"/>
      <c r="H41" s="484"/>
      <c r="I41" s="484"/>
      <c r="J41" s="61"/>
      <c r="K41" s="484" t="s">
        <v>41</v>
      </c>
      <c r="L41" s="484"/>
      <c r="M41" s="484"/>
      <c r="N41" s="484"/>
      <c r="O41" s="484"/>
      <c r="P41" s="484"/>
      <c r="Q41" s="484"/>
      <c r="R41" s="484"/>
      <c r="S41" s="484"/>
      <c r="T41" s="484"/>
      <c r="U41" s="484"/>
      <c r="V41" s="484"/>
      <c r="W41" s="484"/>
      <c r="X41" s="484"/>
      <c r="Y41" s="484"/>
      <c r="Z41" s="484"/>
      <c r="AA41" s="484"/>
      <c r="AB41" s="484"/>
      <c r="AC41" s="484"/>
      <c r="AD41" s="484"/>
      <c r="AE41" s="484"/>
      <c r="AF41" s="484"/>
      <c r="AG41" s="204">
        <f>ROUND('Strešný plášť'!AN16,2)</f>
        <v>13950.94</v>
      </c>
      <c r="AH41" s="336">
        <f>'Strešný plášť'!AT16</f>
        <v>0</v>
      </c>
      <c r="AI41" s="337">
        <f t="shared" si="32"/>
        <v>0</v>
      </c>
      <c r="AJ41" s="353">
        <f t="shared" si="33"/>
        <v>13950.94</v>
      </c>
      <c r="AK41" s="354">
        <f t="shared" si="34"/>
        <v>1</v>
      </c>
      <c r="AL41" s="143">
        <f>ROUND('Strešný plášť'!AN68,2)</f>
        <v>2341.33</v>
      </c>
      <c r="AM41" s="336">
        <f>'Strešný plášť'!AT68</f>
        <v>0</v>
      </c>
      <c r="AN41" s="337">
        <f t="shared" si="35"/>
        <v>0</v>
      </c>
      <c r="AO41" s="353">
        <f t="shared" si="36"/>
        <v>2341.33</v>
      </c>
      <c r="AP41" s="354">
        <f t="shared" si="37"/>
        <v>1</v>
      </c>
      <c r="AQ41" s="471">
        <f>ROUND('Strešný plášť'!AN69,2)</f>
        <v>-1401.83</v>
      </c>
      <c r="AR41" s="353">
        <f>ROUND('Strešný plášť'!AN70,2)</f>
        <v>3743.16</v>
      </c>
      <c r="AS41" s="143">
        <f t="shared" si="2"/>
        <v>16292.27</v>
      </c>
      <c r="AT41" s="62"/>
      <c r="AV41" s="63" t="e">
        <f>#REF!</f>
        <v>#REF!</v>
      </c>
      <c r="AW41" s="64" t="e">
        <f t="shared" si="3"/>
        <v>#REF!</v>
      </c>
      <c r="AX41" s="65" t="e">
        <f>#REF!</f>
        <v>#REF!</v>
      </c>
      <c r="AY41" s="64" t="e">
        <f>#REF!</f>
        <v>#REF!</v>
      </c>
      <c r="AZ41" s="64" t="e">
        <f>#REF!</f>
        <v>#REF!</v>
      </c>
      <c r="BA41" s="64" t="e">
        <f>#REF!</f>
        <v>#REF!</v>
      </c>
      <c r="BB41" s="64" t="e">
        <f>#REF!</f>
        <v>#REF!</v>
      </c>
      <c r="BC41" s="64" t="e">
        <f>#REF!</f>
        <v>#REF!</v>
      </c>
      <c r="BD41" s="64" t="e">
        <f>#REF!</f>
        <v>#REF!</v>
      </c>
      <c r="BE41" s="64" t="e">
        <f>#REF!</f>
        <v>#REF!</v>
      </c>
      <c r="BF41" s="64" t="e">
        <f>#REF!</f>
        <v>#REF!</v>
      </c>
      <c r="BG41" s="66" t="e">
        <f>#REF!</f>
        <v>#REF!</v>
      </c>
      <c r="BW41" s="67" t="s">
        <v>42</v>
      </c>
      <c r="BY41" s="67" t="s">
        <v>33</v>
      </c>
      <c r="BZ41" s="67" t="s">
        <v>94</v>
      </c>
      <c r="CA41" s="67" t="s">
        <v>90</v>
      </c>
    </row>
    <row r="42" spans="1:79" s="5" customFormat="1" ht="22.5" customHeight="1">
      <c r="A42" s="59"/>
      <c r="B42" s="60"/>
      <c r="C42" s="61"/>
      <c r="D42" s="61"/>
      <c r="E42" s="484" t="s">
        <v>95</v>
      </c>
      <c r="F42" s="484"/>
      <c r="G42" s="484"/>
      <c r="H42" s="484"/>
      <c r="I42" s="484"/>
      <c r="J42" s="61"/>
      <c r="K42" s="484" t="s">
        <v>73</v>
      </c>
      <c r="L42" s="484"/>
      <c r="M42" s="484"/>
      <c r="N42" s="484"/>
      <c r="O42" s="484"/>
      <c r="P42" s="484"/>
      <c r="Q42" s="484"/>
      <c r="R42" s="484"/>
      <c r="S42" s="484"/>
      <c r="T42" s="484"/>
      <c r="U42" s="484"/>
      <c r="V42" s="484"/>
      <c r="W42" s="484"/>
      <c r="X42" s="484"/>
      <c r="Y42" s="484"/>
      <c r="Z42" s="484"/>
      <c r="AA42" s="484"/>
      <c r="AB42" s="484"/>
      <c r="AC42" s="484"/>
      <c r="AD42" s="484"/>
      <c r="AE42" s="484"/>
      <c r="AF42" s="484"/>
      <c r="AG42" s="204">
        <f>ROUND('Okná, dvere'!AN18,2)</f>
        <v>17659.810000000001</v>
      </c>
      <c r="AH42" s="336">
        <f>'Okná, dvere'!AT18</f>
        <v>0</v>
      </c>
      <c r="AI42" s="337">
        <f t="shared" si="32"/>
        <v>0</v>
      </c>
      <c r="AJ42" s="353">
        <f t="shared" si="33"/>
        <v>17659.810000000001</v>
      </c>
      <c r="AK42" s="354">
        <f t="shared" si="34"/>
        <v>1</v>
      </c>
      <c r="AL42" s="143">
        <f>'Okná, dvere'!AN56</f>
        <v>1475.2269999999999</v>
      </c>
      <c r="AM42" s="336">
        <f>'Okná, dvere'!AT56</f>
        <v>0</v>
      </c>
      <c r="AN42" s="337">
        <f t="shared" si="35"/>
        <v>0</v>
      </c>
      <c r="AO42" s="353">
        <f t="shared" si="36"/>
        <v>1475.2269999999999</v>
      </c>
      <c r="AP42" s="354">
        <f t="shared" si="37"/>
        <v>1</v>
      </c>
      <c r="AQ42" s="471">
        <f>ROUND('Okná, dvere'!AN57,2)</f>
        <v>0</v>
      </c>
      <c r="AR42" s="353">
        <f>ROUND('Okná, dvere'!AN58,2)</f>
        <v>1475.23</v>
      </c>
      <c r="AS42" s="143">
        <f t="shared" si="2"/>
        <v>19135.037</v>
      </c>
      <c r="AT42" s="62"/>
      <c r="AV42" s="63" t="e">
        <f>#REF!</f>
        <v>#REF!</v>
      </c>
      <c r="AW42" s="64" t="e">
        <f t="shared" si="3"/>
        <v>#REF!</v>
      </c>
      <c r="AX42" s="65" t="e">
        <f>#REF!</f>
        <v>#REF!</v>
      </c>
      <c r="AY42" s="64" t="e">
        <f>#REF!</f>
        <v>#REF!</v>
      </c>
      <c r="AZ42" s="64" t="e">
        <f>#REF!</f>
        <v>#REF!</v>
      </c>
      <c r="BA42" s="64" t="e">
        <f>#REF!</f>
        <v>#REF!</v>
      </c>
      <c r="BB42" s="64" t="e">
        <f>#REF!</f>
        <v>#REF!</v>
      </c>
      <c r="BC42" s="64" t="e">
        <f>#REF!</f>
        <v>#REF!</v>
      </c>
      <c r="BD42" s="64" t="e">
        <f>#REF!</f>
        <v>#REF!</v>
      </c>
      <c r="BE42" s="64" t="e">
        <f>#REF!</f>
        <v>#REF!</v>
      </c>
      <c r="BF42" s="64" t="e">
        <f>#REF!</f>
        <v>#REF!</v>
      </c>
      <c r="BG42" s="66" t="e">
        <f>#REF!</f>
        <v>#REF!</v>
      </c>
      <c r="BW42" s="67" t="s">
        <v>42</v>
      </c>
      <c r="BY42" s="67" t="s">
        <v>33</v>
      </c>
      <c r="BZ42" s="67" t="s">
        <v>96</v>
      </c>
      <c r="CA42" s="67" t="s">
        <v>90</v>
      </c>
    </row>
    <row r="43" spans="1:79" s="5" customFormat="1" ht="22.5" customHeight="1">
      <c r="A43" s="59"/>
      <c r="B43" s="60"/>
      <c r="C43" s="61"/>
      <c r="D43" s="61"/>
      <c r="E43" s="484" t="s">
        <v>97</v>
      </c>
      <c r="F43" s="484"/>
      <c r="G43" s="484"/>
      <c r="H43" s="484"/>
      <c r="I43" s="484"/>
      <c r="J43" s="61"/>
      <c r="K43" s="484" t="s">
        <v>62</v>
      </c>
      <c r="L43" s="484"/>
      <c r="M43" s="484"/>
      <c r="N43" s="484"/>
      <c r="O43" s="484"/>
      <c r="P43" s="484"/>
      <c r="Q43" s="484"/>
      <c r="R43" s="484"/>
      <c r="S43" s="484"/>
      <c r="T43" s="484"/>
      <c r="U43" s="484"/>
      <c r="V43" s="484"/>
      <c r="W43" s="484"/>
      <c r="X43" s="484"/>
      <c r="Y43" s="484"/>
      <c r="Z43" s="484"/>
      <c r="AA43" s="484"/>
      <c r="AB43" s="484"/>
      <c r="AC43" s="484"/>
      <c r="AD43" s="484"/>
      <c r="AE43" s="484"/>
      <c r="AF43" s="484"/>
      <c r="AG43" s="204">
        <f>ROUND('Obnova chodníka'!AN17,2)</f>
        <v>2940.46</v>
      </c>
      <c r="AH43" s="336">
        <f>ROUND('Obnova chodníka'!AT17,2)</f>
        <v>1086.07</v>
      </c>
      <c r="AI43" s="337">
        <f t="shared" si="32"/>
        <v>0.36935377457948754</v>
      </c>
      <c r="AJ43" s="353">
        <f t="shared" si="33"/>
        <v>1854.39</v>
      </c>
      <c r="AK43" s="354">
        <f t="shared" si="34"/>
        <v>0.63064622542051252</v>
      </c>
      <c r="AL43" s="143">
        <f>'Obnova chodníka'!AN39</f>
        <v>2316.7839999999997</v>
      </c>
      <c r="AM43" s="336">
        <f>ROUND('Obnova chodníka'!AT39,2)</f>
        <v>851.72</v>
      </c>
      <c r="AN43" s="337">
        <f t="shared" si="35"/>
        <v>0.36763030131423569</v>
      </c>
      <c r="AO43" s="353">
        <f t="shared" si="36"/>
        <v>1465.0639999999996</v>
      </c>
      <c r="AP43" s="354">
        <f t="shared" si="37"/>
        <v>0.63236969868576431</v>
      </c>
      <c r="AQ43" s="471">
        <f>ROUND('Obnova chodníka'!AN40,2)</f>
        <v>-1295.42</v>
      </c>
      <c r="AR43" s="353">
        <f>ROUND('Obnova chodníka'!AN41,2)</f>
        <v>3612.21</v>
      </c>
      <c r="AS43" s="143">
        <f t="shared" si="2"/>
        <v>5257.2439999999997</v>
      </c>
      <c r="AT43" s="62"/>
      <c r="AV43" s="63" t="e">
        <f>#REF!</f>
        <v>#REF!</v>
      </c>
      <c r="AW43" s="64" t="e">
        <f t="shared" si="3"/>
        <v>#REF!</v>
      </c>
      <c r="AX43" s="65" t="e">
        <f>#REF!</f>
        <v>#REF!</v>
      </c>
      <c r="AY43" s="64" t="e">
        <f>#REF!</f>
        <v>#REF!</v>
      </c>
      <c r="AZ43" s="64" t="e">
        <f>#REF!</f>
        <v>#REF!</v>
      </c>
      <c r="BA43" s="64" t="e">
        <f>#REF!</f>
        <v>#REF!</v>
      </c>
      <c r="BB43" s="64" t="e">
        <f>#REF!</f>
        <v>#REF!</v>
      </c>
      <c r="BC43" s="64" t="e">
        <f>#REF!</f>
        <v>#REF!</v>
      </c>
      <c r="BD43" s="64" t="e">
        <f>#REF!</f>
        <v>#REF!</v>
      </c>
      <c r="BE43" s="64" t="e">
        <f>#REF!</f>
        <v>#REF!</v>
      </c>
      <c r="BF43" s="64" t="e">
        <f>#REF!</f>
        <v>#REF!</v>
      </c>
      <c r="BG43" s="66" t="e">
        <f>#REF!</f>
        <v>#REF!</v>
      </c>
      <c r="BW43" s="67" t="s">
        <v>42</v>
      </c>
      <c r="BY43" s="67" t="s">
        <v>33</v>
      </c>
      <c r="BZ43" s="67" t="s">
        <v>98</v>
      </c>
      <c r="CA43" s="67" t="s">
        <v>90</v>
      </c>
    </row>
    <row r="44" spans="1:79" s="4" customFormat="1" ht="37.5" customHeight="1">
      <c r="B44" s="51"/>
      <c r="C44" s="52"/>
      <c r="D44" s="483" t="s">
        <v>99</v>
      </c>
      <c r="E44" s="483"/>
      <c r="F44" s="483"/>
      <c r="G44" s="483"/>
      <c r="H44" s="483"/>
      <c r="I44" s="324"/>
      <c r="J44" s="483" t="s">
        <v>100</v>
      </c>
      <c r="K44" s="483"/>
      <c r="L44" s="483"/>
      <c r="M44" s="483"/>
      <c r="N44" s="483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325">
        <f>ROUND(AG45+AG51,2)</f>
        <v>167832.03</v>
      </c>
      <c r="AH44" s="338">
        <f>ROUND(AH45+AH51,2)</f>
        <v>0</v>
      </c>
      <c r="AI44" s="339">
        <f>AH44/AG44</f>
        <v>0</v>
      </c>
      <c r="AJ44" s="351">
        <f>AG44-AH44</f>
        <v>167832.03</v>
      </c>
      <c r="AK44" s="352">
        <f>AJ44/AG44</f>
        <v>1</v>
      </c>
      <c r="AL44" s="325">
        <f>ROUND(AL45+AL51,2)</f>
        <v>20020.29</v>
      </c>
      <c r="AM44" s="338">
        <f>ROUND(AM45+AM51,2)</f>
        <v>0</v>
      </c>
      <c r="AN44" s="339">
        <f>AM44/AL44</f>
        <v>0</v>
      </c>
      <c r="AO44" s="351">
        <f>AL44-AM44</f>
        <v>20020.29</v>
      </c>
      <c r="AP44" s="352">
        <f>AO44/AL44</f>
        <v>1</v>
      </c>
      <c r="AQ44" s="470">
        <f t="shared" ref="AQ44:AR44" si="38">ROUND(AQ45+AQ51,2)</f>
        <v>-7338.89</v>
      </c>
      <c r="AR44" s="351">
        <f t="shared" si="38"/>
        <v>27359.18</v>
      </c>
      <c r="AS44" s="325">
        <f t="shared" si="2"/>
        <v>187852.32</v>
      </c>
      <c r="AT44" s="53"/>
      <c r="AV44" s="54" t="e">
        <f>ROUND(AV45+AV51,2)</f>
        <v>#REF!</v>
      </c>
      <c r="AW44" s="55" t="e">
        <f t="shared" si="3"/>
        <v>#REF!</v>
      </c>
      <c r="AX44" s="56" t="e">
        <f>ROUND(AX45+AX51,5)</f>
        <v>#REF!</v>
      </c>
      <c r="AY44" s="55" t="e">
        <f>ROUND(BC44*#REF!,2)</f>
        <v>#REF!</v>
      </c>
      <c r="AZ44" s="55" t="e">
        <f>ROUND(BD44*#REF!,2)</f>
        <v>#REF!</v>
      </c>
      <c r="BA44" s="55" t="e">
        <f>ROUND(BE44*#REF!,2)</f>
        <v>#REF!</v>
      </c>
      <c r="BB44" s="55" t="e">
        <f>ROUND(BF44*#REF!,2)</f>
        <v>#REF!</v>
      </c>
      <c r="BC44" s="55" t="e">
        <f>ROUND(BC45+BC51,2)</f>
        <v>#REF!</v>
      </c>
      <c r="BD44" s="55" t="e">
        <f>ROUND(BD45+BD51,2)</f>
        <v>#REF!</v>
      </c>
      <c r="BE44" s="55" t="e">
        <f>ROUND(BE45+BE51,2)</f>
        <v>#REF!</v>
      </c>
      <c r="BF44" s="55" t="e">
        <f>ROUND(BF45+BF51,2)</f>
        <v>#REF!</v>
      </c>
      <c r="BG44" s="57" t="e">
        <f>ROUND(BG45+BG51,2)</f>
        <v>#REF!</v>
      </c>
      <c r="BV44" s="58" t="s">
        <v>30</v>
      </c>
      <c r="BW44" s="58" t="s">
        <v>38</v>
      </c>
      <c r="BX44" s="58" t="s">
        <v>32</v>
      </c>
      <c r="BY44" s="58" t="s">
        <v>33</v>
      </c>
      <c r="BZ44" s="58" t="s">
        <v>101</v>
      </c>
      <c r="CA44" s="58" t="s">
        <v>34</v>
      </c>
    </row>
    <row r="45" spans="1:79" s="5" customFormat="1" ht="15" customHeight="1">
      <c r="B45" s="60"/>
      <c r="C45" s="61"/>
      <c r="D45" s="61"/>
      <c r="E45" s="484" t="s">
        <v>102</v>
      </c>
      <c r="F45" s="484"/>
      <c r="G45" s="484"/>
      <c r="H45" s="484"/>
      <c r="I45" s="484"/>
      <c r="J45" s="61"/>
      <c r="K45" s="484" t="s">
        <v>1400</v>
      </c>
      <c r="L45" s="484"/>
      <c r="M45" s="484"/>
      <c r="N45" s="484"/>
      <c r="O45" s="484"/>
      <c r="P45" s="484"/>
      <c r="Q45" s="484"/>
      <c r="R45" s="484"/>
      <c r="S45" s="484"/>
      <c r="T45" s="484"/>
      <c r="U45" s="484"/>
      <c r="V45" s="484"/>
      <c r="W45" s="484"/>
      <c r="X45" s="484"/>
      <c r="Y45" s="484"/>
      <c r="Z45" s="484"/>
      <c r="AA45" s="484"/>
      <c r="AB45" s="484"/>
      <c r="AC45" s="484"/>
      <c r="AD45" s="484"/>
      <c r="AE45" s="484"/>
      <c r="AF45" s="484"/>
      <c r="AG45" s="144">
        <f>ROUND(SUM(AG46:AG50),2)</f>
        <v>150965.22</v>
      </c>
      <c r="AH45" s="340">
        <f>ROUND(SUM(AH46:AH50),2)</f>
        <v>0</v>
      </c>
      <c r="AI45" s="337">
        <f t="shared" ref="AI45:AI51" si="39">AH45/AG45</f>
        <v>0</v>
      </c>
      <c r="AJ45" s="353">
        <f t="shared" ref="AJ45:AJ51" si="40">AG45-AH45</f>
        <v>150965.22</v>
      </c>
      <c r="AK45" s="354">
        <f t="shared" ref="AK45:AK51" si="41">AJ45/AG45</f>
        <v>1</v>
      </c>
      <c r="AL45" s="143">
        <f>ROUND(SUM(AL46:AL50),2)</f>
        <v>20020.29</v>
      </c>
      <c r="AM45" s="340">
        <f>ROUND(SUM(AM46:AM50),2)</f>
        <v>0</v>
      </c>
      <c r="AN45" s="337">
        <f t="shared" ref="AN45:AN50" si="42">AM45/AL45</f>
        <v>0</v>
      </c>
      <c r="AO45" s="353">
        <f t="shared" ref="AO45:AO51" si="43">AL45-AM45</f>
        <v>20020.29</v>
      </c>
      <c r="AP45" s="354">
        <f t="shared" ref="AP45:AP50" si="44">AO45/AL45</f>
        <v>1</v>
      </c>
      <c r="AQ45" s="471">
        <f t="shared" ref="AQ45:AR45" si="45">ROUND(SUM(AQ46:AQ50),2)</f>
        <v>-7338.89</v>
      </c>
      <c r="AR45" s="353">
        <f t="shared" si="45"/>
        <v>27359.18</v>
      </c>
      <c r="AS45" s="143">
        <f t="shared" si="2"/>
        <v>170985.51</v>
      </c>
      <c r="AT45" s="62"/>
      <c r="AV45" s="63" t="e">
        <f>ROUND(SUM(AV46:AV50),2)</f>
        <v>#REF!</v>
      </c>
      <c r="AW45" s="64" t="e">
        <f t="shared" si="3"/>
        <v>#REF!</v>
      </c>
      <c r="AX45" s="65" t="e">
        <f>ROUND(SUM(AX46:AX50),5)</f>
        <v>#REF!</v>
      </c>
      <c r="AY45" s="64" t="e">
        <f>ROUND(BC45*#REF!,2)</f>
        <v>#REF!</v>
      </c>
      <c r="AZ45" s="64" t="e">
        <f>ROUND(BD45*#REF!,2)</f>
        <v>#REF!</v>
      </c>
      <c r="BA45" s="64" t="e">
        <f>ROUND(BE45*#REF!,2)</f>
        <v>#REF!</v>
      </c>
      <c r="BB45" s="64" t="e">
        <f>ROUND(BF45*#REF!,2)</f>
        <v>#REF!</v>
      </c>
      <c r="BC45" s="64" t="e">
        <f>ROUND(SUM(BC46:BC50),2)</f>
        <v>#REF!</v>
      </c>
      <c r="BD45" s="64" t="e">
        <f>ROUND(SUM(BD46:BD50),2)</f>
        <v>#REF!</v>
      </c>
      <c r="BE45" s="64" t="e">
        <f>ROUND(SUM(BE46:BE50),2)</f>
        <v>#REF!</v>
      </c>
      <c r="BF45" s="64" t="e">
        <f>ROUND(SUM(BF46:BF50),2)</f>
        <v>#REF!</v>
      </c>
      <c r="BG45" s="66" t="e">
        <f>ROUND(SUM(BG46:BG50),2)</f>
        <v>#REF!</v>
      </c>
      <c r="BV45" s="67" t="s">
        <v>30</v>
      </c>
      <c r="BW45" s="67" t="s">
        <v>42</v>
      </c>
      <c r="BX45" s="67" t="s">
        <v>32</v>
      </c>
      <c r="BY45" s="67" t="s">
        <v>33</v>
      </c>
      <c r="BZ45" s="67" t="s">
        <v>103</v>
      </c>
      <c r="CA45" s="67" t="s">
        <v>101</v>
      </c>
    </row>
    <row r="46" spans="1:79" s="5" customFormat="1" ht="22.5" customHeight="1">
      <c r="A46" s="59"/>
      <c r="B46" s="60"/>
      <c r="C46" s="61"/>
      <c r="D46" s="61"/>
      <c r="E46" s="61"/>
      <c r="F46" s="484" t="s">
        <v>104</v>
      </c>
      <c r="G46" s="484"/>
      <c r="H46" s="484"/>
      <c r="I46" s="484"/>
      <c r="J46" s="484"/>
      <c r="K46" s="61"/>
      <c r="L46" s="484" t="s">
        <v>1401</v>
      </c>
      <c r="M46" s="484"/>
      <c r="N46" s="484"/>
      <c r="O46" s="484"/>
      <c r="P46" s="484"/>
      <c r="Q46" s="484"/>
      <c r="R46" s="484"/>
      <c r="S46" s="484"/>
      <c r="T46" s="484"/>
      <c r="U46" s="484"/>
      <c r="V46" s="484"/>
      <c r="W46" s="484"/>
      <c r="X46" s="484"/>
      <c r="Y46" s="484"/>
      <c r="Z46" s="484"/>
      <c r="AA46" s="484"/>
      <c r="AB46" s="484"/>
      <c r="AC46" s="484"/>
      <c r="AD46" s="484"/>
      <c r="AE46" s="484"/>
      <c r="AF46" s="484"/>
      <c r="AG46" s="143">
        <f>ROUND(Elektroinštalácia!V18,2)</f>
        <v>33727.089999999997</v>
      </c>
      <c r="AH46" s="336"/>
      <c r="AI46" s="337">
        <f t="shared" si="39"/>
        <v>0</v>
      </c>
      <c r="AJ46" s="353">
        <f t="shared" si="40"/>
        <v>33727.089999999997</v>
      </c>
      <c r="AK46" s="354">
        <f t="shared" si="41"/>
        <v>1</v>
      </c>
      <c r="AL46" s="143">
        <f>Elektroinštalácia!V115</f>
        <v>3821.203</v>
      </c>
      <c r="AM46" s="336"/>
      <c r="AN46" s="337">
        <f t="shared" si="42"/>
        <v>0</v>
      </c>
      <c r="AO46" s="353">
        <f t="shared" si="43"/>
        <v>3821.203</v>
      </c>
      <c r="AP46" s="354">
        <f t="shared" si="44"/>
        <v>1</v>
      </c>
      <c r="AQ46" s="471">
        <f>ROUND(Elektroinštalácia!V116,2)</f>
        <v>-1744.41</v>
      </c>
      <c r="AR46" s="353">
        <f>ROUND(Elektroinštalácia!V117,2)</f>
        <v>5565.61</v>
      </c>
      <c r="AS46" s="143">
        <f t="shared" si="2"/>
        <v>37548.292999999998</v>
      </c>
      <c r="AT46" s="62"/>
      <c r="AV46" s="63" t="e">
        <f>Elektroinštalácia!#REF!</f>
        <v>#REF!</v>
      </c>
      <c r="AW46" s="64" t="e">
        <f t="shared" si="3"/>
        <v>#REF!</v>
      </c>
      <c r="AX46" s="65">
        <f>Elektroinštalácia!AG18</f>
        <v>0</v>
      </c>
      <c r="AY46" s="64" t="e">
        <f>Elektroinštalácia!#REF!</f>
        <v>#REF!</v>
      </c>
      <c r="AZ46" s="64" t="e">
        <f>Elektroinštalácia!#REF!</f>
        <v>#REF!</v>
      </c>
      <c r="BA46" s="64" t="e">
        <f>Elektroinštalácia!#REF!</f>
        <v>#REF!</v>
      </c>
      <c r="BB46" s="64" t="e">
        <f>Elektroinštalácia!#REF!</f>
        <v>#REF!</v>
      </c>
      <c r="BC46" s="64" t="e">
        <f>Elektroinštalácia!#REF!</f>
        <v>#REF!</v>
      </c>
      <c r="BD46" s="64" t="e">
        <f>Elektroinštalácia!#REF!</f>
        <v>#REF!</v>
      </c>
      <c r="BE46" s="64" t="e">
        <f>Elektroinštalácia!#REF!</f>
        <v>#REF!</v>
      </c>
      <c r="BF46" s="64" t="e">
        <f>Elektroinštalácia!#REF!</f>
        <v>#REF!</v>
      </c>
      <c r="BG46" s="66" t="e">
        <f>Elektroinštalácia!#REF!</f>
        <v>#REF!</v>
      </c>
      <c r="BW46" s="67" t="s">
        <v>105</v>
      </c>
      <c r="BY46" s="67" t="s">
        <v>33</v>
      </c>
      <c r="BZ46" s="67" t="s">
        <v>106</v>
      </c>
      <c r="CA46" s="67" t="s">
        <v>103</v>
      </c>
    </row>
    <row r="47" spans="1:79" s="5" customFormat="1" ht="22.5" customHeight="1">
      <c r="A47" s="59"/>
      <c r="B47" s="60"/>
      <c r="C47" s="61"/>
      <c r="D47" s="61"/>
      <c r="E47" s="61"/>
      <c r="F47" s="484" t="s">
        <v>107</v>
      </c>
      <c r="G47" s="484"/>
      <c r="H47" s="484"/>
      <c r="I47" s="484"/>
      <c r="J47" s="484"/>
      <c r="K47" s="61"/>
      <c r="L47" s="484" t="s">
        <v>1402</v>
      </c>
      <c r="M47" s="484"/>
      <c r="N47" s="484"/>
      <c r="O47" s="484"/>
      <c r="P47" s="484"/>
      <c r="Q47" s="484"/>
      <c r="R47" s="484"/>
      <c r="S47" s="484"/>
      <c r="T47" s="484"/>
      <c r="U47" s="484"/>
      <c r="V47" s="484"/>
      <c r="W47" s="484"/>
      <c r="X47" s="484"/>
      <c r="Y47" s="484"/>
      <c r="Z47" s="484"/>
      <c r="AA47" s="484"/>
      <c r="AB47" s="484"/>
      <c r="AC47" s="484"/>
      <c r="AD47" s="484"/>
      <c r="AE47" s="484"/>
      <c r="AF47" s="484"/>
      <c r="AG47" s="143">
        <f>ROUND(Elektroinštalácia!W18,2)</f>
        <v>33465.870000000003</v>
      </c>
      <c r="AH47" s="336"/>
      <c r="AI47" s="337">
        <f t="shared" si="39"/>
        <v>0</v>
      </c>
      <c r="AJ47" s="353">
        <f t="shared" si="40"/>
        <v>33465.870000000003</v>
      </c>
      <c r="AK47" s="354">
        <f t="shared" si="41"/>
        <v>1</v>
      </c>
      <c r="AL47" s="143">
        <f>Elektroinštalácia!W115</f>
        <v>3784.8429999999998</v>
      </c>
      <c r="AM47" s="336"/>
      <c r="AN47" s="337">
        <f t="shared" si="42"/>
        <v>0</v>
      </c>
      <c r="AO47" s="353">
        <f t="shared" si="43"/>
        <v>3784.8429999999998</v>
      </c>
      <c r="AP47" s="354">
        <f t="shared" si="44"/>
        <v>1</v>
      </c>
      <c r="AQ47" s="471">
        <f>ROUND(Elektroinštalácia!W116,2)</f>
        <v>-1744.41</v>
      </c>
      <c r="AR47" s="353">
        <f>ROUND(Elektroinštalácia!W117,2)</f>
        <v>5529.25</v>
      </c>
      <c r="AS47" s="143">
        <f t="shared" si="2"/>
        <v>37250.713000000003</v>
      </c>
      <c r="AT47" s="62"/>
      <c r="AV47" s="63" t="e">
        <f>#REF!</f>
        <v>#REF!</v>
      </c>
      <c r="AW47" s="64" t="e">
        <f t="shared" si="3"/>
        <v>#REF!</v>
      </c>
      <c r="AX47" s="65" t="e">
        <f>#REF!</f>
        <v>#REF!</v>
      </c>
      <c r="AY47" s="64" t="e">
        <f>#REF!</f>
        <v>#REF!</v>
      </c>
      <c r="AZ47" s="64" t="e">
        <f>#REF!</f>
        <v>#REF!</v>
      </c>
      <c r="BA47" s="64" t="e">
        <f>#REF!</f>
        <v>#REF!</v>
      </c>
      <c r="BB47" s="64" t="e">
        <f>#REF!</f>
        <v>#REF!</v>
      </c>
      <c r="BC47" s="64" t="e">
        <f>#REF!</f>
        <v>#REF!</v>
      </c>
      <c r="BD47" s="64" t="e">
        <f>#REF!</f>
        <v>#REF!</v>
      </c>
      <c r="BE47" s="64" t="e">
        <f>#REF!</f>
        <v>#REF!</v>
      </c>
      <c r="BF47" s="64" t="e">
        <f>#REF!</f>
        <v>#REF!</v>
      </c>
      <c r="BG47" s="66" t="e">
        <f>#REF!</f>
        <v>#REF!</v>
      </c>
      <c r="BW47" s="67" t="s">
        <v>105</v>
      </c>
      <c r="BY47" s="67" t="s">
        <v>33</v>
      </c>
      <c r="BZ47" s="67" t="s">
        <v>108</v>
      </c>
      <c r="CA47" s="67" t="s">
        <v>103</v>
      </c>
    </row>
    <row r="48" spans="1:79" s="5" customFormat="1" ht="22.5" customHeight="1">
      <c r="A48" s="59"/>
      <c r="B48" s="60"/>
      <c r="C48" s="61"/>
      <c r="D48" s="61"/>
      <c r="E48" s="61"/>
      <c r="F48" s="484" t="s">
        <v>109</v>
      </c>
      <c r="G48" s="484"/>
      <c r="H48" s="484"/>
      <c r="I48" s="484"/>
      <c r="J48" s="484"/>
      <c r="K48" s="61"/>
      <c r="L48" s="484" t="s">
        <v>1402</v>
      </c>
      <c r="M48" s="484"/>
      <c r="N48" s="484"/>
      <c r="O48" s="484"/>
      <c r="P48" s="484"/>
      <c r="Q48" s="484"/>
      <c r="R48" s="484"/>
      <c r="S48" s="484"/>
      <c r="T48" s="484"/>
      <c r="U48" s="484"/>
      <c r="V48" s="484"/>
      <c r="W48" s="484"/>
      <c r="X48" s="484"/>
      <c r="Y48" s="484"/>
      <c r="Z48" s="484"/>
      <c r="AA48" s="484"/>
      <c r="AB48" s="484"/>
      <c r="AC48" s="484"/>
      <c r="AD48" s="484"/>
      <c r="AE48" s="484"/>
      <c r="AF48" s="484"/>
      <c r="AG48" s="143">
        <f>ROUND(Elektroinštalácia!X18,2)</f>
        <v>38323.31</v>
      </c>
      <c r="AH48" s="336"/>
      <c r="AI48" s="337">
        <f t="shared" si="39"/>
        <v>0</v>
      </c>
      <c r="AJ48" s="353">
        <f t="shared" si="40"/>
        <v>38323.31</v>
      </c>
      <c r="AK48" s="354">
        <f t="shared" si="41"/>
        <v>1</v>
      </c>
      <c r="AL48" s="143">
        <f>Elektroinštalácia!X115</f>
        <v>3882.1480000000001</v>
      </c>
      <c r="AM48" s="336"/>
      <c r="AN48" s="337">
        <f t="shared" si="42"/>
        <v>0</v>
      </c>
      <c r="AO48" s="353">
        <f t="shared" si="43"/>
        <v>3882.1480000000001</v>
      </c>
      <c r="AP48" s="354">
        <f t="shared" si="44"/>
        <v>1</v>
      </c>
      <c r="AQ48" s="471">
        <f>ROUND(Elektroinštalácia!X116,2)</f>
        <v>-1257.53</v>
      </c>
      <c r="AR48" s="353">
        <f>ROUND(Elektroinštalácia!X117,2)</f>
        <v>5139.68</v>
      </c>
      <c r="AS48" s="143">
        <f t="shared" si="2"/>
        <v>42205.457999999999</v>
      </c>
      <c r="AT48" s="62"/>
      <c r="AV48" s="63" t="e">
        <f>#REF!</f>
        <v>#REF!</v>
      </c>
      <c r="AW48" s="64" t="e">
        <f t="shared" si="3"/>
        <v>#REF!</v>
      </c>
      <c r="AX48" s="65" t="e">
        <f>#REF!</f>
        <v>#REF!</v>
      </c>
      <c r="AY48" s="64" t="e">
        <f>#REF!</f>
        <v>#REF!</v>
      </c>
      <c r="AZ48" s="64" t="e">
        <f>#REF!</f>
        <v>#REF!</v>
      </c>
      <c r="BA48" s="64" t="e">
        <f>#REF!</f>
        <v>#REF!</v>
      </c>
      <c r="BB48" s="64" t="e">
        <f>#REF!</f>
        <v>#REF!</v>
      </c>
      <c r="BC48" s="64" t="e">
        <f>#REF!</f>
        <v>#REF!</v>
      </c>
      <c r="BD48" s="64" t="e">
        <f>#REF!</f>
        <v>#REF!</v>
      </c>
      <c r="BE48" s="64" t="e">
        <f>#REF!</f>
        <v>#REF!</v>
      </c>
      <c r="BF48" s="64" t="e">
        <f>#REF!</f>
        <v>#REF!</v>
      </c>
      <c r="BG48" s="66" t="e">
        <f>#REF!</f>
        <v>#REF!</v>
      </c>
      <c r="BW48" s="67" t="s">
        <v>105</v>
      </c>
      <c r="BY48" s="67" t="s">
        <v>33</v>
      </c>
      <c r="BZ48" s="67" t="s">
        <v>110</v>
      </c>
      <c r="CA48" s="67" t="s">
        <v>103</v>
      </c>
    </row>
    <row r="49" spans="1:79" s="5" customFormat="1" ht="22.5" customHeight="1">
      <c r="A49" s="59"/>
      <c r="B49" s="60"/>
      <c r="C49" s="61"/>
      <c r="D49" s="61"/>
      <c r="E49" s="61"/>
      <c r="F49" s="484" t="s">
        <v>111</v>
      </c>
      <c r="G49" s="484"/>
      <c r="H49" s="484"/>
      <c r="I49" s="484"/>
      <c r="J49" s="484"/>
      <c r="K49" s="61"/>
      <c r="L49" s="484" t="s">
        <v>1402</v>
      </c>
      <c r="M49" s="484"/>
      <c r="N49" s="484"/>
      <c r="O49" s="484"/>
      <c r="P49" s="484"/>
      <c r="Q49" s="484"/>
      <c r="R49" s="484"/>
      <c r="S49" s="484"/>
      <c r="T49" s="484"/>
      <c r="U49" s="484"/>
      <c r="V49" s="484"/>
      <c r="W49" s="484"/>
      <c r="X49" s="484"/>
      <c r="Y49" s="484"/>
      <c r="Z49" s="484"/>
      <c r="AA49" s="484"/>
      <c r="AB49" s="484"/>
      <c r="AC49" s="484"/>
      <c r="AD49" s="484"/>
      <c r="AE49" s="484"/>
      <c r="AF49" s="484"/>
      <c r="AG49" s="143">
        <f>ROUND(Elektroinštalácia!Y18,2)</f>
        <v>39354.339999999997</v>
      </c>
      <c r="AH49" s="336"/>
      <c r="AI49" s="337">
        <f t="shared" si="39"/>
        <v>0</v>
      </c>
      <c r="AJ49" s="353">
        <f t="shared" si="40"/>
        <v>39354.339999999997</v>
      </c>
      <c r="AK49" s="354">
        <f t="shared" si="41"/>
        <v>1</v>
      </c>
      <c r="AL49" s="143">
        <f>Elektroinštalácia!Y115</f>
        <v>5767.9880000000003</v>
      </c>
      <c r="AM49" s="336"/>
      <c r="AN49" s="337">
        <f t="shared" si="42"/>
        <v>0</v>
      </c>
      <c r="AO49" s="353">
        <f t="shared" si="43"/>
        <v>5767.9880000000003</v>
      </c>
      <c r="AP49" s="354">
        <f t="shared" si="44"/>
        <v>1</v>
      </c>
      <c r="AQ49" s="471">
        <f>ROUND(Elektroinštalácia!Y116,2)</f>
        <v>-2396.2199999999998</v>
      </c>
      <c r="AR49" s="353">
        <f>ROUND(Elektroinštalácia!Y117,2)</f>
        <v>8164.21</v>
      </c>
      <c r="AS49" s="143">
        <f t="shared" si="2"/>
        <v>45122.327999999994</v>
      </c>
      <c r="AT49" s="62"/>
      <c r="AV49" s="63" t="e">
        <f>#REF!</f>
        <v>#REF!</v>
      </c>
      <c r="AW49" s="64" t="e">
        <f t="shared" si="3"/>
        <v>#REF!</v>
      </c>
      <c r="AX49" s="65" t="e">
        <f>#REF!</f>
        <v>#REF!</v>
      </c>
      <c r="AY49" s="64" t="e">
        <f>#REF!</f>
        <v>#REF!</v>
      </c>
      <c r="AZ49" s="64" t="e">
        <f>#REF!</f>
        <v>#REF!</v>
      </c>
      <c r="BA49" s="64" t="e">
        <f>#REF!</f>
        <v>#REF!</v>
      </c>
      <c r="BB49" s="64" t="e">
        <f>#REF!</f>
        <v>#REF!</v>
      </c>
      <c r="BC49" s="64" t="e">
        <f>#REF!</f>
        <v>#REF!</v>
      </c>
      <c r="BD49" s="64" t="e">
        <f>#REF!</f>
        <v>#REF!</v>
      </c>
      <c r="BE49" s="64" t="e">
        <f>#REF!</f>
        <v>#REF!</v>
      </c>
      <c r="BF49" s="64" t="e">
        <f>#REF!</f>
        <v>#REF!</v>
      </c>
      <c r="BG49" s="66" t="e">
        <f>#REF!</f>
        <v>#REF!</v>
      </c>
      <c r="BW49" s="67" t="s">
        <v>105</v>
      </c>
      <c r="BY49" s="67" t="s">
        <v>33</v>
      </c>
      <c r="BZ49" s="67" t="s">
        <v>112</v>
      </c>
      <c r="CA49" s="67" t="s">
        <v>103</v>
      </c>
    </row>
    <row r="50" spans="1:79" s="5" customFormat="1" ht="22.5" customHeight="1">
      <c r="A50" s="59"/>
      <c r="B50" s="60"/>
      <c r="C50" s="61"/>
      <c r="D50" s="61"/>
      <c r="E50" s="61"/>
      <c r="F50" s="484" t="s">
        <v>113</v>
      </c>
      <c r="G50" s="484"/>
      <c r="H50" s="484"/>
      <c r="I50" s="484"/>
      <c r="J50" s="484"/>
      <c r="K50" s="61"/>
      <c r="L50" s="484" t="s">
        <v>1402</v>
      </c>
      <c r="M50" s="484"/>
      <c r="N50" s="484"/>
      <c r="O50" s="484"/>
      <c r="P50" s="484"/>
      <c r="Q50" s="484"/>
      <c r="R50" s="484"/>
      <c r="S50" s="484"/>
      <c r="T50" s="484"/>
      <c r="U50" s="484"/>
      <c r="V50" s="484"/>
      <c r="W50" s="484"/>
      <c r="X50" s="484"/>
      <c r="Y50" s="484"/>
      <c r="Z50" s="484"/>
      <c r="AA50" s="484"/>
      <c r="AB50" s="484"/>
      <c r="AC50" s="484"/>
      <c r="AD50" s="484"/>
      <c r="AE50" s="484"/>
      <c r="AF50" s="484"/>
      <c r="AG50" s="143">
        <f>ROUND(Elektroinštalácia!Z18,2)</f>
        <v>6094.61</v>
      </c>
      <c r="AH50" s="336"/>
      <c r="AI50" s="337">
        <f t="shared" si="39"/>
        <v>0</v>
      </c>
      <c r="AJ50" s="353">
        <f t="shared" si="40"/>
        <v>6094.61</v>
      </c>
      <c r="AK50" s="354">
        <f t="shared" si="41"/>
        <v>1</v>
      </c>
      <c r="AL50" s="143">
        <f>Elektroinštalácia!Z115</f>
        <v>2764.1100000000006</v>
      </c>
      <c r="AM50" s="336"/>
      <c r="AN50" s="337">
        <f t="shared" si="42"/>
        <v>0</v>
      </c>
      <c r="AO50" s="353">
        <f t="shared" si="43"/>
        <v>2764.1100000000006</v>
      </c>
      <c r="AP50" s="354">
        <f t="shared" si="44"/>
        <v>1</v>
      </c>
      <c r="AQ50" s="471">
        <f>ROUND(Elektroinštalácia!Z116,2)</f>
        <v>-196.32</v>
      </c>
      <c r="AR50" s="353">
        <f>ROUND(Elektroinštalácia!Z117,2)</f>
        <v>2960.43</v>
      </c>
      <c r="AS50" s="143">
        <f t="shared" si="2"/>
        <v>8858.7200000000012</v>
      </c>
      <c r="AT50" s="62"/>
      <c r="AV50" s="63" t="e">
        <f>#REF!</f>
        <v>#REF!</v>
      </c>
      <c r="AW50" s="64" t="e">
        <f t="shared" si="3"/>
        <v>#REF!</v>
      </c>
      <c r="AX50" s="65" t="e">
        <f>#REF!</f>
        <v>#REF!</v>
      </c>
      <c r="AY50" s="64" t="e">
        <f>#REF!</f>
        <v>#REF!</v>
      </c>
      <c r="AZ50" s="64" t="e">
        <f>#REF!</f>
        <v>#REF!</v>
      </c>
      <c r="BA50" s="64" t="e">
        <f>#REF!</f>
        <v>#REF!</v>
      </c>
      <c r="BB50" s="64" t="e">
        <f>#REF!</f>
        <v>#REF!</v>
      </c>
      <c r="BC50" s="64" t="e">
        <f>#REF!</f>
        <v>#REF!</v>
      </c>
      <c r="BD50" s="64" t="e">
        <f>#REF!</f>
        <v>#REF!</v>
      </c>
      <c r="BE50" s="64" t="e">
        <f>#REF!</f>
        <v>#REF!</v>
      </c>
      <c r="BF50" s="64" t="e">
        <f>#REF!</f>
        <v>#REF!</v>
      </c>
      <c r="BG50" s="66" t="e">
        <f>#REF!</f>
        <v>#REF!</v>
      </c>
      <c r="BW50" s="67" t="s">
        <v>105</v>
      </c>
      <c r="BY50" s="67" t="s">
        <v>33</v>
      </c>
      <c r="BZ50" s="67" t="s">
        <v>114</v>
      </c>
      <c r="CA50" s="67" t="s">
        <v>103</v>
      </c>
    </row>
    <row r="51" spans="1:79" s="5" customFormat="1" ht="22.5" customHeight="1">
      <c r="A51" s="59"/>
      <c r="B51" s="60"/>
      <c r="C51" s="61"/>
      <c r="D51" s="61"/>
      <c r="E51" s="484" t="s">
        <v>115</v>
      </c>
      <c r="F51" s="484"/>
      <c r="G51" s="484"/>
      <c r="H51" s="484"/>
      <c r="I51" s="484"/>
      <c r="J51" s="61"/>
      <c r="K51" s="484" t="s">
        <v>1400</v>
      </c>
      <c r="L51" s="484"/>
      <c r="M51" s="484"/>
      <c r="N51" s="484"/>
      <c r="O51" s="484"/>
      <c r="P51" s="484"/>
      <c r="Q51" s="484"/>
      <c r="R51" s="484"/>
      <c r="S51" s="484"/>
      <c r="T51" s="484"/>
      <c r="U51" s="484"/>
      <c r="V51" s="484"/>
      <c r="W51" s="484"/>
      <c r="X51" s="484"/>
      <c r="Y51" s="484"/>
      <c r="Z51" s="484"/>
      <c r="AA51" s="484"/>
      <c r="AB51" s="484"/>
      <c r="AC51" s="484"/>
      <c r="AD51" s="484"/>
      <c r="AE51" s="484"/>
      <c r="AF51" s="484"/>
      <c r="AG51" s="143">
        <f>ROUND('Fotovoltaika - Elektroinš...'!N17:N17,2)</f>
        <v>16866.810000000001</v>
      </c>
      <c r="AH51" s="336"/>
      <c r="AI51" s="337">
        <f t="shared" si="39"/>
        <v>0</v>
      </c>
      <c r="AJ51" s="353">
        <f t="shared" si="40"/>
        <v>16866.810000000001</v>
      </c>
      <c r="AK51" s="354">
        <f t="shared" si="41"/>
        <v>1</v>
      </c>
      <c r="AL51" s="143">
        <v>0</v>
      </c>
      <c r="AM51" s="336"/>
      <c r="AN51" s="337">
        <v>0</v>
      </c>
      <c r="AO51" s="353">
        <f t="shared" si="43"/>
        <v>0</v>
      </c>
      <c r="AP51" s="354">
        <v>1</v>
      </c>
      <c r="AQ51" s="471">
        <v>0</v>
      </c>
      <c r="AR51" s="353">
        <v>0</v>
      </c>
      <c r="AS51" s="143">
        <f t="shared" si="2"/>
        <v>16866.810000000001</v>
      </c>
      <c r="AT51" s="62"/>
      <c r="AV51" s="63" t="e">
        <f>'Fotovoltaika - Elektroinš...'!#REF!</f>
        <v>#REF!</v>
      </c>
      <c r="AW51" s="64" t="e">
        <f t="shared" si="3"/>
        <v>#REF!</v>
      </c>
      <c r="AX51" s="65">
        <f>'Fotovoltaika - Elektroinš...'!T17</f>
        <v>0</v>
      </c>
      <c r="AY51" s="64" t="e">
        <f>'Fotovoltaika - Elektroinš...'!#REF!</f>
        <v>#REF!</v>
      </c>
      <c r="AZ51" s="64" t="e">
        <f>'Fotovoltaika - Elektroinš...'!#REF!</f>
        <v>#REF!</v>
      </c>
      <c r="BA51" s="64" t="e">
        <f>'Fotovoltaika - Elektroinš...'!#REF!</f>
        <v>#REF!</v>
      </c>
      <c r="BB51" s="64" t="e">
        <f>'Fotovoltaika - Elektroinš...'!#REF!</f>
        <v>#REF!</v>
      </c>
      <c r="BC51" s="64" t="e">
        <f>'Fotovoltaika - Elektroinš...'!#REF!</f>
        <v>#REF!</v>
      </c>
      <c r="BD51" s="64" t="e">
        <f>'Fotovoltaika - Elektroinš...'!#REF!</f>
        <v>#REF!</v>
      </c>
      <c r="BE51" s="64" t="e">
        <f>'Fotovoltaika - Elektroinš...'!#REF!</f>
        <v>#REF!</v>
      </c>
      <c r="BF51" s="64" t="e">
        <f>'Fotovoltaika - Elektroinš...'!#REF!</f>
        <v>#REF!</v>
      </c>
      <c r="BG51" s="66" t="e">
        <f>'Fotovoltaika - Elektroinš...'!#REF!</f>
        <v>#REF!</v>
      </c>
      <c r="BW51" s="67" t="s">
        <v>42</v>
      </c>
      <c r="BY51" s="67" t="s">
        <v>33</v>
      </c>
      <c r="BZ51" s="67" t="s">
        <v>116</v>
      </c>
      <c r="CA51" s="67" t="s">
        <v>101</v>
      </c>
    </row>
    <row r="52" spans="1:79" s="4" customFormat="1" ht="37.5" customHeight="1">
      <c r="A52" s="59"/>
      <c r="B52" s="51"/>
      <c r="C52" s="52"/>
      <c r="D52" s="483" t="s">
        <v>117</v>
      </c>
      <c r="E52" s="483"/>
      <c r="F52" s="483"/>
      <c r="G52" s="483"/>
      <c r="H52" s="483"/>
      <c r="I52" s="324"/>
      <c r="J52" s="483" t="s">
        <v>1403</v>
      </c>
      <c r="K52" s="483"/>
      <c r="L52" s="483"/>
      <c r="M52" s="483"/>
      <c r="N52" s="483"/>
      <c r="O52" s="483"/>
      <c r="P52" s="483"/>
      <c r="Q52" s="483"/>
      <c r="R52" s="483"/>
      <c r="S52" s="483"/>
      <c r="T52" s="483"/>
      <c r="U52" s="483"/>
      <c r="V52" s="483"/>
      <c r="W52" s="483"/>
      <c r="X52" s="483"/>
      <c r="Y52" s="483"/>
      <c r="Z52" s="483"/>
      <c r="AA52" s="483"/>
      <c r="AB52" s="483"/>
      <c r="AC52" s="483"/>
      <c r="AD52" s="483"/>
      <c r="AE52" s="483"/>
      <c r="AF52" s="483"/>
      <c r="AG52" s="326">
        <f>ROUND('SO 07 - Vzduchotechnika'!N16,2)</f>
        <v>49101.18</v>
      </c>
      <c r="AH52" s="341"/>
      <c r="AI52" s="339">
        <f>AH52/AG52</f>
        <v>0</v>
      </c>
      <c r="AJ52" s="351">
        <f>AG52-AH52</f>
        <v>49101.18</v>
      </c>
      <c r="AK52" s="352">
        <f>AJ52/AG52</f>
        <v>1</v>
      </c>
      <c r="AL52" s="326">
        <v>0</v>
      </c>
      <c r="AM52" s="341"/>
      <c r="AN52" s="339">
        <v>0</v>
      </c>
      <c r="AO52" s="351">
        <f>AL52-AM52</f>
        <v>0</v>
      </c>
      <c r="AP52" s="352">
        <v>1</v>
      </c>
      <c r="AQ52" s="470">
        <v>0</v>
      </c>
      <c r="AR52" s="351">
        <v>0</v>
      </c>
      <c r="AS52" s="326">
        <f t="shared" si="2"/>
        <v>49101.18</v>
      </c>
      <c r="AT52" s="53"/>
      <c r="AV52" s="54" t="e">
        <f>'SO 07 - Vzduchotechnika'!#REF!</f>
        <v>#REF!</v>
      </c>
      <c r="AW52" s="55" t="e">
        <f t="shared" si="3"/>
        <v>#REF!</v>
      </c>
      <c r="AX52" s="56">
        <f>'SO 07 - Vzduchotechnika'!T16</f>
        <v>0</v>
      </c>
      <c r="AY52" s="55" t="e">
        <f>'SO 07 - Vzduchotechnika'!#REF!</f>
        <v>#REF!</v>
      </c>
      <c r="AZ52" s="55" t="e">
        <f>'SO 07 - Vzduchotechnika'!#REF!</f>
        <v>#REF!</v>
      </c>
      <c r="BA52" s="55" t="e">
        <f>'SO 07 - Vzduchotechnika'!#REF!</f>
        <v>#REF!</v>
      </c>
      <c r="BB52" s="55" t="e">
        <f>'SO 07 - Vzduchotechnika'!#REF!</f>
        <v>#REF!</v>
      </c>
      <c r="BC52" s="55" t="e">
        <f>'SO 07 - Vzduchotechnika'!#REF!</f>
        <v>#REF!</v>
      </c>
      <c r="BD52" s="55" t="e">
        <f>'SO 07 - Vzduchotechnika'!#REF!</f>
        <v>#REF!</v>
      </c>
      <c r="BE52" s="55" t="e">
        <f>'SO 07 - Vzduchotechnika'!#REF!</f>
        <v>#REF!</v>
      </c>
      <c r="BF52" s="55" t="e">
        <f>'SO 07 - Vzduchotechnika'!#REF!</f>
        <v>#REF!</v>
      </c>
      <c r="BG52" s="57" t="e">
        <f>'SO 07 - Vzduchotechnika'!#REF!</f>
        <v>#REF!</v>
      </c>
      <c r="BW52" s="58" t="s">
        <v>38</v>
      </c>
      <c r="BY52" s="58" t="s">
        <v>33</v>
      </c>
      <c r="BZ52" s="58" t="s">
        <v>118</v>
      </c>
      <c r="CA52" s="58" t="s">
        <v>34</v>
      </c>
    </row>
    <row r="53" spans="1:79" s="4" customFormat="1" ht="37.5" customHeight="1">
      <c r="A53" s="59"/>
      <c r="B53" s="51"/>
      <c r="C53" s="52"/>
      <c r="D53" s="483" t="s">
        <v>119</v>
      </c>
      <c r="E53" s="483"/>
      <c r="F53" s="483"/>
      <c r="G53" s="483"/>
      <c r="H53" s="483"/>
      <c r="I53" s="324"/>
      <c r="J53" s="483" t="s">
        <v>1404</v>
      </c>
      <c r="K53" s="483"/>
      <c r="L53" s="483"/>
      <c r="M53" s="483"/>
      <c r="N53" s="483"/>
      <c r="O53" s="483"/>
      <c r="P53" s="483"/>
      <c r="Q53" s="483"/>
      <c r="R53" s="483"/>
      <c r="S53" s="483"/>
      <c r="T53" s="483"/>
      <c r="U53" s="483"/>
      <c r="V53" s="483"/>
      <c r="W53" s="483"/>
      <c r="X53" s="483"/>
      <c r="Y53" s="483"/>
      <c r="Z53" s="483"/>
      <c r="AA53" s="483"/>
      <c r="AB53" s="483"/>
      <c r="AC53" s="483"/>
      <c r="AD53" s="483"/>
      <c r="AE53" s="483"/>
      <c r="AF53" s="483"/>
      <c r="AG53" s="326">
        <f>ROUND('SO 08 - Vykurovanie'!M16,2)</f>
        <v>22017.41</v>
      </c>
      <c r="AH53" s="341"/>
      <c r="AI53" s="339">
        <f>AH53/AG53</f>
        <v>0</v>
      </c>
      <c r="AJ53" s="351">
        <f>AG53-AH53</f>
        <v>22017.41</v>
      </c>
      <c r="AK53" s="352">
        <f>AJ53/AG53</f>
        <v>1</v>
      </c>
      <c r="AL53" s="327">
        <f>ROUND('SO 08 - Vykurovanie'!M71,2)</f>
        <v>15300.86</v>
      </c>
      <c r="AM53" s="341"/>
      <c r="AN53" s="339">
        <f>AM53/AL53</f>
        <v>0</v>
      </c>
      <c r="AO53" s="351">
        <f>AL53-AM53</f>
        <v>15300.86</v>
      </c>
      <c r="AP53" s="352">
        <f>AO53/AL53</f>
        <v>1</v>
      </c>
      <c r="AQ53" s="470">
        <v>0</v>
      </c>
      <c r="AR53" s="351">
        <f>'SO 08 - Vykurovanie'!M71</f>
        <v>15300.859999999999</v>
      </c>
      <c r="AS53" s="326">
        <f t="shared" si="2"/>
        <v>37318.270000000004</v>
      </c>
      <c r="AT53" s="53"/>
      <c r="AV53" s="68" t="e">
        <f>'[1]SO 08 - Vykurovanie'!#REF!</f>
        <v>#REF!</v>
      </c>
      <c r="AW53" s="69" t="e">
        <f t="shared" si="3"/>
        <v>#REF!</v>
      </c>
      <c r="AX53" s="70">
        <f>'[1]SO 08 - Vykurovanie'!S16</f>
        <v>0</v>
      </c>
      <c r="AY53" s="69" t="e">
        <f>'[1]SO 08 - Vykurovanie'!#REF!</f>
        <v>#REF!</v>
      </c>
      <c r="AZ53" s="69" t="e">
        <f>'[1]SO 08 - Vykurovanie'!#REF!</f>
        <v>#REF!</v>
      </c>
      <c r="BA53" s="69" t="e">
        <f>'[1]SO 08 - Vykurovanie'!#REF!</f>
        <v>#REF!</v>
      </c>
      <c r="BB53" s="69" t="e">
        <f>'[1]SO 08 - Vykurovanie'!#REF!</f>
        <v>#REF!</v>
      </c>
      <c r="BC53" s="69" t="e">
        <f>'[1]SO 08 - Vykurovanie'!#REF!</f>
        <v>#REF!</v>
      </c>
      <c r="BD53" s="69" t="e">
        <f>'[1]SO 08 - Vykurovanie'!#REF!</f>
        <v>#REF!</v>
      </c>
      <c r="BE53" s="69" t="e">
        <f>'[1]SO 08 - Vykurovanie'!#REF!</f>
        <v>#REF!</v>
      </c>
      <c r="BF53" s="69" t="e">
        <f>'[1]SO 08 - Vykurovanie'!#REF!</f>
        <v>#REF!</v>
      </c>
      <c r="BG53" s="71" t="e">
        <f>'[1]SO 08 - Vykurovanie'!#REF!</f>
        <v>#REF!</v>
      </c>
      <c r="BW53" s="58" t="s">
        <v>38</v>
      </c>
      <c r="BY53" s="58" t="s">
        <v>33</v>
      </c>
      <c r="BZ53" s="58" t="s">
        <v>120</v>
      </c>
      <c r="CA53" s="58" t="s">
        <v>34</v>
      </c>
    </row>
    <row r="54" spans="1:79">
      <c r="B54" s="10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276"/>
      <c r="AH54" s="342"/>
      <c r="AI54" s="343"/>
      <c r="AJ54" s="355"/>
      <c r="AK54" s="356"/>
      <c r="AL54" s="12"/>
      <c r="AM54" s="342"/>
      <c r="AN54" s="343"/>
      <c r="AO54" s="355"/>
      <c r="AP54" s="356"/>
      <c r="AQ54" s="467"/>
      <c r="AR54" s="355"/>
      <c r="AS54" s="150"/>
      <c r="AT54" s="11"/>
    </row>
    <row r="55" spans="1:79" s="1" customFormat="1" ht="6.95" customHeight="1"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344"/>
      <c r="AI55" s="345"/>
      <c r="AJ55" s="357"/>
      <c r="AK55" s="358"/>
      <c r="AL55" s="24"/>
      <c r="AM55" s="344"/>
      <c r="AN55" s="345"/>
      <c r="AO55" s="357"/>
      <c r="AP55" s="358"/>
      <c r="AQ55" s="468"/>
      <c r="AR55" s="357"/>
      <c r="AS55" s="24"/>
      <c r="AT55" s="25"/>
    </row>
  </sheetData>
  <mergeCells count="81">
    <mergeCell ref="AV10:AW12"/>
    <mergeCell ref="C13:G13"/>
    <mergeCell ref="I13:AF13"/>
    <mergeCell ref="D16:H16"/>
    <mergeCell ref="J16:AF16"/>
    <mergeCell ref="E17:I17"/>
    <mergeCell ref="K17:AF17"/>
    <mergeCell ref="C4:AL4"/>
    <mergeCell ref="L6:AL6"/>
    <mergeCell ref="E18:I18"/>
    <mergeCell ref="K18:AF18"/>
    <mergeCell ref="E19:I19"/>
    <mergeCell ref="K19:AF19"/>
    <mergeCell ref="E20:I20"/>
    <mergeCell ref="K20:AF20"/>
    <mergeCell ref="E21:I21"/>
    <mergeCell ref="K21:AF21"/>
    <mergeCell ref="D22:H22"/>
    <mergeCell ref="J22:AF22"/>
    <mergeCell ref="E23:I23"/>
    <mergeCell ref="K23:AF23"/>
    <mergeCell ref="E24:I24"/>
    <mergeCell ref="K24:AF24"/>
    <mergeCell ref="E25:I25"/>
    <mergeCell ref="K25:AF25"/>
    <mergeCell ref="E26:I26"/>
    <mergeCell ref="K26:AF26"/>
    <mergeCell ref="E27:I27"/>
    <mergeCell ref="K27:AF27"/>
    <mergeCell ref="D28:H28"/>
    <mergeCell ref="J28:AF28"/>
    <mergeCell ref="E29:I29"/>
    <mergeCell ref="K29:AF29"/>
    <mergeCell ref="E30:I30"/>
    <mergeCell ref="K30:AF30"/>
    <mergeCell ref="E31:I31"/>
    <mergeCell ref="K31:AF31"/>
    <mergeCell ref="E32:I32"/>
    <mergeCell ref="K32:AF32"/>
    <mergeCell ref="E33:I33"/>
    <mergeCell ref="K33:AF33"/>
    <mergeCell ref="D34:H34"/>
    <mergeCell ref="J34:AF34"/>
    <mergeCell ref="E35:I35"/>
    <mergeCell ref="K35:AF35"/>
    <mergeCell ref="E36:I36"/>
    <mergeCell ref="K36:AF36"/>
    <mergeCell ref="E37:I37"/>
    <mergeCell ref="K37:AF37"/>
    <mergeCell ref="E38:I38"/>
    <mergeCell ref="K38:AF38"/>
    <mergeCell ref="D39:H39"/>
    <mergeCell ref="J39:AF39"/>
    <mergeCell ref="E40:I40"/>
    <mergeCell ref="K40:AF40"/>
    <mergeCell ref="E41:I41"/>
    <mergeCell ref="K41:AF41"/>
    <mergeCell ref="E42:I42"/>
    <mergeCell ref="K42:AF42"/>
    <mergeCell ref="E43:I43"/>
    <mergeCell ref="K43:AF43"/>
    <mergeCell ref="D44:H44"/>
    <mergeCell ref="J44:AF44"/>
    <mergeCell ref="E51:I51"/>
    <mergeCell ref="K51:AF51"/>
    <mergeCell ref="D53:H53"/>
    <mergeCell ref="J53:AF53"/>
    <mergeCell ref="D52:H52"/>
    <mergeCell ref="J52:AF52"/>
    <mergeCell ref="E45:I45"/>
    <mergeCell ref="K45:AF45"/>
    <mergeCell ref="F46:J46"/>
    <mergeCell ref="L46:AF46"/>
    <mergeCell ref="F47:J47"/>
    <mergeCell ref="L47:AF47"/>
    <mergeCell ref="F48:J48"/>
    <mergeCell ref="L48:AF48"/>
    <mergeCell ref="F49:J49"/>
    <mergeCell ref="L49:AF49"/>
    <mergeCell ref="F50:J50"/>
    <mergeCell ref="L50:AF50"/>
  </mergeCells>
  <pageMargins left="0.58333330000000005" right="0.58333330000000005" top="0.5" bottom="0.46666669999999999" header="0" footer="0"/>
  <pageSetup paperSize="9" scale="61" orientation="portrait" blackAndWhite="1" r:id="rId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AA114"/>
  <sheetViews>
    <sheetView showGridLines="0" view="pageBreakPreview" zoomScale="60" zoomScaleNormal="85" workbookViewId="0">
      <pane ySplit="1" topLeftCell="A53" activePane="bottomLeft" state="frozen"/>
      <selection pane="bottomLeft" activeCell="F42" sqref="F42:I42"/>
    </sheetView>
  </sheetViews>
  <sheetFormatPr defaultRowHeight="13.5"/>
  <cols>
    <col min="1" max="1" width="8.33203125" style="121" customWidth="1"/>
    <col min="2" max="2" width="1.6640625" style="121" customWidth="1"/>
    <col min="3" max="3" width="4.1640625" style="121" customWidth="1"/>
    <col min="4" max="4" width="4.33203125" style="121" customWidth="1"/>
    <col min="5" max="5" width="17.1640625" style="121" customWidth="1"/>
    <col min="6" max="7" width="11.1640625" style="121" customWidth="1"/>
    <col min="8" max="8" width="12.5" style="121" customWidth="1"/>
    <col min="9" max="9" width="7" style="121" customWidth="1"/>
    <col min="10" max="10" width="5.1640625" style="121" customWidth="1"/>
    <col min="11" max="11" width="11.5" style="121" customWidth="1"/>
    <col min="12" max="12" width="12.83203125" style="121" bestFit="1" customWidth="1"/>
    <col min="13" max="13" width="18.6640625" style="121" bestFit="1" customWidth="1"/>
    <col min="14" max="14" width="1.6640625" style="121" customWidth="1"/>
    <col min="15" max="15" width="9.5" style="121" customWidth="1"/>
    <col min="16" max="16" width="29.6640625" style="121" hidden="1" customWidth="1"/>
    <col min="17" max="17" width="16.33203125" style="121" hidden="1" customWidth="1"/>
    <col min="18" max="18" width="12.33203125" style="121" hidden="1" customWidth="1"/>
    <col min="19" max="19" width="16.33203125" style="121" hidden="1" customWidth="1"/>
    <col min="20" max="20" width="12.1640625" style="121" hidden="1" customWidth="1"/>
    <col min="21" max="21" width="15" style="121" hidden="1" customWidth="1"/>
    <col min="22" max="22" width="11" style="121" hidden="1" customWidth="1"/>
    <col min="23" max="23" width="15" style="121" hidden="1" customWidth="1"/>
    <col min="24" max="24" width="16.33203125" style="121" hidden="1" customWidth="1"/>
    <col min="25" max="25" width="11.33203125" style="121" customWidth="1"/>
    <col min="26" max="26" width="7.6640625" style="121" hidden="1" customWidth="1"/>
    <col min="27" max="27" width="16.33203125" style="121" hidden="1" customWidth="1"/>
    <col min="28" max="16384" width="9.33203125" style="121"/>
  </cols>
  <sheetData>
    <row r="4" spans="2:26" s="1" customFormat="1" ht="6.95" customHeight="1"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2:26" s="1" customFormat="1" ht="36.950000000000003" customHeight="1">
      <c r="B5" s="15"/>
      <c r="C5" s="485" t="s">
        <v>134</v>
      </c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17"/>
    </row>
    <row r="6" spans="2:26" s="1" customFormat="1" ht="6.95" customHeight="1">
      <c r="B6" s="15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7"/>
    </row>
    <row r="7" spans="2:26" s="1" customFormat="1" ht="30" customHeight="1">
      <c r="B7" s="15"/>
      <c r="C7" s="199" t="s">
        <v>3</v>
      </c>
      <c r="D7" s="198"/>
      <c r="E7" s="198"/>
      <c r="F7" s="513"/>
      <c r="G7" s="516"/>
      <c r="H7" s="516"/>
      <c r="I7" s="516"/>
      <c r="J7" s="516"/>
      <c r="K7" s="516"/>
      <c r="L7" s="516"/>
      <c r="M7" s="516"/>
      <c r="N7" s="17"/>
    </row>
    <row r="8" spans="2:26" s="1" customFormat="1" ht="36.950000000000003" customHeight="1">
      <c r="B8" s="15"/>
      <c r="C8" s="33" t="s">
        <v>121</v>
      </c>
      <c r="D8" s="198"/>
      <c r="E8" s="198"/>
      <c r="F8" s="487"/>
      <c r="G8" s="515"/>
      <c r="H8" s="515"/>
      <c r="I8" s="515"/>
      <c r="J8" s="515"/>
      <c r="K8" s="515"/>
      <c r="L8" s="515"/>
      <c r="M8" s="515"/>
      <c r="N8" s="17"/>
    </row>
    <row r="9" spans="2:26" s="1" customFormat="1" ht="6.95" customHeight="1">
      <c r="B9" s="15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7"/>
    </row>
    <row r="10" spans="2:26" s="1" customFormat="1" ht="18" customHeight="1">
      <c r="B10" s="15"/>
      <c r="C10" s="199" t="s">
        <v>4</v>
      </c>
      <c r="D10" s="198"/>
      <c r="E10" s="198"/>
      <c r="F10" s="195"/>
      <c r="G10" s="198"/>
      <c r="H10" s="198"/>
      <c r="I10" s="198"/>
      <c r="J10" s="198"/>
      <c r="K10" s="199" t="s">
        <v>5</v>
      </c>
      <c r="L10" s="198"/>
      <c r="M10" s="197"/>
      <c r="N10" s="17"/>
    </row>
    <row r="11" spans="2:26" s="1" customFormat="1" ht="6.95" customHeight="1">
      <c r="B11" s="15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7"/>
    </row>
    <row r="12" spans="2:26" s="1" customFormat="1" ht="15">
      <c r="B12" s="15"/>
      <c r="C12" s="199" t="s">
        <v>6</v>
      </c>
      <c r="D12" s="198"/>
      <c r="E12" s="198"/>
      <c r="F12" s="195"/>
      <c r="G12" s="198"/>
      <c r="H12" s="198"/>
      <c r="I12" s="198"/>
      <c r="J12" s="198"/>
      <c r="K12" s="199" t="s">
        <v>8</v>
      </c>
      <c r="L12" s="198"/>
      <c r="M12" s="195"/>
      <c r="N12" s="17"/>
    </row>
    <row r="13" spans="2:26" s="1" customFormat="1" ht="14.45" customHeight="1">
      <c r="B13" s="15"/>
      <c r="C13" s="199" t="s">
        <v>7</v>
      </c>
      <c r="D13" s="198"/>
      <c r="E13" s="198"/>
      <c r="F13" s="195"/>
      <c r="G13" s="198"/>
      <c r="H13" s="198"/>
      <c r="I13" s="198"/>
      <c r="J13" s="198"/>
      <c r="K13" s="199" t="s">
        <v>9</v>
      </c>
      <c r="L13" s="198"/>
      <c r="M13" s="195"/>
      <c r="N13" s="17"/>
    </row>
    <row r="14" spans="2:26" s="1" customFormat="1" ht="10.35" customHeight="1">
      <c r="B14" s="15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7"/>
    </row>
    <row r="15" spans="2:26" s="6" customFormat="1" ht="29.25" customHeight="1">
      <c r="B15" s="75"/>
      <c r="C15" s="76" t="s">
        <v>135</v>
      </c>
      <c r="D15" s="196" t="s">
        <v>136</v>
      </c>
      <c r="E15" s="196" t="s">
        <v>14</v>
      </c>
      <c r="F15" s="511" t="s">
        <v>137</v>
      </c>
      <c r="G15" s="511"/>
      <c r="H15" s="511"/>
      <c r="I15" s="511"/>
      <c r="J15" s="196" t="s">
        <v>138</v>
      </c>
      <c r="K15" s="196" t="s">
        <v>139</v>
      </c>
      <c r="L15" s="202" t="s">
        <v>140</v>
      </c>
      <c r="M15" s="196" t="s">
        <v>125</v>
      </c>
      <c r="N15" s="78"/>
      <c r="O15" s="6" t="s">
        <v>950</v>
      </c>
      <c r="P15" s="39" t="s">
        <v>141</v>
      </c>
      <c r="Q15" s="40" t="s">
        <v>10</v>
      </c>
      <c r="R15" s="40" t="s">
        <v>142</v>
      </c>
      <c r="S15" s="40" t="s">
        <v>143</v>
      </c>
      <c r="T15" s="40" t="s">
        <v>144</v>
      </c>
      <c r="U15" s="40" t="s">
        <v>145</v>
      </c>
      <c r="V15" s="40" t="s">
        <v>146</v>
      </c>
      <c r="W15" s="41" t="s">
        <v>147</v>
      </c>
      <c r="Y15" s="6" t="s">
        <v>136</v>
      </c>
    </row>
    <row r="16" spans="2:26" s="1" customFormat="1" ht="29.25" customHeight="1">
      <c r="B16" s="15"/>
      <c r="C16" s="43" t="s">
        <v>124</v>
      </c>
      <c r="D16" s="198"/>
      <c r="E16" s="198"/>
      <c r="F16" s="198"/>
      <c r="G16" s="198"/>
      <c r="H16" s="198"/>
      <c r="I16" s="198"/>
      <c r="J16" s="198"/>
      <c r="K16" s="198"/>
      <c r="L16" s="198"/>
      <c r="M16" s="129">
        <f>M17+M25+M67</f>
        <v>22017.414000000001</v>
      </c>
      <c r="N16" s="17"/>
      <c r="P16" s="42"/>
      <c r="Q16" s="19"/>
      <c r="R16" s="19"/>
      <c r="S16" s="79">
        <f>S17+S25+S67+S71</f>
        <v>0</v>
      </c>
      <c r="T16" s="19"/>
      <c r="U16" s="79">
        <f>U17+U25+U67+U71</f>
        <v>3.0211579999999993</v>
      </c>
      <c r="V16" s="19"/>
      <c r="W16" s="80">
        <f>W17+W25+W67+W71</f>
        <v>2.5833200000000001</v>
      </c>
      <c r="Z16" s="1">
        <v>1.04</v>
      </c>
    </row>
    <row r="17" spans="2:27" s="7" customFormat="1" ht="37.35" customHeight="1">
      <c r="B17" s="82"/>
      <c r="C17" s="83"/>
      <c r="D17" s="84" t="s">
        <v>127</v>
      </c>
      <c r="E17" s="84"/>
      <c r="F17" s="84"/>
      <c r="G17" s="84"/>
      <c r="H17" s="84"/>
      <c r="I17" s="84"/>
      <c r="J17" s="84"/>
      <c r="K17" s="84"/>
      <c r="L17" s="84"/>
      <c r="M17" s="130">
        <f>M18</f>
        <v>319.49100000000004</v>
      </c>
      <c r="N17" s="85"/>
      <c r="P17" s="86"/>
      <c r="Q17" s="83"/>
      <c r="R17" s="83"/>
      <c r="S17" s="87">
        <f>S18</f>
        <v>0</v>
      </c>
      <c r="T17" s="83"/>
      <c r="U17" s="87">
        <f>U18</f>
        <v>0</v>
      </c>
      <c r="V17" s="83"/>
      <c r="W17" s="88">
        <f>W18</f>
        <v>0</v>
      </c>
    </row>
    <row r="18" spans="2:27" s="7" customFormat="1" ht="19.899999999999999" customHeight="1">
      <c r="B18" s="82"/>
      <c r="C18" s="83"/>
      <c r="D18" s="92" t="s">
        <v>128</v>
      </c>
      <c r="E18" s="92"/>
      <c r="F18" s="92"/>
      <c r="G18" s="92"/>
      <c r="H18" s="92"/>
      <c r="I18" s="92"/>
      <c r="J18" s="92"/>
      <c r="K18" s="92"/>
      <c r="L18" s="92"/>
      <c r="M18" s="131">
        <f>SUM(M19:M24)</f>
        <v>319.49100000000004</v>
      </c>
      <c r="N18" s="85"/>
      <c r="P18" s="86"/>
      <c r="Q18" s="83"/>
      <c r="R18" s="83"/>
      <c r="S18" s="87">
        <f>SUM(S19:S24)</f>
        <v>0</v>
      </c>
      <c r="T18" s="83"/>
      <c r="U18" s="87">
        <f>SUM(U19:U24)</f>
        <v>0</v>
      </c>
      <c r="V18" s="83"/>
      <c r="W18" s="88">
        <f>SUM(W19:W24)</f>
        <v>0</v>
      </c>
    </row>
    <row r="19" spans="2:27" s="1" customFormat="1" ht="31.5" customHeight="1">
      <c r="B19" s="73"/>
      <c r="C19" s="93" t="s">
        <v>38</v>
      </c>
      <c r="D19" s="93" t="s">
        <v>149</v>
      </c>
      <c r="E19" s="94" t="s">
        <v>150</v>
      </c>
      <c r="F19" s="498" t="s">
        <v>1163</v>
      </c>
      <c r="G19" s="498"/>
      <c r="H19" s="498"/>
      <c r="I19" s="498"/>
      <c r="J19" s="95" t="s">
        <v>152</v>
      </c>
      <c r="K19" s="128">
        <v>2.5830000000000002</v>
      </c>
      <c r="L19" s="201">
        <v>45.54</v>
      </c>
      <c r="M19" s="128">
        <f t="shared" ref="M19:M24" si="0">ROUND(L19*K19,3)</f>
        <v>117.63</v>
      </c>
      <c r="N19" s="74"/>
      <c r="P19" s="98" t="s">
        <v>0</v>
      </c>
      <c r="Q19" s="18" t="s">
        <v>11</v>
      </c>
      <c r="R19" s="198"/>
      <c r="S19" s="99">
        <f t="shared" ref="S19:S24" si="1">R19*K19</f>
        <v>0</v>
      </c>
      <c r="T19" s="99">
        <v>0</v>
      </c>
      <c r="U19" s="99">
        <f t="shared" ref="U19:U24" si="2">T19*K19</f>
        <v>0</v>
      </c>
      <c r="V19" s="99">
        <v>0</v>
      </c>
      <c r="W19" s="100">
        <f t="shared" ref="W19:W24" si="3">V19*K19</f>
        <v>0</v>
      </c>
      <c r="AA19" s="1">
        <v>50</v>
      </c>
    </row>
    <row r="20" spans="2:27" s="1" customFormat="1" ht="22.5" customHeight="1">
      <c r="B20" s="73"/>
      <c r="C20" s="93" t="s">
        <v>42</v>
      </c>
      <c r="D20" s="93" t="s">
        <v>149</v>
      </c>
      <c r="E20" s="94" t="s">
        <v>154</v>
      </c>
      <c r="F20" s="498" t="s">
        <v>1164</v>
      </c>
      <c r="G20" s="498"/>
      <c r="H20" s="498"/>
      <c r="I20" s="498"/>
      <c r="J20" s="95" t="s">
        <v>152</v>
      </c>
      <c r="K20" s="128">
        <v>2.5830000000000002</v>
      </c>
      <c r="L20" s="201">
        <v>10.69</v>
      </c>
      <c r="M20" s="128">
        <f t="shared" si="0"/>
        <v>27.611999999999998</v>
      </c>
      <c r="N20" s="74"/>
      <c r="P20" s="98" t="s">
        <v>0</v>
      </c>
      <c r="Q20" s="18" t="s">
        <v>11</v>
      </c>
      <c r="R20" s="198"/>
      <c r="S20" s="99">
        <f t="shared" si="1"/>
        <v>0</v>
      </c>
      <c r="T20" s="99">
        <v>0</v>
      </c>
      <c r="U20" s="99">
        <f t="shared" si="2"/>
        <v>0</v>
      </c>
      <c r="V20" s="99">
        <v>0</v>
      </c>
      <c r="W20" s="100">
        <f t="shared" si="3"/>
        <v>0</v>
      </c>
      <c r="AA20" s="1">
        <v>11.74</v>
      </c>
    </row>
    <row r="21" spans="2:27" s="1" customFormat="1" ht="31.5" customHeight="1">
      <c r="B21" s="73"/>
      <c r="C21" s="93" t="s">
        <v>105</v>
      </c>
      <c r="D21" s="93" t="s">
        <v>149</v>
      </c>
      <c r="E21" s="94" t="s">
        <v>157</v>
      </c>
      <c r="F21" s="498" t="s">
        <v>1165</v>
      </c>
      <c r="G21" s="498"/>
      <c r="H21" s="498"/>
      <c r="I21" s="498"/>
      <c r="J21" s="95" t="s">
        <v>152</v>
      </c>
      <c r="K21" s="128">
        <v>12.914999999999999</v>
      </c>
      <c r="L21" s="201">
        <v>0.45</v>
      </c>
      <c r="M21" s="128">
        <f t="shared" si="0"/>
        <v>5.8120000000000003</v>
      </c>
      <c r="N21" s="74"/>
      <c r="P21" s="98" t="s">
        <v>0</v>
      </c>
      <c r="Q21" s="18" t="s">
        <v>11</v>
      </c>
      <c r="R21" s="198"/>
      <c r="S21" s="99">
        <f t="shared" si="1"/>
        <v>0</v>
      </c>
      <c r="T21" s="99">
        <v>0</v>
      </c>
      <c r="U21" s="99">
        <f t="shared" si="2"/>
        <v>0</v>
      </c>
      <c r="V21" s="99">
        <v>0</v>
      </c>
      <c r="W21" s="100">
        <f t="shared" si="3"/>
        <v>0</v>
      </c>
      <c r="AA21" s="1">
        <v>0.49</v>
      </c>
    </row>
    <row r="22" spans="2:27" s="1" customFormat="1" ht="31.5" customHeight="1">
      <c r="B22" s="73"/>
      <c r="C22" s="93" t="s">
        <v>153</v>
      </c>
      <c r="D22" s="93" t="s">
        <v>149</v>
      </c>
      <c r="E22" s="94" t="s">
        <v>1166</v>
      </c>
      <c r="F22" s="498" t="s">
        <v>1167</v>
      </c>
      <c r="G22" s="498"/>
      <c r="H22" s="498"/>
      <c r="I22" s="498"/>
      <c r="J22" s="95" t="s">
        <v>152</v>
      </c>
      <c r="K22" s="128">
        <v>2.5830000000000002</v>
      </c>
      <c r="L22" s="201">
        <v>16.87</v>
      </c>
      <c r="M22" s="128">
        <f t="shared" si="0"/>
        <v>43.575000000000003</v>
      </c>
      <c r="N22" s="74"/>
      <c r="P22" s="98" t="s">
        <v>0</v>
      </c>
      <c r="Q22" s="18" t="s">
        <v>11</v>
      </c>
      <c r="R22" s="198"/>
      <c r="S22" s="99">
        <f t="shared" si="1"/>
        <v>0</v>
      </c>
      <c r="T22" s="99">
        <v>0</v>
      </c>
      <c r="U22" s="99">
        <f t="shared" si="2"/>
        <v>0</v>
      </c>
      <c r="V22" s="99">
        <v>0</v>
      </c>
      <c r="W22" s="100">
        <f t="shared" si="3"/>
        <v>0</v>
      </c>
      <c r="AA22" s="1">
        <v>18.52</v>
      </c>
    </row>
    <row r="23" spans="2:27" s="1" customFormat="1" ht="31.5" customHeight="1">
      <c r="B23" s="73"/>
      <c r="C23" s="93" t="s">
        <v>156</v>
      </c>
      <c r="D23" s="93" t="s">
        <v>149</v>
      </c>
      <c r="E23" s="94" t="s">
        <v>1168</v>
      </c>
      <c r="F23" s="498" t="s">
        <v>1169</v>
      </c>
      <c r="G23" s="498"/>
      <c r="H23" s="498"/>
      <c r="I23" s="498"/>
      <c r="J23" s="95" t="s">
        <v>152</v>
      </c>
      <c r="K23" s="128">
        <v>2.5830000000000002</v>
      </c>
      <c r="L23" s="201">
        <v>39.78</v>
      </c>
      <c r="M23" s="128">
        <f t="shared" si="0"/>
        <v>102.752</v>
      </c>
      <c r="N23" s="74"/>
      <c r="P23" s="98" t="s">
        <v>0</v>
      </c>
      <c r="Q23" s="18" t="s">
        <v>11</v>
      </c>
      <c r="R23" s="198"/>
      <c r="S23" s="99">
        <f t="shared" si="1"/>
        <v>0</v>
      </c>
      <c r="T23" s="99">
        <v>0</v>
      </c>
      <c r="U23" s="99">
        <f t="shared" si="2"/>
        <v>0</v>
      </c>
      <c r="V23" s="99">
        <v>0</v>
      </c>
      <c r="W23" s="100">
        <f t="shared" si="3"/>
        <v>0</v>
      </c>
      <c r="AA23" s="1">
        <v>45.43</v>
      </c>
    </row>
    <row r="24" spans="2:27" s="1" customFormat="1" ht="31.5" customHeight="1">
      <c r="B24" s="73"/>
      <c r="C24" s="93" t="s">
        <v>159</v>
      </c>
      <c r="D24" s="93" t="s">
        <v>149</v>
      </c>
      <c r="E24" s="94" t="s">
        <v>1170</v>
      </c>
      <c r="F24" s="498" t="s">
        <v>1171</v>
      </c>
      <c r="G24" s="498"/>
      <c r="H24" s="498"/>
      <c r="I24" s="498"/>
      <c r="J24" s="95" t="s">
        <v>152</v>
      </c>
      <c r="K24" s="128">
        <v>2.5830000000000002</v>
      </c>
      <c r="L24" s="201">
        <v>8.56</v>
      </c>
      <c r="M24" s="128">
        <f t="shared" si="0"/>
        <v>22.11</v>
      </c>
      <c r="N24" s="74"/>
      <c r="P24" s="98" t="s">
        <v>0</v>
      </c>
      <c r="Q24" s="18" t="s">
        <v>11</v>
      </c>
      <c r="R24" s="198"/>
      <c r="S24" s="99">
        <f t="shared" si="1"/>
        <v>0</v>
      </c>
      <c r="T24" s="99">
        <v>0</v>
      </c>
      <c r="U24" s="99">
        <f t="shared" si="2"/>
        <v>0</v>
      </c>
      <c r="V24" s="99">
        <v>0</v>
      </c>
      <c r="W24" s="100">
        <f t="shared" si="3"/>
        <v>0</v>
      </c>
      <c r="AA24" s="1">
        <v>9.4</v>
      </c>
    </row>
    <row r="25" spans="2:27" s="7" customFormat="1" ht="37.35" customHeight="1">
      <c r="B25" s="82"/>
      <c r="C25" s="83"/>
      <c r="D25" s="84" t="s">
        <v>130</v>
      </c>
      <c r="E25" s="84"/>
      <c r="F25" s="84"/>
      <c r="G25" s="84"/>
      <c r="H25" s="84"/>
      <c r="I25" s="84"/>
      <c r="J25" s="84"/>
      <c r="K25" s="84"/>
      <c r="L25" s="84"/>
      <c r="M25" s="135">
        <f>M26+M35+M64</f>
        <v>20473.483</v>
      </c>
      <c r="N25" s="85"/>
      <c r="P25" s="86"/>
      <c r="Q25" s="83"/>
      <c r="R25" s="83"/>
      <c r="S25" s="87">
        <f>S26+S35+S64</f>
        <v>0</v>
      </c>
      <c r="T25" s="83"/>
      <c r="U25" s="87">
        <f>U26+U35+U64</f>
        <v>3.0211579999999993</v>
      </c>
      <c r="V25" s="83"/>
      <c r="W25" s="88">
        <f>W26+W35+W64</f>
        <v>2.5833200000000001</v>
      </c>
    </row>
    <row r="26" spans="2:27" s="7" customFormat="1" ht="19.899999999999999" customHeight="1">
      <c r="B26" s="82"/>
      <c r="C26" s="83"/>
      <c r="D26" s="92" t="s">
        <v>1172</v>
      </c>
      <c r="E26" s="92"/>
      <c r="F26" s="92"/>
      <c r="G26" s="92"/>
      <c r="H26" s="92"/>
      <c r="I26" s="92"/>
      <c r="J26" s="92"/>
      <c r="K26" s="92"/>
      <c r="L26" s="92"/>
      <c r="M26" s="131">
        <f>SUM(M27:M34)</f>
        <v>6186.0870000000004</v>
      </c>
      <c r="N26" s="85"/>
      <c r="P26" s="86"/>
      <c r="Q26" s="83"/>
      <c r="R26" s="83"/>
      <c r="S26" s="87">
        <f>SUM(S27:S34)</f>
        <v>0</v>
      </c>
      <c r="T26" s="83"/>
      <c r="U26" s="87">
        <f>SUM(U27:U34)</f>
        <v>9.9528000000000005E-2</v>
      </c>
      <c r="V26" s="83"/>
      <c r="W26" s="88">
        <f>SUM(W27:W34)</f>
        <v>0</v>
      </c>
    </row>
    <row r="27" spans="2:27" s="1" customFormat="1" ht="31.5" customHeight="1">
      <c r="B27" s="73"/>
      <c r="C27" s="93" t="s">
        <v>162</v>
      </c>
      <c r="D27" s="93" t="s">
        <v>149</v>
      </c>
      <c r="E27" s="94" t="s">
        <v>1173</v>
      </c>
      <c r="F27" s="498" t="s">
        <v>1174</v>
      </c>
      <c r="G27" s="498"/>
      <c r="H27" s="498"/>
      <c r="I27" s="498"/>
      <c r="J27" s="95" t="s">
        <v>184</v>
      </c>
      <c r="K27" s="128">
        <v>156</v>
      </c>
      <c r="L27" s="201">
        <v>1.76</v>
      </c>
      <c r="M27" s="128">
        <f t="shared" ref="M27:M34" si="4">ROUND(L27*K27,3)</f>
        <v>274.56</v>
      </c>
      <c r="N27" s="74"/>
      <c r="P27" s="98" t="s">
        <v>0</v>
      </c>
      <c r="Q27" s="18" t="s">
        <v>11</v>
      </c>
      <c r="R27" s="198"/>
      <c r="S27" s="99">
        <f t="shared" ref="S27:S34" si="5">R27*K27</f>
        <v>0</v>
      </c>
      <c r="T27" s="99">
        <v>1.6000000000000001E-4</v>
      </c>
      <c r="U27" s="99">
        <f t="shared" ref="U27:U34" si="6">T27*K27</f>
        <v>2.4960000000000003E-2</v>
      </c>
      <c r="V27" s="99">
        <v>0</v>
      </c>
      <c r="W27" s="100">
        <f t="shared" ref="W27:W34" si="7">V27*K27</f>
        <v>0</v>
      </c>
      <c r="AA27" s="1">
        <v>1.93</v>
      </c>
    </row>
    <row r="28" spans="2:27" s="1" customFormat="1" ht="31.5" customHeight="1">
      <c r="B28" s="73"/>
      <c r="C28" s="93" t="s">
        <v>165</v>
      </c>
      <c r="D28" s="93" t="s">
        <v>149</v>
      </c>
      <c r="E28" s="94" t="s">
        <v>1175</v>
      </c>
      <c r="F28" s="498" t="s">
        <v>1176</v>
      </c>
      <c r="G28" s="498"/>
      <c r="H28" s="498"/>
      <c r="I28" s="498"/>
      <c r="J28" s="95" t="s">
        <v>184</v>
      </c>
      <c r="K28" s="128">
        <v>156</v>
      </c>
      <c r="L28" s="201">
        <v>2.3199999999999998</v>
      </c>
      <c r="M28" s="128">
        <f t="shared" si="4"/>
        <v>361.92</v>
      </c>
      <c r="N28" s="74"/>
      <c r="P28" s="98" t="s">
        <v>0</v>
      </c>
      <c r="Q28" s="18" t="s">
        <v>11</v>
      </c>
      <c r="R28" s="198"/>
      <c r="S28" s="99">
        <f t="shared" si="5"/>
        <v>0</v>
      </c>
      <c r="T28" s="99">
        <v>2.0000000000000002E-5</v>
      </c>
      <c r="U28" s="99">
        <f t="shared" si="6"/>
        <v>3.1200000000000004E-3</v>
      </c>
      <c r="V28" s="99">
        <v>0</v>
      </c>
      <c r="W28" s="100">
        <f t="shared" si="7"/>
        <v>0</v>
      </c>
      <c r="AA28" s="1">
        <v>2.5499999999999998</v>
      </c>
    </row>
    <row r="29" spans="2:27" s="1" customFormat="1" ht="44.25" customHeight="1">
      <c r="B29" s="73"/>
      <c r="C29" s="102" t="s">
        <v>170</v>
      </c>
      <c r="D29" s="102" t="s">
        <v>171</v>
      </c>
      <c r="E29" s="103" t="s">
        <v>1177</v>
      </c>
      <c r="F29" s="499" t="s">
        <v>1178</v>
      </c>
      <c r="G29" s="499"/>
      <c r="H29" s="499"/>
      <c r="I29" s="499"/>
      <c r="J29" s="104" t="s">
        <v>184</v>
      </c>
      <c r="K29" s="133">
        <v>156</v>
      </c>
      <c r="L29" s="140">
        <v>12.43</v>
      </c>
      <c r="M29" s="133">
        <f t="shared" si="4"/>
        <v>1939.08</v>
      </c>
      <c r="N29" s="74"/>
      <c r="O29" s="1" t="s">
        <v>1179</v>
      </c>
      <c r="P29" s="98" t="s">
        <v>0</v>
      </c>
      <c r="Q29" s="18" t="s">
        <v>11</v>
      </c>
      <c r="R29" s="198"/>
      <c r="S29" s="99">
        <f t="shared" si="5"/>
        <v>0</v>
      </c>
      <c r="T29" s="99">
        <v>1.5300000000000001E-4</v>
      </c>
      <c r="U29" s="99">
        <f t="shared" si="6"/>
        <v>2.3868E-2</v>
      </c>
      <c r="V29" s="99">
        <v>0</v>
      </c>
      <c r="W29" s="100">
        <f t="shared" si="7"/>
        <v>0</v>
      </c>
      <c r="Y29" s="1" t="s">
        <v>1180</v>
      </c>
      <c r="AA29" s="1">
        <v>13.64</v>
      </c>
    </row>
    <row r="30" spans="2:27" s="1" customFormat="1" ht="31.5" customHeight="1">
      <c r="B30" s="73"/>
      <c r="C30" s="93" t="s">
        <v>175</v>
      </c>
      <c r="D30" s="93" t="s">
        <v>149</v>
      </c>
      <c r="E30" s="94" t="s">
        <v>1181</v>
      </c>
      <c r="F30" s="498" t="s">
        <v>1182</v>
      </c>
      <c r="G30" s="498"/>
      <c r="H30" s="498"/>
      <c r="I30" s="498"/>
      <c r="J30" s="95" t="s">
        <v>852</v>
      </c>
      <c r="K30" s="128">
        <v>156</v>
      </c>
      <c r="L30" s="201">
        <v>0</v>
      </c>
      <c r="M30" s="128">
        <f t="shared" si="4"/>
        <v>0</v>
      </c>
      <c r="N30" s="74"/>
      <c r="P30" s="98" t="s">
        <v>0</v>
      </c>
      <c r="Q30" s="18" t="s">
        <v>11</v>
      </c>
      <c r="R30" s="198"/>
      <c r="S30" s="99">
        <f t="shared" si="5"/>
        <v>0</v>
      </c>
      <c r="T30" s="99">
        <v>0</v>
      </c>
      <c r="U30" s="99">
        <f t="shared" si="6"/>
        <v>0</v>
      </c>
      <c r="V30" s="99">
        <v>0</v>
      </c>
      <c r="W30" s="100">
        <f t="shared" si="7"/>
        <v>0</v>
      </c>
    </row>
    <row r="31" spans="2:27" s="1" customFormat="1" ht="31.5" customHeight="1">
      <c r="B31" s="73"/>
      <c r="C31" s="102" t="s">
        <v>178</v>
      </c>
      <c r="D31" s="102" t="s">
        <v>171</v>
      </c>
      <c r="E31" s="103" t="s">
        <v>1183</v>
      </c>
      <c r="F31" s="499" t="s">
        <v>1184</v>
      </c>
      <c r="G31" s="499"/>
      <c r="H31" s="499"/>
      <c r="I31" s="499"/>
      <c r="J31" s="104" t="s">
        <v>184</v>
      </c>
      <c r="K31" s="133">
        <v>156</v>
      </c>
      <c r="L31" s="140">
        <v>15.42</v>
      </c>
      <c r="M31" s="133">
        <f t="shared" si="4"/>
        <v>2405.52</v>
      </c>
      <c r="N31" s="74"/>
      <c r="O31" s="1" t="s">
        <v>1179</v>
      </c>
      <c r="P31" s="98" t="s">
        <v>0</v>
      </c>
      <c r="Q31" s="18" t="s">
        <v>11</v>
      </c>
      <c r="R31" s="198"/>
      <c r="S31" s="99">
        <f t="shared" si="5"/>
        <v>0</v>
      </c>
      <c r="T31" s="99">
        <v>2.5000000000000001E-4</v>
      </c>
      <c r="U31" s="99">
        <f t="shared" si="6"/>
        <v>3.9E-2</v>
      </c>
      <c r="V31" s="99">
        <v>0</v>
      </c>
      <c r="W31" s="100">
        <f t="shared" si="7"/>
        <v>0</v>
      </c>
      <c r="Y31" s="1" t="s">
        <v>1185</v>
      </c>
      <c r="AA31" s="1">
        <v>16.93</v>
      </c>
    </row>
    <row r="32" spans="2:27" s="1" customFormat="1" ht="22.5" customHeight="1">
      <c r="B32" s="73"/>
      <c r="C32" s="93" t="s">
        <v>181</v>
      </c>
      <c r="D32" s="93" t="s">
        <v>149</v>
      </c>
      <c r="E32" s="94" t="s">
        <v>1186</v>
      </c>
      <c r="F32" s="498" t="s">
        <v>1187</v>
      </c>
      <c r="G32" s="498"/>
      <c r="H32" s="498"/>
      <c r="I32" s="498"/>
      <c r="J32" s="95" t="s">
        <v>184</v>
      </c>
      <c r="K32" s="128">
        <v>156</v>
      </c>
      <c r="L32" s="201">
        <v>0</v>
      </c>
      <c r="M32" s="128">
        <f t="shared" si="4"/>
        <v>0</v>
      </c>
      <c r="N32" s="74"/>
      <c r="P32" s="98" t="s">
        <v>0</v>
      </c>
      <c r="Q32" s="18" t="s">
        <v>11</v>
      </c>
      <c r="R32" s="198"/>
      <c r="S32" s="99">
        <f t="shared" si="5"/>
        <v>0</v>
      </c>
      <c r="T32" s="99">
        <v>1.0000000000000001E-5</v>
      </c>
      <c r="U32" s="99">
        <f t="shared" si="6"/>
        <v>1.5600000000000002E-3</v>
      </c>
      <c r="V32" s="99">
        <v>0</v>
      </c>
      <c r="W32" s="100">
        <f t="shared" si="7"/>
        <v>0</v>
      </c>
    </row>
    <row r="33" spans="2:27" s="1" customFormat="1" ht="31.5" customHeight="1">
      <c r="B33" s="73"/>
      <c r="C33" s="102" t="s">
        <v>185</v>
      </c>
      <c r="D33" s="102" t="s">
        <v>171</v>
      </c>
      <c r="E33" s="103" t="s">
        <v>1188</v>
      </c>
      <c r="F33" s="499" t="s">
        <v>1189</v>
      </c>
      <c r="G33" s="499"/>
      <c r="H33" s="499"/>
      <c r="I33" s="499"/>
      <c r="J33" s="104" t="s">
        <v>184</v>
      </c>
      <c r="K33" s="133">
        <v>156</v>
      </c>
      <c r="L33" s="140">
        <v>7.19</v>
      </c>
      <c r="M33" s="133">
        <f t="shared" si="4"/>
        <v>1121.6400000000001</v>
      </c>
      <c r="N33" s="74"/>
      <c r="O33" s="1" t="s">
        <v>1179</v>
      </c>
      <c r="P33" s="98" t="s">
        <v>0</v>
      </c>
      <c r="Q33" s="18" t="s">
        <v>11</v>
      </c>
      <c r="R33" s="198"/>
      <c r="S33" s="99">
        <f t="shared" si="5"/>
        <v>0</v>
      </c>
      <c r="T33" s="99">
        <v>4.5000000000000003E-5</v>
      </c>
      <c r="U33" s="99">
        <f t="shared" si="6"/>
        <v>7.0200000000000002E-3</v>
      </c>
      <c r="V33" s="99">
        <v>0</v>
      </c>
      <c r="W33" s="100">
        <f t="shared" si="7"/>
        <v>0</v>
      </c>
      <c r="Y33" s="1" t="s">
        <v>1190</v>
      </c>
      <c r="AA33" s="1">
        <v>7.89</v>
      </c>
    </row>
    <row r="34" spans="2:27" s="1" customFormat="1" ht="31.5" customHeight="1">
      <c r="B34" s="73"/>
      <c r="C34" s="93" t="s">
        <v>169</v>
      </c>
      <c r="D34" s="93" t="s">
        <v>149</v>
      </c>
      <c r="E34" s="94" t="s">
        <v>1191</v>
      </c>
      <c r="F34" s="498" t="s">
        <v>1192</v>
      </c>
      <c r="G34" s="498"/>
      <c r="H34" s="498"/>
      <c r="I34" s="498"/>
      <c r="J34" s="95" t="s">
        <v>883</v>
      </c>
      <c r="K34" s="201">
        <f>SUM(M27:M33)/100</f>
        <v>61.027200000000001</v>
      </c>
      <c r="L34" s="201">
        <v>1.3660620800000001</v>
      </c>
      <c r="M34" s="128">
        <f t="shared" si="4"/>
        <v>83.367000000000004</v>
      </c>
      <c r="N34" s="74"/>
      <c r="P34" s="98" t="s">
        <v>0</v>
      </c>
      <c r="Q34" s="18" t="s">
        <v>11</v>
      </c>
      <c r="R34" s="198"/>
      <c r="S34" s="99">
        <f t="shared" si="5"/>
        <v>0</v>
      </c>
      <c r="T34" s="99">
        <v>0</v>
      </c>
      <c r="U34" s="99">
        <f t="shared" si="6"/>
        <v>0</v>
      </c>
      <c r="V34" s="99">
        <v>0</v>
      </c>
      <c r="W34" s="100">
        <f t="shared" si="7"/>
        <v>0</v>
      </c>
      <c r="AA34" s="1">
        <v>1.5</v>
      </c>
    </row>
    <row r="35" spans="2:27" s="7" customFormat="1" ht="29.85" customHeight="1">
      <c r="B35" s="82"/>
      <c r="C35" s="83"/>
      <c r="D35" s="92" t="s">
        <v>1193</v>
      </c>
      <c r="E35" s="92"/>
      <c r="F35" s="92"/>
      <c r="G35" s="92"/>
      <c r="H35" s="92"/>
      <c r="I35" s="92"/>
      <c r="J35" s="92"/>
      <c r="K35" s="92"/>
      <c r="L35" s="92"/>
      <c r="M35" s="134">
        <f>SUM(M36:M63)</f>
        <v>12473.895999999999</v>
      </c>
      <c r="N35" s="85"/>
      <c r="P35" s="86"/>
      <c r="Q35" s="83"/>
      <c r="R35" s="83"/>
      <c r="S35" s="87">
        <f>SUM(S36:S63)</f>
        <v>0</v>
      </c>
      <c r="T35" s="83"/>
      <c r="U35" s="87">
        <f>SUM(U36:U63)</f>
        <v>2.8631299999999995</v>
      </c>
      <c r="V35" s="83"/>
      <c r="W35" s="88">
        <f>SUM(W36:W63)</f>
        <v>2.5833200000000001</v>
      </c>
    </row>
    <row r="36" spans="2:27" s="1" customFormat="1" ht="31.5" customHeight="1">
      <c r="B36" s="73"/>
      <c r="C36" s="93" t="s">
        <v>641</v>
      </c>
      <c r="D36" s="93" t="s">
        <v>149</v>
      </c>
      <c r="E36" s="94" t="s">
        <v>1194</v>
      </c>
      <c r="F36" s="498" t="s">
        <v>1195</v>
      </c>
      <c r="G36" s="498"/>
      <c r="H36" s="498"/>
      <c r="I36" s="498"/>
      <c r="J36" s="95" t="s">
        <v>184</v>
      </c>
      <c r="K36" s="128">
        <v>109</v>
      </c>
      <c r="L36" s="201">
        <v>2.54</v>
      </c>
      <c r="M36" s="128">
        <f t="shared" ref="M36:M63" si="8">ROUND(L36*K36,3)</f>
        <v>276.86</v>
      </c>
      <c r="N36" s="74"/>
      <c r="P36" s="98" t="s">
        <v>0</v>
      </c>
      <c r="Q36" s="18" t="s">
        <v>11</v>
      </c>
      <c r="R36" s="198"/>
      <c r="S36" s="99">
        <f t="shared" ref="S36:S63" si="9">R36*K36</f>
        <v>0</v>
      </c>
      <c r="T36" s="99">
        <v>5.0000000000000002E-5</v>
      </c>
      <c r="U36" s="99">
        <f t="shared" ref="U36:U63" si="10">T36*K36</f>
        <v>5.45E-3</v>
      </c>
      <c r="V36" s="99">
        <v>1.235E-2</v>
      </c>
      <c r="W36" s="100">
        <f t="shared" ref="W36:W63" si="11">V36*K36</f>
        <v>1.34615</v>
      </c>
      <c r="AA36" s="1">
        <v>2.79</v>
      </c>
    </row>
    <row r="37" spans="2:27" s="1" customFormat="1" ht="31.5" customHeight="1">
      <c r="B37" s="73"/>
      <c r="C37" s="93" t="s">
        <v>195</v>
      </c>
      <c r="D37" s="93" t="s">
        <v>149</v>
      </c>
      <c r="E37" s="94" t="s">
        <v>1196</v>
      </c>
      <c r="F37" s="498" t="s">
        <v>1197</v>
      </c>
      <c r="G37" s="498"/>
      <c r="H37" s="498"/>
      <c r="I37" s="498"/>
      <c r="J37" s="95" t="s">
        <v>184</v>
      </c>
      <c r="K37" s="128">
        <v>44</v>
      </c>
      <c r="L37" s="201">
        <v>2.96</v>
      </c>
      <c r="M37" s="128">
        <f t="shared" si="8"/>
        <v>130.24</v>
      </c>
      <c r="N37" s="74"/>
      <c r="P37" s="98" t="s">
        <v>0</v>
      </c>
      <c r="Q37" s="18" t="s">
        <v>11</v>
      </c>
      <c r="R37" s="198"/>
      <c r="S37" s="99">
        <f t="shared" si="9"/>
        <v>0</v>
      </c>
      <c r="T37" s="99">
        <v>8.0000000000000007E-5</v>
      </c>
      <c r="U37" s="99">
        <f t="shared" si="10"/>
        <v>3.5200000000000001E-3</v>
      </c>
      <c r="V37" s="99">
        <v>2.4930000000000001E-2</v>
      </c>
      <c r="W37" s="100">
        <f t="shared" si="11"/>
        <v>1.0969200000000001</v>
      </c>
      <c r="AA37" s="1">
        <v>3.25</v>
      </c>
    </row>
    <row r="38" spans="2:27" s="1" customFormat="1" ht="44.25" customHeight="1">
      <c r="B38" s="73"/>
      <c r="C38" s="93" t="s">
        <v>199</v>
      </c>
      <c r="D38" s="93" t="s">
        <v>149</v>
      </c>
      <c r="E38" s="94" t="s">
        <v>1198</v>
      </c>
      <c r="F38" s="498" t="s">
        <v>1199</v>
      </c>
      <c r="G38" s="498"/>
      <c r="H38" s="498"/>
      <c r="I38" s="498"/>
      <c r="J38" s="95" t="s">
        <v>184</v>
      </c>
      <c r="K38" s="128">
        <v>3</v>
      </c>
      <c r="L38" s="201">
        <v>3.88</v>
      </c>
      <c r="M38" s="128">
        <f t="shared" si="8"/>
        <v>11.64</v>
      </c>
      <c r="N38" s="74"/>
      <c r="P38" s="98" t="s">
        <v>0</v>
      </c>
      <c r="Q38" s="18" t="s">
        <v>11</v>
      </c>
      <c r="R38" s="198"/>
      <c r="S38" s="99">
        <f t="shared" si="9"/>
        <v>0</v>
      </c>
      <c r="T38" s="99">
        <v>8.0000000000000007E-5</v>
      </c>
      <c r="U38" s="99">
        <f t="shared" si="10"/>
        <v>2.4000000000000003E-4</v>
      </c>
      <c r="V38" s="99">
        <v>4.675E-2</v>
      </c>
      <c r="W38" s="100">
        <f t="shared" si="11"/>
        <v>0.14024999999999999</v>
      </c>
      <c r="AA38" s="1">
        <v>4.26</v>
      </c>
    </row>
    <row r="39" spans="2:27" s="1" customFormat="1" ht="31.5" customHeight="1">
      <c r="B39" s="73"/>
      <c r="C39" s="93" t="s">
        <v>200</v>
      </c>
      <c r="D39" s="93" t="s">
        <v>149</v>
      </c>
      <c r="E39" s="94" t="s">
        <v>1200</v>
      </c>
      <c r="F39" s="498" t="s">
        <v>1201</v>
      </c>
      <c r="G39" s="498"/>
      <c r="H39" s="498"/>
      <c r="I39" s="498"/>
      <c r="J39" s="95" t="s">
        <v>184</v>
      </c>
      <c r="K39" s="128">
        <v>156</v>
      </c>
      <c r="L39" s="201">
        <v>1.43</v>
      </c>
      <c r="M39" s="128">
        <f t="shared" si="8"/>
        <v>223.08</v>
      </c>
      <c r="N39" s="74"/>
      <c r="P39" s="98" t="s">
        <v>0</v>
      </c>
      <c r="Q39" s="18" t="s">
        <v>11</v>
      </c>
      <c r="R39" s="198"/>
      <c r="S39" s="99">
        <f t="shared" si="9"/>
        <v>0</v>
      </c>
      <c r="T39" s="99">
        <v>5.0000000000000002E-5</v>
      </c>
      <c r="U39" s="99">
        <f t="shared" si="10"/>
        <v>7.8000000000000005E-3</v>
      </c>
      <c r="V39" s="99">
        <v>0</v>
      </c>
      <c r="W39" s="100">
        <f t="shared" si="11"/>
        <v>0</v>
      </c>
      <c r="AA39" s="1">
        <v>1.57</v>
      </c>
    </row>
    <row r="40" spans="2:27" s="1" customFormat="1" ht="31.5" customHeight="1">
      <c r="B40" s="73"/>
      <c r="C40" s="93" t="s">
        <v>1</v>
      </c>
      <c r="D40" s="93" t="s">
        <v>149</v>
      </c>
      <c r="E40" s="94" t="s">
        <v>1202</v>
      </c>
      <c r="F40" s="498" t="s">
        <v>1203</v>
      </c>
      <c r="G40" s="498"/>
      <c r="H40" s="498"/>
      <c r="I40" s="498"/>
      <c r="J40" s="95" t="s">
        <v>184</v>
      </c>
      <c r="K40" s="128">
        <v>82</v>
      </c>
      <c r="L40" s="201">
        <v>6.32</v>
      </c>
      <c r="M40" s="128">
        <f t="shared" si="8"/>
        <v>518.24</v>
      </c>
      <c r="N40" s="74"/>
      <c r="P40" s="98" t="s">
        <v>0</v>
      </c>
      <c r="Q40" s="18" t="s">
        <v>11</v>
      </c>
      <c r="R40" s="198"/>
      <c r="S40" s="99">
        <f t="shared" si="9"/>
        <v>0</v>
      </c>
      <c r="T40" s="99">
        <v>2.0000000000000002E-5</v>
      </c>
      <c r="U40" s="99">
        <f t="shared" si="10"/>
        <v>1.6400000000000002E-3</v>
      </c>
      <c r="V40" s="99">
        <v>0</v>
      </c>
      <c r="W40" s="100">
        <f t="shared" si="11"/>
        <v>0</v>
      </c>
      <c r="AA40" s="1">
        <v>6.94</v>
      </c>
    </row>
    <row r="41" spans="2:27" s="1" customFormat="1" ht="31.5" customHeight="1">
      <c r="B41" s="73"/>
      <c r="C41" s="102" t="s">
        <v>205</v>
      </c>
      <c r="D41" s="102" t="s">
        <v>171</v>
      </c>
      <c r="E41" s="103" t="s">
        <v>1204</v>
      </c>
      <c r="F41" s="499" t="s">
        <v>1205</v>
      </c>
      <c r="G41" s="499"/>
      <c r="H41" s="499"/>
      <c r="I41" s="499"/>
      <c r="J41" s="104" t="s">
        <v>184</v>
      </c>
      <c r="K41" s="133">
        <v>39</v>
      </c>
      <c r="L41" s="140">
        <v>43.99</v>
      </c>
      <c r="M41" s="133">
        <f t="shared" si="8"/>
        <v>1715.61</v>
      </c>
      <c r="N41" s="74"/>
      <c r="O41" s="115" t="s">
        <v>1206</v>
      </c>
      <c r="P41" s="98" t="s">
        <v>0</v>
      </c>
      <c r="Q41" s="18" t="s">
        <v>11</v>
      </c>
      <c r="R41" s="198"/>
      <c r="S41" s="99">
        <f t="shared" si="9"/>
        <v>0</v>
      </c>
      <c r="T41" s="99">
        <v>1.4999999999999999E-2</v>
      </c>
      <c r="U41" s="99">
        <f t="shared" si="10"/>
        <v>0.58499999999999996</v>
      </c>
      <c r="V41" s="99">
        <v>0</v>
      </c>
      <c r="W41" s="100">
        <f t="shared" si="11"/>
        <v>0</v>
      </c>
      <c r="Y41" s="1" t="s">
        <v>1207</v>
      </c>
      <c r="AA41" s="1">
        <v>48.3</v>
      </c>
    </row>
    <row r="42" spans="2:27" s="1" customFormat="1" ht="31.5" customHeight="1">
      <c r="B42" s="73"/>
      <c r="C42" s="102" t="s">
        <v>208</v>
      </c>
      <c r="D42" s="102" t="s">
        <v>171</v>
      </c>
      <c r="E42" s="103" t="s">
        <v>1208</v>
      </c>
      <c r="F42" s="499" t="s">
        <v>1209</v>
      </c>
      <c r="G42" s="499"/>
      <c r="H42" s="499"/>
      <c r="I42" s="499"/>
      <c r="J42" s="104" t="s">
        <v>184</v>
      </c>
      <c r="K42" s="133">
        <v>29</v>
      </c>
      <c r="L42" s="140">
        <v>49.72</v>
      </c>
      <c r="M42" s="133">
        <f t="shared" si="8"/>
        <v>1441.88</v>
      </c>
      <c r="N42" s="74"/>
      <c r="O42" s="115" t="s">
        <v>1206</v>
      </c>
      <c r="P42" s="98" t="s">
        <v>0</v>
      </c>
      <c r="Q42" s="18" t="s">
        <v>11</v>
      </c>
      <c r="R42" s="198"/>
      <c r="S42" s="99">
        <f t="shared" si="9"/>
        <v>0</v>
      </c>
      <c r="T42" s="99">
        <v>1.4999999999999999E-2</v>
      </c>
      <c r="U42" s="99">
        <f t="shared" si="10"/>
        <v>0.435</v>
      </c>
      <c r="V42" s="99">
        <v>0</v>
      </c>
      <c r="W42" s="100">
        <f t="shared" si="11"/>
        <v>0</v>
      </c>
      <c r="Y42" s="1" t="s">
        <v>1207</v>
      </c>
      <c r="AA42" s="1">
        <v>54.6</v>
      </c>
    </row>
    <row r="43" spans="2:27" s="1" customFormat="1" ht="31.5" customHeight="1">
      <c r="B43" s="73"/>
      <c r="C43" s="102" t="s">
        <v>211</v>
      </c>
      <c r="D43" s="102" t="s">
        <v>171</v>
      </c>
      <c r="E43" s="103" t="s">
        <v>1210</v>
      </c>
      <c r="F43" s="499" t="s">
        <v>1211</v>
      </c>
      <c r="G43" s="499"/>
      <c r="H43" s="499"/>
      <c r="I43" s="499"/>
      <c r="J43" s="104" t="s">
        <v>184</v>
      </c>
      <c r="K43" s="133">
        <v>14</v>
      </c>
      <c r="L43" s="140">
        <v>54.46</v>
      </c>
      <c r="M43" s="133">
        <f t="shared" si="8"/>
        <v>762.44</v>
      </c>
      <c r="N43" s="74"/>
      <c r="O43" s="115" t="s">
        <v>1206</v>
      </c>
      <c r="P43" s="98" t="s">
        <v>0</v>
      </c>
      <c r="Q43" s="18" t="s">
        <v>11</v>
      </c>
      <c r="R43" s="198"/>
      <c r="S43" s="99">
        <f t="shared" si="9"/>
        <v>0</v>
      </c>
      <c r="T43" s="99">
        <v>1.4999999999999999E-2</v>
      </c>
      <c r="U43" s="99">
        <f t="shared" si="10"/>
        <v>0.21</v>
      </c>
      <c r="V43" s="99">
        <v>0</v>
      </c>
      <c r="W43" s="100">
        <f t="shared" si="11"/>
        <v>0</v>
      </c>
      <c r="Y43" s="1" t="s">
        <v>1207</v>
      </c>
      <c r="AA43" s="1">
        <v>59.8</v>
      </c>
    </row>
    <row r="44" spans="2:27" s="1" customFormat="1" ht="31.5" customHeight="1">
      <c r="B44" s="73"/>
      <c r="C44" s="93" t="s">
        <v>214</v>
      </c>
      <c r="D44" s="93" t="s">
        <v>149</v>
      </c>
      <c r="E44" s="94" t="s">
        <v>1212</v>
      </c>
      <c r="F44" s="498" t="s">
        <v>1213</v>
      </c>
      <c r="G44" s="498"/>
      <c r="H44" s="498"/>
      <c r="I44" s="498"/>
      <c r="J44" s="95" t="s">
        <v>184</v>
      </c>
      <c r="K44" s="128">
        <v>26</v>
      </c>
      <c r="L44" s="201">
        <v>6.66</v>
      </c>
      <c r="M44" s="128">
        <f t="shared" si="8"/>
        <v>173.16</v>
      </c>
      <c r="N44" s="74"/>
      <c r="P44" s="98" t="s">
        <v>0</v>
      </c>
      <c r="Q44" s="18" t="s">
        <v>11</v>
      </c>
      <c r="R44" s="198"/>
      <c r="S44" s="99">
        <f t="shared" si="9"/>
        <v>0</v>
      </c>
      <c r="T44" s="99">
        <v>2.0000000000000002E-5</v>
      </c>
      <c r="U44" s="99">
        <f t="shared" si="10"/>
        <v>5.2000000000000006E-4</v>
      </c>
      <c r="V44" s="99">
        <v>0</v>
      </c>
      <c r="W44" s="100">
        <f t="shared" si="11"/>
        <v>0</v>
      </c>
      <c r="AA44" s="1">
        <v>7.32</v>
      </c>
    </row>
    <row r="45" spans="2:27" s="1" customFormat="1" ht="31.5" customHeight="1">
      <c r="B45" s="73"/>
      <c r="C45" s="102" t="s">
        <v>217</v>
      </c>
      <c r="D45" s="102" t="s">
        <v>171</v>
      </c>
      <c r="E45" s="103" t="s">
        <v>1214</v>
      </c>
      <c r="F45" s="499" t="s">
        <v>1215</v>
      </c>
      <c r="G45" s="499"/>
      <c r="H45" s="499"/>
      <c r="I45" s="499"/>
      <c r="J45" s="104" t="s">
        <v>184</v>
      </c>
      <c r="K45" s="133">
        <v>18</v>
      </c>
      <c r="L45" s="140">
        <v>61.56</v>
      </c>
      <c r="M45" s="133">
        <f t="shared" si="8"/>
        <v>1108.08</v>
      </c>
      <c r="N45" s="74"/>
      <c r="O45" s="115" t="s">
        <v>1206</v>
      </c>
      <c r="P45" s="98" t="s">
        <v>0</v>
      </c>
      <c r="Q45" s="18" t="s">
        <v>11</v>
      </c>
      <c r="R45" s="198"/>
      <c r="S45" s="99">
        <f t="shared" si="9"/>
        <v>0</v>
      </c>
      <c r="T45" s="99">
        <v>1.4999999999999999E-2</v>
      </c>
      <c r="U45" s="99">
        <f t="shared" si="10"/>
        <v>0.27</v>
      </c>
      <c r="V45" s="99">
        <v>0</v>
      </c>
      <c r="W45" s="100">
        <f t="shared" si="11"/>
        <v>0</v>
      </c>
      <c r="Y45" s="1" t="s">
        <v>1207</v>
      </c>
      <c r="AA45" s="1">
        <v>67.599999999999994</v>
      </c>
    </row>
    <row r="46" spans="2:27" s="1" customFormat="1" ht="31.5" customHeight="1">
      <c r="B46" s="73"/>
      <c r="C46" s="102" t="s">
        <v>220</v>
      </c>
      <c r="D46" s="102" t="s">
        <v>171</v>
      </c>
      <c r="E46" s="103" t="s">
        <v>1216</v>
      </c>
      <c r="F46" s="499" t="s">
        <v>1217</v>
      </c>
      <c r="G46" s="499"/>
      <c r="H46" s="499"/>
      <c r="I46" s="499"/>
      <c r="J46" s="104" t="s">
        <v>184</v>
      </c>
      <c r="K46" s="133">
        <v>1</v>
      </c>
      <c r="L46" s="140">
        <v>67.58</v>
      </c>
      <c r="M46" s="133">
        <f t="shared" si="8"/>
        <v>67.58</v>
      </c>
      <c r="N46" s="74"/>
      <c r="O46" s="115" t="s">
        <v>1206</v>
      </c>
      <c r="P46" s="98" t="s">
        <v>0</v>
      </c>
      <c r="Q46" s="18" t="s">
        <v>11</v>
      </c>
      <c r="R46" s="198"/>
      <c r="S46" s="99">
        <f t="shared" si="9"/>
        <v>0</v>
      </c>
      <c r="T46" s="99">
        <v>1.4999999999999999E-2</v>
      </c>
      <c r="U46" s="99">
        <f t="shared" si="10"/>
        <v>1.4999999999999999E-2</v>
      </c>
      <c r="V46" s="99">
        <v>0</v>
      </c>
      <c r="W46" s="100">
        <f t="shared" si="11"/>
        <v>0</v>
      </c>
      <c r="Y46" s="1" t="s">
        <v>1207</v>
      </c>
      <c r="AA46" s="1">
        <v>74.2</v>
      </c>
    </row>
    <row r="47" spans="2:27" s="1" customFormat="1" ht="31.5" customHeight="1">
      <c r="B47" s="73"/>
      <c r="C47" s="102" t="s">
        <v>223</v>
      </c>
      <c r="D47" s="102" t="s">
        <v>171</v>
      </c>
      <c r="E47" s="103" t="s">
        <v>1218</v>
      </c>
      <c r="F47" s="499" t="s">
        <v>1219</v>
      </c>
      <c r="G47" s="499"/>
      <c r="H47" s="499"/>
      <c r="I47" s="499"/>
      <c r="J47" s="104" t="s">
        <v>184</v>
      </c>
      <c r="K47" s="133">
        <v>7</v>
      </c>
      <c r="L47" s="140">
        <v>71.86</v>
      </c>
      <c r="M47" s="133">
        <f t="shared" si="8"/>
        <v>503.02</v>
      </c>
      <c r="N47" s="74"/>
      <c r="O47" s="115" t="s">
        <v>1206</v>
      </c>
      <c r="P47" s="98" t="s">
        <v>0</v>
      </c>
      <c r="Q47" s="18" t="s">
        <v>11</v>
      </c>
      <c r="R47" s="198"/>
      <c r="S47" s="99">
        <f t="shared" si="9"/>
        <v>0</v>
      </c>
      <c r="T47" s="99">
        <v>1.4999999999999999E-2</v>
      </c>
      <c r="U47" s="99">
        <f t="shared" si="10"/>
        <v>0.105</v>
      </c>
      <c r="V47" s="99">
        <v>0</v>
      </c>
      <c r="W47" s="100">
        <f t="shared" si="11"/>
        <v>0</v>
      </c>
      <c r="Y47" s="1" t="s">
        <v>1207</v>
      </c>
      <c r="AA47" s="1">
        <v>78.900000000000006</v>
      </c>
    </row>
    <row r="48" spans="2:27" s="1" customFormat="1" ht="44.25" customHeight="1">
      <c r="B48" s="73"/>
      <c r="C48" s="93" t="s">
        <v>226</v>
      </c>
      <c r="D48" s="93" t="s">
        <v>149</v>
      </c>
      <c r="E48" s="94" t="s">
        <v>1220</v>
      </c>
      <c r="F48" s="498" t="s">
        <v>1221</v>
      </c>
      <c r="G48" s="498"/>
      <c r="H48" s="498"/>
      <c r="I48" s="498"/>
      <c r="J48" s="95" t="s">
        <v>184</v>
      </c>
      <c r="K48" s="128">
        <v>1</v>
      </c>
      <c r="L48" s="201">
        <v>7.11</v>
      </c>
      <c r="M48" s="128">
        <f t="shared" si="8"/>
        <v>7.11</v>
      </c>
      <c r="N48" s="74"/>
      <c r="P48" s="98" t="s">
        <v>0</v>
      </c>
      <c r="Q48" s="18" t="s">
        <v>11</v>
      </c>
      <c r="R48" s="198"/>
      <c r="S48" s="99">
        <f t="shared" si="9"/>
        <v>0</v>
      </c>
      <c r="T48" s="99">
        <v>2.0000000000000002E-5</v>
      </c>
      <c r="U48" s="99">
        <f t="shared" si="10"/>
        <v>2.0000000000000002E-5</v>
      </c>
      <c r="V48" s="99">
        <v>0</v>
      </c>
      <c r="W48" s="100">
        <f t="shared" si="11"/>
        <v>0</v>
      </c>
      <c r="AA48" s="1">
        <v>7.81</v>
      </c>
    </row>
    <row r="49" spans="2:27" s="1" customFormat="1" ht="31.5" customHeight="1">
      <c r="B49" s="73"/>
      <c r="C49" s="102" t="s">
        <v>232</v>
      </c>
      <c r="D49" s="102" t="s">
        <v>171</v>
      </c>
      <c r="E49" s="103" t="s">
        <v>1222</v>
      </c>
      <c r="F49" s="499" t="s">
        <v>1223</v>
      </c>
      <c r="G49" s="499"/>
      <c r="H49" s="499"/>
      <c r="I49" s="499"/>
      <c r="J49" s="104" t="s">
        <v>184</v>
      </c>
      <c r="K49" s="133">
        <v>1</v>
      </c>
      <c r="L49" s="140">
        <v>82.69</v>
      </c>
      <c r="M49" s="133">
        <f t="shared" si="8"/>
        <v>82.69</v>
      </c>
      <c r="N49" s="74"/>
      <c r="O49" s="115" t="s">
        <v>1206</v>
      </c>
      <c r="P49" s="98" t="s">
        <v>0</v>
      </c>
      <c r="Q49" s="18" t="s">
        <v>11</v>
      </c>
      <c r="R49" s="198"/>
      <c r="S49" s="99">
        <f t="shared" si="9"/>
        <v>0</v>
      </c>
      <c r="T49" s="99">
        <v>1.4999999999999999E-2</v>
      </c>
      <c r="U49" s="99">
        <f t="shared" si="10"/>
        <v>1.4999999999999999E-2</v>
      </c>
      <c r="V49" s="99">
        <v>0</v>
      </c>
      <c r="W49" s="100">
        <f t="shared" si="11"/>
        <v>0</v>
      </c>
      <c r="Y49" s="1" t="s">
        <v>1207</v>
      </c>
      <c r="AA49" s="1">
        <v>90.8</v>
      </c>
    </row>
    <row r="50" spans="2:27" s="1" customFormat="1" ht="31.5" customHeight="1">
      <c r="B50" s="73"/>
      <c r="C50" s="93" t="s">
        <v>478</v>
      </c>
      <c r="D50" s="93" t="s">
        <v>149</v>
      </c>
      <c r="E50" s="94" t="s">
        <v>1224</v>
      </c>
      <c r="F50" s="498" t="s">
        <v>1225</v>
      </c>
      <c r="G50" s="498"/>
      <c r="H50" s="498"/>
      <c r="I50" s="498"/>
      <c r="J50" s="95" t="s">
        <v>184</v>
      </c>
      <c r="K50" s="128">
        <v>40</v>
      </c>
      <c r="L50" s="201">
        <v>6.95</v>
      </c>
      <c r="M50" s="128">
        <f t="shared" si="8"/>
        <v>278</v>
      </c>
      <c r="N50" s="74"/>
      <c r="P50" s="98" t="s">
        <v>0</v>
      </c>
      <c r="Q50" s="18" t="s">
        <v>11</v>
      </c>
      <c r="R50" s="198"/>
      <c r="S50" s="99">
        <f t="shared" si="9"/>
        <v>0</v>
      </c>
      <c r="T50" s="99">
        <v>2.0000000000000002E-5</v>
      </c>
      <c r="U50" s="99">
        <f t="shared" si="10"/>
        <v>8.0000000000000004E-4</v>
      </c>
      <c r="V50" s="99">
        <v>0</v>
      </c>
      <c r="W50" s="100">
        <f t="shared" si="11"/>
        <v>0</v>
      </c>
      <c r="AA50" s="1">
        <v>7.63</v>
      </c>
    </row>
    <row r="51" spans="2:27" s="1" customFormat="1" ht="31.5" customHeight="1">
      <c r="B51" s="73"/>
      <c r="C51" s="102" t="s">
        <v>632</v>
      </c>
      <c r="D51" s="102" t="s">
        <v>171</v>
      </c>
      <c r="E51" s="103" t="s">
        <v>1226</v>
      </c>
      <c r="F51" s="499" t="s">
        <v>1227</v>
      </c>
      <c r="G51" s="499"/>
      <c r="H51" s="499"/>
      <c r="I51" s="499"/>
      <c r="J51" s="104" t="s">
        <v>184</v>
      </c>
      <c r="K51" s="133">
        <v>8</v>
      </c>
      <c r="L51" s="140">
        <v>72.84</v>
      </c>
      <c r="M51" s="133">
        <f t="shared" si="8"/>
        <v>582.72</v>
      </c>
      <c r="N51" s="74"/>
      <c r="O51" s="115" t="s">
        <v>1206</v>
      </c>
      <c r="P51" s="98" t="s">
        <v>0</v>
      </c>
      <c r="Q51" s="18" t="s">
        <v>11</v>
      </c>
      <c r="R51" s="198"/>
      <c r="S51" s="99">
        <f t="shared" si="9"/>
        <v>0</v>
      </c>
      <c r="T51" s="99">
        <v>1.4999999999999999E-2</v>
      </c>
      <c r="U51" s="99">
        <f t="shared" si="10"/>
        <v>0.12</v>
      </c>
      <c r="V51" s="99">
        <v>0</v>
      </c>
      <c r="W51" s="100">
        <f t="shared" si="11"/>
        <v>0</v>
      </c>
      <c r="Y51" s="1" t="s">
        <v>1228</v>
      </c>
      <c r="AA51" s="1">
        <v>79.98</v>
      </c>
    </row>
    <row r="52" spans="2:27" s="1" customFormat="1" ht="31.5" customHeight="1">
      <c r="B52" s="73"/>
      <c r="C52" s="102" t="s">
        <v>706</v>
      </c>
      <c r="D52" s="102" t="s">
        <v>171</v>
      </c>
      <c r="E52" s="103" t="s">
        <v>1229</v>
      </c>
      <c r="F52" s="499" t="s">
        <v>1230</v>
      </c>
      <c r="G52" s="499"/>
      <c r="H52" s="499"/>
      <c r="I52" s="499"/>
      <c r="J52" s="104" t="s">
        <v>184</v>
      </c>
      <c r="K52" s="133">
        <v>2</v>
      </c>
      <c r="L52" s="140">
        <v>80.53</v>
      </c>
      <c r="M52" s="133">
        <f t="shared" si="8"/>
        <v>161.06</v>
      </c>
      <c r="N52" s="74"/>
      <c r="O52" s="115" t="s">
        <v>1206</v>
      </c>
      <c r="P52" s="98" t="s">
        <v>0</v>
      </c>
      <c r="Q52" s="18" t="s">
        <v>11</v>
      </c>
      <c r="R52" s="198"/>
      <c r="S52" s="99">
        <f t="shared" si="9"/>
        <v>0</v>
      </c>
      <c r="T52" s="99">
        <v>2.5999999999999999E-2</v>
      </c>
      <c r="U52" s="99">
        <f t="shared" si="10"/>
        <v>5.1999999999999998E-2</v>
      </c>
      <c r="V52" s="99">
        <v>0</v>
      </c>
      <c r="W52" s="100">
        <f t="shared" si="11"/>
        <v>0</v>
      </c>
      <c r="Y52" s="1" t="s">
        <v>1228</v>
      </c>
      <c r="AA52" s="1">
        <v>88.42</v>
      </c>
    </row>
    <row r="53" spans="2:27" s="1" customFormat="1" ht="31.5" customHeight="1">
      <c r="B53" s="73"/>
      <c r="C53" s="102" t="s">
        <v>479</v>
      </c>
      <c r="D53" s="102" t="s">
        <v>171</v>
      </c>
      <c r="E53" s="103" t="s">
        <v>1231</v>
      </c>
      <c r="F53" s="499" t="s">
        <v>1232</v>
      </c>
      <c r="G53" s="499"/>
      <c r="H53" s="499"/>
      <c r="I53" s="499"/>
      <c r="J53" s="104" t="s">
        <v>184</v>
      </c>
      <c r="K53" s="133">
        <v>30</v>
      </c>
      <c r="L53" s="140">
        <v>87.92</v>
      </c>
      <c r="M53" s="133">
        <f t="shared" si="8"/>
        <v>2637.6</v>
      </c>
      <c r="N53" s="74"/>
      <c r="O53" s="115" t="s">
        <v>1206</v>
      </c>
      <c r="P53" s="98" t="s">
        <v>0</v>
      </c>
      <c r="Q53" s="18" t="s">
        <v>11</v>
      </c>
      <c r="R53" s="198"/>
      <c r="S53" s="99">
        <f t="shared" si="9"/>
        <v>0</v>
      </c>
      <c r="T53" s="99">
        <v>2.8000000000000001E-2</v>
      </c>
      <c r="U53" s="99">
        <f t="shared" si="10"/>
        <v>0.84</v>
      </c>
      <c r="V53" s="99">
        <v>0</v>
      </c>
      <c r="W53" s="100">
        <f t="shared" si="11"/>
        <v>0</v>
      </c>
      <c r="Y53" s="1" t="s">
        <v>1228</v>
      </c>
      <c r="AA53" s="1">
        <v>96.56</v>
      </c>
    </row>
    <row r="54" spans="2:27" s="1" customFormat="1" ht="44.25" customHeight="1">
      <c r="B54" s="73"/>
      <c r="C54" s="93" t="s">
        <v>480</v>
      </c>
      <c r="D54" s="93" t="s">
        <v>149</v>
      </c>
      <c r="E54" s="94" t="s">
        <v>1233</v>
      </c>
      <c r="F54" s="498" t="s">
        <v>1234</v>
      </c>
      <c r="G54" s="498"/>
      <c r="H54" s="498"/>
      <c r="I54" s="498"/>
      <c r="J54" s="95" t="s">
        <v>184</v>
      </c>
      <c r="K54" s="128">
        <v>3</v>
      </c>
      <c r="L54" s="201">
        <v>7.27</v>
      </c>
      <c r="M54" s="128">
        <f t="shared" si="8"/>
        <v>21.81</v>
      </c>
      <c r="N54" s="74"/>
      <c r="P54" s="98" t="s">
        <v>0</v>
      </c>
      <c r="Q54" s="18" t="s">
        <v>11</v>
      </c>
      <c r="R54" s="198"/>
      <c r="S54" s="99">
        <f t="shared" si="9"/>
        <v>0</v>
      </c>
      <c r="T54" s="99">
        <v>2.0000000000000002E-5</v>
      </c>
      <c r="U54" s="99">
        <f t="shared" si="10"/>
        <v>6.0000000000000008E-5</v>
      </c>
      <c r="V54" s="99">
        <v>0</v>
      </c>
      <c r="W54" s="100">
        <f t="shared" si="11"/>
        <v>0</v>
      </c>
      <c r="AA54" s="1">
        <v>7.98</v>
      </c>
    </row>
    <row r="55" spans="2:27" s="1" customFormat="1" ht="31.5" customHeight="1">
      <c r="B55" s="73"/>
      <c r="C55" s="102" t="s">
        <v>635</v>
      </c>
      <c r="D55" s="102" t="s">
        <v>171</v>
      </c>
      <c r="E55" s="103" t="s">
        <v>1235</v>
      </c>
      <c r="F55" s="499" t="s">
        <v>1236</v>
      </c>
      <c r="G55" s="499"/>
      <c r="H55" s="499"/>
      <c r="I55" s="499"/>
      <c r="J55" s="104" t="s">
        <v>184</v>
      </c>
      <c r="K55" s="133">
        <v>3</v>
      </c>
      <c r="L55" s="140">
        <v>95.5</v>
      </c>
      <c r="M55" s="133">
        <f t="shared" si="8"/>
        <v>286.5</v>
      </c>
      <c r="N55" s="74"/>
      <c r="O55" s="115" t="s">
        <v>1206</v>
      </c>
      <c r="P55" s="98" t="s">
        <v>0</v>
      </c>
      <c r="Q55" s="18" t="s">
        <v>11</v>
      </c>
      <c r="R55" s="198"/>
      <c r="S55" s="99">
        <f t="shared" si="9"/>
        <v>0</v>
      </c>
      <c r="T55" s="99">
        <v>2.8000000000000001E-2</v>
      </c>
      <c r="U55" s="99">
        <f t="shared" si="10"/>
        <v>8.4000000000000005E-2</v>
      </c>
      <c r="V55" s="99">
        <v>0</v>
      </c>
      <c r="W55" s="100">
        <f t="shared" si="11"/>
        <v>0</v>
      </c>
      <c r="Y55" s="1" t="s">
        <v>1228</v>
      </c>
      <c r="AA55" s="1">
        <v>104.87</v>
      </c>
    </row>
    <row r="56" spans="2:27" s="1" customFormat="1" ht="44.25" customHeight="1">
      <c r="B56" s="73"/>
      <c r="C56" s="93" t="s">
        <v>617</v>
      </c>
      <c r="D56" s="93" t="s">
        <v>149</v>
      </c>
      <c r="E56" s="94" t="s">
        <v>1237</v>
      </c>
      <c r="F56" s="498" t="s">
        <v>1238</v>
      </c>
      <c r="G56" s="498"/>
      <c r="H56" s="498"/>
      <c r="I56" s="498"/>
      <c r="J56" s="95" t="s">
        <v>184</v>
      </c>
      <c r="K56" s="128">
        <v>2</v>
      </c>
      <c r="L56" s="201">
        <v>8.15</v>
      </c>
      <c r="M56" s="128">
        <f t="shared" si="8"/>
        <v>16.3</v>
      </c>
      <c r="N56" s="74"/>
      <c r="P56" s="98" t="s">
        <v>0</v>
      </c>
      <c r="Q56" s="18" t="s">
        <v>11</v>
      </c>
      <c r="R56" s="198"/>
      <c r="S56" s="99">
        <f t="shared" si="9"/>
        <v>0</v>
      </c>
      <c r="T56" s="99">
        <v>2.0000000000000002E-5</v>
      </c>
      <c r="U56" s="99">
        <f t="shared" si="10"/>
        <v>4.0000000000000003E-5</v>
      </c>
      <c r="V56" s="99">
        <v>0</v>
      </c>
      <c r="W56" s="100">
        <f t="shared" si="11"/>
        <v>0</v>
      </c>
      <c r="AA56" s="1">
        <v>8.9499999999999993</v>
      </c>
    </row>
    <row r="57" spans="2:27" s="1" customFormat="1" ht="31.5" customHeight="1">
      <c r="B57" s="73"/>
      <c r="C57" s="102" t="s">
        <v>713</v>
      </c>
      <c r="D57" s="102" t="s">
        <v>171</v>
      </c>
      <c r="E57" s="103" t="s">
        <v>1239</v>
      </c>
      <c r="F57" s="499" t="s">
        <v>1240</v>
      </c>
      <c r="G57" s="499"/>
      <c r="H57" s="499"/>
      <c r="I57" s="499"/>
      <c r="J57" s="104" t="s">
        <v>184</v>
      </c>
      <c r="K57" s="133">
        <v>1</v>
      </c>
      <c r="L57" s="140">
        <v>125.39</v>
      </c>
      <c r="M57" s="133">
        <f t="shared" si="8"/>
        <v>125.39</v>
      </c>
      <c r="N57" s="74"/>
      <c r="O57" s="115" t="s">
        <v>1206</v>
      </c>
      <c r="P57" s="98" t="s">
        <v>0</v>
      </c>
      <c r="Q57" s="18" t="s">
        <v>11</v>
      </c>
      <c r="R57" s="198"/>
      <c r="S57" s="99">
        <f t="shared" si="9"/>
        <v>0</v>
      </c>
      <c r="T57" s="99">
        <v>2.8000000000000001E-2</v>
      </c>
      <c r="U57" s="99">
        <f t="shared" si="10"/>
        <v>2.8000000000000001E-2</v>
      </c>
      <c r="V57" s="99">
        <v>0</v>
      </c>
      <c r="W57" s="100">
        <f t="shared" si="11"/>
        <v>0</v>
      </c>
      <c r="Y57" s="1" t="s">
        <v>1241</v>
      </c>
      <c r="AA57" s="1">
        <v>137.68</v>
      </c>
    </row>
    <row r="58" spans="2:27" s="1" customFormat="1" ht="31.5" customHeight="1">
      <c r="B58" s="73"/>
      <c r="C58" s="102" t="s">
        <v>674</v>
      </c>
      <c r="D58" s="102" t="s">
        <v>171</v>
      </c>
      <c r="E58" s="103" t="s">
        <v>1242</v>
      </c>
      <c r="F58" s="499" t="s">
        <v>1243</v>
      </c>
      <c r="G58" s="499"/>
      <c r="H58" s="499"/>
      <c r="I58" s="499"/>
      <c r="J58" s="104" t="s">
        <v>184</v>
      </c>
      <c r="K58" s="133">
        <v>1</v>
      </c>
      <c r="L58" s="140">
        <v>140.66</v>
      </c>
      <c r="M58" s="133">
        <f t="shared" si="8"/>
        <v>140.66</v>
      </c>
      <c r="N58" s="74"/>
      <c r="O58" s="115" t="s">
        <v>1206</v>
      </c>
      <c r="P58" s="98" t="s">
        <v>0</v>
      </c>
      <c r="Q58" s="18" t="s">
        <v>11</v>
      </c>
      <c r="R58" s="198"/>
      <c r="S58" s="99">
        <f t="shared" si="9"/>
        <v>0</v>
      </c>
      <c r="T58" s="99">
        <v>2.8000000000000001E-2</v>
      </c>
      <c r="U58" s="99">
        <f t="shared" si="10"/>
        <v>2.8000000000000001E-2</v>
      </c>
      <c r="V58" s="99">
        <v>0</v>
      </c>
      <c r="W58" s="100">
        <f t="shared" si="11"/>
        <v>0</v>
      </c>
      <c r="Y58" s="1" t="s">
        <v>1241</v>
      </c>
      <c r="AA58" s="1">
        <v>154.44999999999999</v>
      </c>
    </row>
    <row r="59" spans="2:27" s="1" customFormat="1" ht="44.25" customHeight="1">
      <c r="B59" s="73"/>
      <c r="C59" s="93" t="s">
        <v>638</v>
      </c>
      <c r="D59" s="93" t="s">
        <v>149</v>
      </c>
      <c r="E59" s="94" t="s">
        <v>1244</v>
      </c>
      <c r="F59" s="498" t="s">
        <v>1245</v>
      </c>
      <c r="G59" s="498"/>
      <c r="H59" s="498"/>
      <c r="I59" s="498"/>
      <c r="J59" s="95" t="s">
        <v>184</v>
      </c>
      <c r="K59" s="128">
        <v>2</v>
      </c>
      <c r="L59" s="201">
        <v>9.89</v>
      </c>
      <c r="M59" s="128">
        <f t="shared" si="8"/>
        <v>19.78</v>
      </c>
      <c r="N59" s="74"/>
      <c r="P59" s="98" t="s">
        <v>0</v>
      </c>
      <c r="Q59" s="18" t="s">
        <v>11</v>
      </c>
      <c r="R59" s="198"/>
      <c r="S59" s="99">
        <f t="shared" si="9"/>
        <v>0</v>
      </c>
      <c r="T59" s="99">
        <v>2.0000000000000002E-5</v>
      </c>
      <c r="U59" s="99">
        <f t="shared" si="10"/>
        <v>4.0000000000000003E-5</v>
      </c>
      <c r="V59" s="99">
        <v>0</v>
      </c>
      <c r="W59" s="100">
        <f t="shared" si="11"/>
        <v>0</v>
      </c>
      <c r="AA59" s="1">
        <v>10.86</v>
      </c>
    </row>
    <row r="60" spans="2:27" s="1" customFormat="1" ht="31.5" customHeight="1">
      <c r="B60" s="73"/>
      <c r="C60" s="102" t="s">
        <v>720</v>
      </c>
      <c r="D60" s="102" t="s">
        <v>171</v>
      </c>
      <c r="E60" s="103" t="s">
        <v>1246</v>
      </c>
      <c r="F60" s="499" t="s">
        <v>1247</v>
      </c>
      <c r="G60" s="499"/>
      <c r="H60" s="499"/>
      <c r="I60" s="499"/>
      <c r="J60" s="104" t="s">
        <v>184</v>
      </c>
      <c r="K60" s="133">
        <v>2</v>
      </c>
      <c r="L60" s="140">
        <v>171.15</v>
      </c>
      <c r="M60" s="133">
        <f t="shared" si="8"/>
        <v>342.3</v>
      </c>
      <c r="N60" s="74"/>
      <c r="O60" s="115" t="s">
        <v>1206</v>
      </c>
      <c r="P60" s="98" t="s">
        <v>0</v>
      </c>
      <c r="Q60" s="18" t="s">
        <v>11</v>
      </c>
      <c r="R60" s="198"/>
      <c r="S60" s="99">
        <f t="shared" si="9"/>
        <v>0</v>
      </c>
      <c r="T60" s="99">
        <v>2.8000000000000001E-2</v>
      </c>
      <c r="U60" s="99">
        <f t="shared" si="10"/>
        <v>5.6000000000000001E-2</v>
      </c>
      <c r="V60" s="99">
        <v>0</v>
      </c>
      <c r="W60" s="100">
        <f t="shared" si="11"/>
        <v>0</v>
      </c>
      <c r="Y60" s="1" t="s">
        <v>1241</v>
      </c>
      <c r="AA60" s="1">
        <v>187.93</v>
      </c>
    </row>
    <row r="61" spans="2:27" s="1" customFormat="1" ht="31.5" customHeight="1">
      <c r="B61" s="73"/>
      <c r="C61" s="93" t="s">
        <v>620</v>
      </c>
      <c r="D61" s="93" t="s">
        <v>149</v>
      </c>
      <c r="E61" s="94" t="s">
        <v>1248</v>
      </c>
      <c r="F61" s="498" t="s">
        <v>1249</v>
      </c>
      <c r="G61" s="498"/>
      <c r="H61" s="498"/>
      <c r="I61" s="498"/>
      <c r="J61" s="95" t="s">
        <v>184</v>
      </c>
      <c r="K61" s="128">
        <v>109</v>
      </c>
      <c r="L61" s="201">
        <v>3.33</v>
      </c>
      <c r="M61" s="128">
        <f t="shared" si="8"/>
        <v>362.97</v>
      </c>
      <c r="N61" s="74"/>
      <c r="P61" s="98" t="s">
        <v>0</v>
      </c>
      <c r="Q61" s="18" t="s">
        <v>11</v>
      </c>
      <c r="R61" s="198"/>
      <c r="S61" s="99">
        <f t="shared" si="9"/>
        <v>0</v>
      </c>
      <c r="T61" s="99">
        <v>0</v>
      </c>
      <c r="U61" s="99">
        <f t="shared" si="10"/>
        <v>0</v>
      </c>
      <c r="V61" s="99">
        <v>0</v>
      </c>
      <c r="W61" s="100">
        <f t="shared" si="11"/>
        <v>0</v>
      </c>
      <c r="AA61" s="1">
        <v>3.65</v>
      </c>
    </row>
    <row r="62" spans="2:27" s="1" customFormat="1" ht="31.5" customHeight="1">
      <c r="B62" s="73"/>
      <c r="C62" s="93" t="s">
        <v>681</v>
      </c>
      <c r="D62" s="93" t="s">
        <v>149</v>
      </c>
      <c r="E62" s="94" t="s">
        <v>1250</v>
      </c>
      <c r="F62" s="498" t="s">
        <v>1251</v>
      </c>
      <c r="G62" s="498"/>
      <c r="H62" s="498"/>
      <c r="I62" s="498"/>
      <c r="J62" s="95" t="s">
        <v>184</v>
      </c>
      <c r="K62" s="128">
        <v>47</v>
      </c>
      <c r="L62" s="201">
        <v>6.35</v>
      </c>
      <c r="M62" s="128">
        <f t="shared" si="8"/>
        <v>298.45</v>
      </c>
      <c r="N62" s="74"/>
      <c r="P62" s="98" t="s">
        <v>0</v>
      </c>
      <c r="Q62" s="18" t="s">
        <v>11</v>
      </c>
      <c r="R62" s="198"/>
      <c r="S62" s="99">
        <f t="shared" si="9"/>
        <v>0</v>
      </c>
      <c r="T62" s="99">
        <v>0</v>
      </c>
      <c r="U62" s="99">
        <f t="shared" si="10"/>
        <v>0</v>
      </c>
      <c r="V62" s="99">
        <v>0</v>
      </c>
      <c r="W62" s="100">
        <f t="shared" si="11"/>
        <v>0</v>
      </c>
      <c r="AA62" s="1">
        <v>6.97</v>
      </c>
    </row>
    <row r="63" spans="2:27" s="1" customFormat="1" ht="31.5" customHeight="1">
      <c r="B63" s="73"/>
      <c r="C63" s="93" t="s">
        <v>623</v>
      </c>
      <c r="D63" s="93" t="s">
        <v>149</v>
      </c>
      <c r="E63" s="94" t="s">
        <v>1252</v>
      </c>
      <c r="F63" s="498" t="s">
        <v>1253</v>
      </c>
      <c r="G63" s="498"/>
      <c r="H63" s="498"/>
      <c r="I63" s="498"/>
      <c r="J63" s="95" t="s">
        <v>883</v>
      </c>
      <c r="K63" s="201">
        <f>SUM(M36:M62)/100</f>
        <v>122.95169999999999</v>
      </c>
      <c r="L63" s="201">
        <v>1.4536301599999999</v>
      </c>
      <c r="M63" s="128">
        <f t="shared" si="8"/>
        <v>178.726</v>
      </c>
      <c r="N63" s="74"/>
      <c r="P63" s="98" t="s">
        <v>0</v>
      </c>
      <c r="Q63" s="18" t="s">
        <v>11</v>
      </c>
      <c r="R63" s="198"/>
      <c r="S63" s="99">
        <f t="shared" si="9"/>
        <v>0</v>
      </c>
      <c r="T63" s="99">
        <v>0</v>
      </c>
      <c r="U63" s="99">
        <f t="shared" si="10"/>
        <v>0</v>
      </c>
      <c r="V63" s="99">
        <v>0</v>
      </c>
      <c r="W63" s="100">
        <f t="shared" si="11"/>
        <v>0</v>
      </c>
      <c r="Y63" s="154"/>
      <c r="AA63" s="1">
        <v>1.6</v>
      </c>
    </row>
    <row r="64" spans="2:27" s="7" customFormat="1" ht="29.85" customHeight="1">
      <c r="B64" s="82"/>
      <c r="C64" s="83"/>
      <c r="D64" s="92" t="s">
        <v>1254</v>
      </c>
      <c r="E64" s="92"/>
      <c r="F64" s="92"/>
      <c r="G64" s="92"/>
      <c r="H64" s="92"/>
      <c r="I64" s="92"/>
      <c r="J64" s="92"/>
      <c r="K64" s="92"/>
      <c r="L64" s="92"/>
      <c r="M64" s="134">
        <f>SUM(M65:M66)</f>
        <v>1813.5</v>
      </c>
      <c r="N64" s="85"/>
      <c r="P64" s="86"/>
      <c r="Q64" s="83"/>
      <c r="R64" s="83"/>
      <c r="S64" s="87">
        <f>SUM(S65:S66)</f>
        <v>0</v>
      </c>
      <c r="T64" s="83"/>
      <c r="U64" s="87">
        <f>SUM(U65:U66)</f>
        <v>5.8500000000000003E-2</v>
      </c>
      <c r="V64" s="83"/>
      <c r="W64" s="88">
        <f>SUM(W65:W66)</f>
        <v>0</v>
      </c>
    </row>
    <row r="65" spans="2:27" s="1" customFormat="1" ht="31.5" customHeight="1">
      <c r="B65" s="73"/>
      <c r="C65" s="93" t="s">
        <v>688</v>
      </c>
      <c r="D65" s="93" t="s">
        <v>149</v>
      </c>
      <c r="E65" s="94" t="s">
        <v>1255</v>
      </c>
      <c r="F65" s="498" t="s">
        <v>1256</v>
      </c>
      <c r="G65" s="498"/>
      <c r="H65" s="498"/>
      <c r="I65" s="498"/>
      <c r="J65" s="95" t="s">
        <v>198</v>
      </c>
      <c r="K65" s="128">
        <v>650</v>
      </c>
      <c r="L65" s="201">
        <v>0.84</v>
      </c>
      <c r="M65" s="128">
        <f>ROUND(L65*K65,3)</f>
        <v>546</v>
      </c>
      <c r="N65" s="74"/>
      <c r="P65" s="98" t="s">
        <v>0</v>
      </c>
      <c r="Q65" s="18" t="s">
        <v>11</v>
      </c>
      <c r="R65" s="198"/>
      <c r="S65" s="99">
        <f>R65*K65</f>
        <v>0</v>
      </c>
      <c r="T65" s="99">
        <v>0</v>
      </c>
      <c r="U65" s="99">
        <f>T65*K65</f>
        <v>0</v>
      </c>
      <c r="V65" s="99">
        <v>0</v>
      </c>
      <c r="W65" s="100">
        <f>V65*K65</f>
        <v>0</v>
      </c>
      <c r="AA65" s="1">
        <v>0.92</v>
      </c>
    </row>
    <row r="66" spans="2:27" s="1" customFormat="1" ht="44.25" customHeight="1">
      <c r="B66" s="73"/>
      <c r="C66" s="93" t="s">
        <v>626</v>
      </c>
      <c r="D66" s="93" t="s">
        <v>149</v>
      </c>
      <c r="E66" s="94" t="s">
        <v>1257</v>
      </c>
      <c r="F66" s="498" t="s">
        <v>1258</v>
      </c>
      <c r="G66" s="498"/>
      <c r="H66" s="498"/>
      <c r="I66" s="498"/>
      <c r="J66" s="95" t="s">
        <v>198</v>
      </c>
      <c r="K66" s="128">
        <v>650</v>
      </c>
      <c r="L66" s="201">
        <v>1.95</v>
      </c>
      <c r="M66" s="128">
        <f>ROUND(L66*K66,3)</f>
        <v>1267.5</v>
      </c>
      <c r="N66" s="74"/>
      <c r="P66" s="98" t="s">
        <v>0</v>
      </c>
      <c r="Q66" s="18" t="s">
        <v>11</v>
      </c>
      <c r="R66" s="198"/>
      <c r="S66" s="99">
        <f>R66*K66</f>
        <v>0</v>
      </c>
      <c r="T66" s="99">
        <v>9.0000000000000006E-5</v>
      </c>
      <c r="U66" s="99">
        <f>T66*K66</f>
        <v>5.8500000000000003E-2</v>
      </c>
      <c r="V66" s="99">
        <v>0</v>
      </c>
      <c r="W66" s="100">
        <f>V66*K66</f>
        <v>0</v>
      </c>
      <c r="AA66" s="1">
        <v>2.14</v>
      </c>
    </row>
    <row r="67" spans="2:27" s="7" customFormat="1" ht="37.35" customHeight="1">
      <c r="B67" s="82"/>
      <c r="C67" s="83"/>
      <c r="D67" s="84" t="s">
        <v>1259</v>
      </c>
      <c r="E67" s="84"/>
      <c r="F67" s="84"/>
      <c r="G67" s="84"/>
      <c r="H67" s="84"/>
      <c r="I67" s="84"/>
      <c r="J67" s="84"/>
      <c r="K67" s="84"/>
      <c r="L67" s="84"/>
      <c r="M67" s="139">
        <f>SUM(M68:M70)</f>
        <v>1224.44</v>
      </c>
      <c r="N67" s="85"/>
      <c r="P67" s="86"/>
      <c r="Q67" s="83"/>
      <c r="R67" s="83"/>
      <c r="S67" s="87">
        <f>SUM(S68:S70)</f>
        <v>0</v>
      </c>
      <c r="T67" s="83"/>
      <c r="U67" s="87">
        <f>SUM(U68:U70)</f>
        <v>0</v>
      </c>
      <c r="V67" s="83"/>
      <c r="W67" s="88">
        <f>SUM(W68:W70)</f>
        <v>0</v>
      </c>
    </row>
    <row r="68" spans="2:27" s="1" customFormat="1" ht="22.5" customHeight="1">
      <c r="B68" s="73"/>
      <c r="C68" s="93" t="s">
        <v>699</v>
      </c>
      <c r="D68" s="93" t="s">
        <v>149</v>
      </c>
      <c r="E68" s="94" t="s">
        <v>1260</v>
      </c>
      <c r="F68" s="498" t="s">
        <v>1261</v>
      </c>
      <c r="G68" s="498"/>
      <c r="H68" s="498"/>
      <c r="I68" s="498"/>
      <c r="J68" s="95" t="s">
        <v>1262</v>
      </c>
      <c r="K68" s="128">
        <v>48</v>
      </c>
      <c r="L68" s="201">
        <v>10.02</v>
      </c>
      <c r="M68" s="128">
        <f>ROUND(L68*K68,3)</f>
        <v>480.96</v>
      </c>
      <c r="N68" s="74"/>
      <c r="P68" s="98" t="s">
        <v>0</v>
      </c>
      <c r="Q68" s="18" t="s">
        <v>11</v>
      </c>
      <c r="R68" s="198"/>
      <c r="S68" s="99">
        <f>R68*K68</f>
        <v>0</v>
      </c>
      <c r="T68" s="99">
        <v>0</v>
      </c>
      <c r="U68" s="99">
        <f>T68*K68</f>
        <v>0</v>
      </c>
      <c r="V68" s="99">
        <v>0</v>
      </c>
      <c r="W68" s="100">
        <f>V68*K68</f>
        <v>0</v>
      </c>
      <c r="AA68" s="1">
        <v>11</v>
      </c>
    </row>
    <row r="69" spans="2:27" s="1" customFormat="1" ht="22.5" customHeight="1">
      <c r="B69" s="73"/>
      <c r="C69" s="93" t="s">
        <v>694</v>
      </c>
      <c r="D69" s="93" t="s">
        <v>149</v>
      </c>
      <c r="E69" s="94" t="s">
        <v>1263</v>
      </c>
      <c r="F69" s="498" t="s">
        <v>1264</v>
      </c>
      <c r="G69" s="498"/>
      <c r="H69" s="498"/>
      <c r="I69" s="498"/>
      <c r="J69" s="95" t="s">
        <v>1262</v>
      </c>
      <c r="K69" s="128">
        <v>10</v>
      </c>
      <c r="L69" s="201">
        <v>21.86</v>
      </c>
      <c r="M69" s="128">
        <f>ROUND(L69*K69,3)</f>
        <v>218.6</v>
      </c>
      <c r="N69" s="74"/>
      <c r="P69" s="98" t="s">
        <v>0</v>
      </c>
      <c r="Q69" s="18" t="s">
        <v>11</v>
      </c>
      <c r="R69" s="198"/>
      <c r="S69" s="99">
        <f>R69*K69</f>
        <v>0</v>
      </c>
      <c r="T69" s="99">
        <v>0</v>
      </c>
      <c r="U69" s="99">
        <f>T69*K69</f>
        <v>0</v>
      </c>
      <c r="V69" s="99">
        <v>0</v>
      </c>
      <c r="W69" s="100">
        <f>V69*K69</f>
        <v>0</v>
      </c>
      <c r="AA69" s="1">
        <v>24</v>
      </c>
    </row>
    <row r="70" spans="2:27" s="1" customFormat="1" ht="22.5" customHeight="1">
      <c r="B70" s="73"/>
      <c r="C70" s="93" t="s">
        <v>629</v>
      </c>
      <c r="D70" s="93" t="s">
        <v>149</v>
      </c>
      <c r="E70" s="94" t="s">
        <v>1265</v>
      </c>
      <c r="F70" s="498" t="s">
        <v>1266</v>
      </c>
      <c r="G70" s="498"/>
      <c r="H70" s="498"/>
      <c r="I70" s="498"/>
      <c r="J70" s="95" t="s">
        <v>1262</v>
      </c>
      <c r="K70" s="128">
        <v>72</v>
      </c>
      <c r="L70" s="201">
        <v>7.29</v>
      </c>
      <c r="M70" s="128">
        <f>ROUND(L70*K70,3)</f>
        <v>524.88</v>
      </c>
      <c r="N70" s="74"/>
      <c r="P70" s="98" t="s">
        <v>0</v>
      </c>
      <c r="Q70" s="18" t="s">
        <v>11</v>
      </c>
      <c r="R70" s="198"/>
      <c r="S70" s="99">
        <f>R70*K70</f>
        <v>0</v>
      </c>
      <c r="T70" s="99">
        <v>0</v>
      </c>
      <c r="U70" s="99">
        <f>T70*K70</f>
        <v>0</v>
      </c>
      <c r="V70" s="99">
        <v>0</v>
      </c>
      <c r="W70" s="100">
        <f>V70*K70</f>
        <v>0</v>
      </c>
      <c r="AA70" s="1">
        <v>8</v>
      </c>
    </row>
    <row r="71" spans="2:27" s="1" customFormat="1" ht="49.9" customHeight="1">
      <c r="B71" s="15"/>
      <c r="C71" s="198"/>
      <c r="D71" s="84" t="s">
        <v>243</v>
      </c>
      <c r="E71" s="198"/>
      <c r="F71" s="198"/>
      <c r="G71" s="198"/>
      <c r="H71" s="198"/>
      <c r="I71" s="198"/>
      <c r="J71" s="198"/>
      <c r="K71" s="198"/>
      <c r="L71" s="198"/>
      <c r="M71" s="135">
        <f>M81+M104+M72+M110+M112</f>
        <v>15300.859999999999</v>
      </c>
      <c r="N71" s="17"/>
      <c r="P71" s="106"/>
      <c r="Q71" s="21"/>
      <c r="R71" s="21"/>
      <c r="S71" s="21"/>
      <c r="T71" s="21"/>
      <c r="U71" s="21"/>
      <c r="V71" s="21"/>
      <c r="W71" s="22"/>
    </row>
    <row r="72" spans="2:27" s="7" customFormat="1" ht="19.899999999999999" customHeight="1">
      <c r="B72" s="82"/>
      <c r="C72" s="83"/>
      <c r="D72" s="92" t="s">
        <v>1267</v>
      </c>
      <c r="E72" s="92"/>
      <c r="F72" s="92"/>
      <c r="G72" s="92"/>
      <c r="H72" s="92"/>
      <c r="I72" s="92"/>
      <c r="J72" s="92"/>
      <c r="K72" s="92"/>
      <c r="L72" s="92"/>
      <c r="M72" s="131">
        <f>SUM(M73:M79)+M80</f>
        <v>7464.6669999999995</v>
      </c>
      <c r="N72" s="85"/>
      <c r="P72" s="86"/>
      <c r="Q72" s="83"/>
      <c r="R72" s="83"/>
      <c r="S72" s="87">
        <f>SUM(S81:S115)</f>
        <v>0</v>
      </c>
      <c r="T72" s="83"/>
      <c r="U72" s="87">
        <f>SUM(U81:U115)</f>
        <v>0.33515600000000001</v>
      </c>
      <c r="V72" s="83"/>
      <c r="W72" s="88">
        <f>SUM(W81:W115)</f>
        <v>10.4481</v>
      </c>
    </row>
    <row r="73" spans="2:27" s="1" customFormat="1" ht="31.5" customHeight="1">
      <c r="B73" s="73"/>
      <c r="C73" s="93">
        <v>1</v>
      </c>
      <c r="D73" s="93" t="s">
        <v>149</v>
      </c>
      <c r="E73" s="94" t="s">
        <v>1268</v>
      </c>
      <c r="F73" s="498" t="s">
        <v>1269</v>
      </c>
      <c r="G73" s="498"/>
      <c r="H73" s="498"/>
      <c r="I73" s="498"/>
      <c r="J73" s="95" t="s">
        <v>198</v>
      </c>
      <c r="K73" s="128">
        <v>264</v>
      </c>
      <c r="L73" s="201">
        <v>14.157000000000002</v>
      </c>
      <c r="M73" s="128">
        <f t="shared" ref="M73:M80" si="12">ROUND(L73*K73,3)</f>
        <v>3737.4479999999999</v>
      </c>
      <c r="N73" s="74"/>
      <c r="P73" s="98" t="s">
        <v>0</v>
      </c>
      <c r="Q73" s="18" t="s">
        <v>11</v>
      </c>
      <c r="R73" s="198"/>
      <c r="S73" s="99">
        <f>R73*K73</f>
        <v>0</v>
      </c>
      <c r="T73" s="99">
        <v>1.6000000000000001E-4</v>
      </c>
      <c r="U73" s="99">
        <f>T73*K73</f>
        <v>4.2240000000000007E-2</v>
      </c>
      <c r="V73" s="99">
        <v>0</v>
      </c>
      <c r="W73" s="100">
        <f>V73*K73</f>
        <v>0</v>
      </c>
      <c r="AA73" s="1">
        <v>1.93</v>
      </c>
    </row>
    <row r="74" spans="2:27" s="1" customFormat="1" ht="31.5" customHeight="1">
      <c r="B74" s="73"/>
      <c r="C74" s="93">
        <v>2</v>
      </c>
      <c r="D74" s="93" t="s">
        <v>149</v>
      </c>
      <c r="E74" s="94" t="s">
        <v>1270</v>
      </c>
      <c r="F74" s="498" t="s">
        <v>1271</v>
      </c>
      <c r="G74" s="498"/>
      <c r="H74" s="498"/>
      <c r="I74" s="498"/>
      <c r="J74" s="95" t="s">
        <v>198</v>
      </c>
      <c r="K74" s="128">
        <v>48</v>
      </c>
      <c r="L74" s="201">
        <v>14.677</v>
      </c>
      <c r="M74" s="128">
        <f t="shared" si="12"/>
        <v>704.49599999999998</v>
      </c>
      <c r="N74" s="74"/>
      <c r="P74" s="98" t="s">
        <v>0</v>
      </c>
      <c r="Q74" s="18" t="s">
        <v>11</v>
      </c>
      <c r="R74" s="198"/>
      <c r="S74" s="99">
        <f>R74*K74</f>
        <v>0</v>
      </c>
      <c r="T74" s="99">
        <v>1.6000000000000001E-4</v>
      </c>
      <c r="U74" s="99">
        <f>T74*K74</f>
        <v>7.6800000000000011E-3</v>
      </c>
      <c r="V74" s="99">
        <v>0</v>
      </c>
      <c r="W74" s="100">
        <f>V74*K74</f>
        <v>0</v>
      </c>
      <c r="AA74" s="1">
        <v>1.93</v>
      </c>
    </row>
    <row r="75" spans="2:27" s="1" customFormat="1" ht="42" customHeight="1">
      <c r="B75" s="73"/>
      <c r="C75" s="93">
        <v>3</v>
      </c>
      <c r="D75" s="93" t="s">
        <v>149</v>
      </c>
      <c r="E75" s="94" t="s">
        <v>1272</v>
      </c>
      <c r="F75" s="498" t="s">
        <v>1273</v>
      </c>
      <c r="G75" s="498"/>
      <c r="H75" s="498"/>
      <c r="I75" s="498"/>
      <c r="J75" s="95" t="s">
        <v>184</v>
      </c>
      <c r="K75" s="128">
        <v>328</v>
      </c>
      <c r="L75" s="201">
        <v>6.9939999999999998</v>
      </c>
      <c r="M75" s="128">
        <f t="shared" si="12"/>
        <v>2294.0320000000002</v>
      </c>
      <c r="N75" s="74"/>
      <c r="P75" s="98" t="s">
        <v>0</v>
      </c>
      <c r="Q75" s="18" t="s">
        <v>11</v>
      </c>
      <c r="R75" s="198"/>
      <c r="S75" s="99">
        <f>R75*K75</f>
        <v>0</v>
      </c>
      <c r="T75" s="99">
        <v>1.6000000000000001E-4</v>
      </c>
      <c r="U75" s="99">
        <f>T75*K75</f>
        <v>5.2480000000000006E-2</v>
      </c>
      <c r="V75" s="99">
        <v>0</v>
      </c>
      <c r="W75" s="100">
        <f>V75*K75</f>
        <v>0</v>
      </c>
      <c r="AA75" s="1">
        <v>1.93</v>
      </c>
    </row>
    <row r="76" spans="2:27" s="1" customFormat="1" ht="28.5" customHeight="1">
      <c r="B76" s="73"/>
      <c r="C76" s="93">
        <v>4</v>
      </c>
      <c r="D76" s="93" t="s">
        <v>149</v>
      </c>
      <c r="E76" s="94" t="s">
        <v>1274</v>
      </c>
      <c r="F76" s="498" t="s">
        <v>1275</v>
      </c>
      <c r="G76" s="498"/>
      <c r="H76" s="498"/>
      <c r="I76" s="498"/>
      <c r="J76" s="95" t="s">
        <v>184</v>
      </c>
      <c r="K76" s="128">
        <v>8</v>
      </c>
      <c r="L76" s="201">
        <v>43.680000000000007</v>
      </c>
      <c r="M76" s="128">
        <f t="shared" si="12"/>
        <v>349.44</v>
      </c>
      <c r="N76" s="74"/>
      <c r="P76" s="98"/>
      <c r="Q76" s="18"/>
      <c r="R76" s="198"/>
      <c r="S76" s="99"/>
      <c r="T76" s="99"/>
      <c r="U76" s="99"/>
      <c r="V76" s="99"/>
      <c r="W76" s="100"/>
    </row>
    <row r="77" spans="2:27" s="1" customFormat="1" ht="33" customHeight="1">
      <c r="B77" s="73"/>
      <c r="C77" s="93">
        <v>5</v>
      </c>
      <c r="D77" s="93" t="s">
        <v>149</v>
      </c>
      <c r="E77" s="94" t="s">
        <v>1276</v>
      </c>
      <c r="F77" s="498" t="s">
        <v>1277</v>
      </c>
      <c r="G77" s="498"/>
      <c r="H77" s="498"/>
      <c r="I77" s="498"/>
      <c r="J77" s="95" t="s">
        <v>184</v>
      </c>
      <c r="K77" s="128">
        <v>4</v>
      </c>
      <c r="L77" s="201">
        <v>20.501000000000001</v>
      </c>
      <c r="M77" s="128">
        <f t="shared" si="12"/>
        <v>82.004000000000005</v>
      </c>
      <c r="N77" s="74"/>
      <c r="P77" s="98"/>
      <c r="Q77" s="18"/>
      <c r="R77" s="198"/>
      <c r="S77" s="99"/>
      <c r="T77" s="99"/>
      <c r="U77" s="99"/>
      <c r="V77" s="99"/>
      <c r="W77" s="100"/>
    </row>
    <row r="78" spans="2:27" s="1" customFormat="1" ht="42" customHeight="1">
      <c r="B78" s="73"/>
      <c r="C78" s="93">
        <v>6</v>
      </c>
      <c r="D78" s="93" t="s">
        <v>149</v>
      </c>
      <c r="E78" s="94" t="s">
        <v>1278</v>
      </c>
      <c r="F78" s="498" t="s">
        <v>1279</v>
      </c>
      <c r="G78" s="498"/>
      <c r="H78" s="498"/>
      <c r="I78" s="498"/>
      <c r="J78" s="95" t="s">
        <v>184</v>
      </c>
      <c r="K78" s="128">
        <v>4</v>
      </c>
      <c r="L78" s="201">
        <v>11.05</v>
      </c>
      <c r="M78" s="128">
        <f t="shared" si="12"/>
        <v>44.2</v>
      </c>
      <c r="N78" s="74"/>
      <c r="P78" s="98"/>
      <c r="Q78" s="18"/>
      <c r="R78" s="198"/>
      <c r="S78" s="99"/>
      <c r="T78" s="99"/>
      <c r="U78" s="99"/>
      <c r="V78" s="99"/>
      <c r="W78" s="100"/>
    </row>
    <row r="79" spans="2:27" s="1" customFormat="1" ht="42" customHeight="1">
      <c r="B79" s="73"/>
      <c r="C79" s="93">
        <v>7</v>
      </c>
      <c r="D79" s="93" t="s">
        <v>149</v>
      </c>
      <c r="E79" s="94" t="s">
        <v>1280</v>
      </c>
      <c r="F79" s="498" t="s">
        <v>1281</v>
      </c>
      <c r="G79" s="498"/>
      <c r="H79" s="498"/>
      <c r="I79" s="498"/>
      <c r="J79" s="95" t="s">
        <v>184</v>
      </c>
      <c r="K79" s="128">
        <v>4</v>
      </c>
      <c r="L79" s="201">
        <v>20.591999999999999</v>
      </c>
      <c r="M79" s="128">
        <f t="shared" si="12"/>
        <v>82.367999999999995</v>
      </c>
      <c r="N79" s="74"/>
      <c r="P79" s="98"/>
      <c r="Q79" s="18"/>
      <c r="R79" s="198"/>
      <c r="S79" s="99"/>
      <c r="T79" s="99"/>
      <c r="U79" s="99"/>
      <c r="V79" s="99"/>
      <c r="W79" s="100"/>
    </row>
    <row r="80" spans="2:27" s="1" customFormat="1" ht="42" customHeight="1">
      <c r="B80" s="73"/>
      <c r="C80" s="93">
        <v>8</v>
      </c>
      <c r="D80" s="93" t="s">
        <v>149</v>
      </c>
      <c r="E80" s="94" t="s">
        <v>1282</v>
      </c>
      <c r="F80" s="498" t="s">
        <v>1283</v>
      </c>
      <c r="G80" s="498"/>
      <c r="H80" s="498"/>
      <c r="I80" s="498"/>
      <c r="J80" s="95" t="s">
        <v>883</v>
      </c>
      <c r="K80" s="201">
        <f>SUM(M73:M79)/100</f>
        <v>72.939879999999988</v>
      </c>
      <c r="L80" s="201">
        <v>2.3400000000000003</v>
      </c>
      <c r="M80" s="128">
        <f t="shared" si="12"/>
        <v>170.679</v>
      </c>
      <c r="N80" s="74"/>
      <c r="P80" s="98" t="s">
        <v>0</v>
      </c>
      <c r="Q80" s="18" t="s">
        <v>11</v>
      </c>
      <c r="R80" s="198"/>
      <c r="S80" s="99">
        <f>R80*K80</f>
        <v>0</v>
      </c>
      <c r="T80" s="99">
        <v>1.6000000000000001E-4</v>
      </c>
      <c r="U80" s="99">
        <f>T80*K80</f>
        <v>1.16703808E-2</v>
      </c>
      <c r="V80" s="99">
        <v>0</v>
      </c>
      <c r="W80" s="100">
        <f>V80*K80</f>
        <v>0</v>
      </c>
      <c r="AA80" s="1">
        <v>1.93</v>
      </c>
    </row>
    <row r="81" spans="2:27" s="7" customFormat="1" ht="19.899999999999999" customHeight="1">
      <c r="B81" s="82"/>
      <c r="C81" s="83"/>
      <c r="D81" s="92" t="s">
        <v>1172</v>
      </c>
      <c r="E81" s="92"/>
      <c r="F81" s="92"/>
      <c r="G81" s="92"/>
      <c r="H81" s="92"/>
      <c r="I81" s="92"/>
      <c r="J81" s="92"/>
      <c r="K81" s="92"/>
      <c r="L81" s="92"/>
      <c r="M81" s="131">
        <f>SUM(M82:M103)</f>
        <v>4544.3520000000008</v>
      </c>
      <c r="N81" s="85"/>
      <c r="P81" s="86"/>
      <c r="Q81" s="83"/>
      <c r="R81" s="83"/>
      <c r="S81" s="87">
        <f>SUM(S82:S116)</f>
        <v>0</v>
      </c>
      <c r="T81" s="83"/>
      <c r="U81" s="87">
        <f>SUM(U82:U116)</f>
        <v>0.167578</v>
      </c>
      <c r="V81" s="83"/>
      <c r="W81" s="88">
        <f>SUM(W82:W116)</f>
        <v>5.2240500000000001</v>
      </c>
    </row>
    <row r="82" spans="2:27" s="1" customFormat="1" ht="31.5" customHeight="1">
      <c r="B82" s="73"/>
      <c r="C82" s="93"/>
      <c r="D82" s="93" t="s">
        <v>149</v>
      </c>
      <c r="E82" s="94" t="s">
        <v>1284</v>
      </c>
      <c r="F82" s="498" t="s">
        <v>1285</v>
      </c>
      <c r="G82" s="498"/>
      <c r="H82" s="498"/>
      <c r="I82" s="498"/>
      <c r="J82" s="95" t="s">
        <v>184</v>
      </c>
      <c r="K82" s="128">
        <v>328</v>
      </c>
      <c r="L82" s="201">
        <v>4.4459999999999997</v>
      </c>
      <c r="M82" s="128">
        <f t="shared" ref="M82:M103" si="13">ROUND(L82*K82,3)</f>
        <v>1458.288</v>
      </c>
      <c r="N82" s="74"/>
      <c r="P82" s="98" t="s">
        <v>0</v>
      </c>
      <c r="Q82" s="18" t="s">
        <v>11</v>
      </c>
      <c r="R82" s="198"/>
      <c r="S82" s="99">
        <f>R82*K82</f>
        <v>0</v>
      </c>
      <c r="T82" s="99">
        <v>1.6000000000000001E-4</v>
      </c>
      <c r="U82" s="99">
        <f>T82*K82</f>
        <v>5.2480000000000006E-2</v>
      </c>
      <c r="V82" s="99">
        <v>0</v>
      </c>
      <c r="W82" s="100">
        <f>V82*K82</f>
        <v>0</v>
      </c>
      <c r="AA82" s="1">
        <v>1.93</v>
      </c>
    </row>
    <row r="83" spans="2:27" s="1" customFormat="1" ht="19.5" customHeight="1">
      <c r="B83" s="73"/>
      <c r="C83" s="93"/>
      <c r="D83" s="93" t="s">
        <v>149</v>
      </c>
      <c r="E83" s="94" t="s">
        <v>1286</v>
      </c>
      <c r="F83" s="498" t="s">
        <v>1287</v>
      </c>
      <c r="G83" s="498"/>
      <c r="H83" s="498"/>
      <c r="I83" s="498"/>
      <c r="J83" s="95" t="s">
        <v>184</v>
      </c>
      <c r="K83" s="128">
        <v>4</v>
      </c>
      <c r="L83" s="201">
        <v>1.3780000000000001</v>
      </c>
      <c r="M83" s="128">
        <f t="shared" si="13"/>
        <v>5.5119999999999996</v>
      </c>
      <c r="N83" s="74"/>
      <c r="P83" s="98"/>
      <c r="Q83" s="18"/>
      <c r="R83" s="198"/>
      <c r="S83" s="99"/>
      <c r="T83" s="99"/>
      <c r="U83" s="99"/>
      <c r="V83" s="99"/>
      <c r="W83" s="100"/>
    </row>
    <row r="84" spans="2:27" s="1" customFormat="1" ht="18" customHeight="1">
      <c r="B84" s="73"/>
      <c r="C84" s="185"/>
      <c r="D84" s="185" t="s">
        <v>149</v>
      </c>
      <c r="E84" s="181" t="s">
        <v>1288</v>
      </c>
      <c r="F84" s="506" t="s">
        <v>1289</v>
      </c>
      <c r="G84" s="506"/>
      <c r="H84" s="506"/>
      <c r="I84" s="506"/>
      <c r="J84" s="182" t="s">
        <v>184</v>
      </c>
      <c r="K84" s="183">
        <v>6</v>
      </c>
      <c r="L84" s="203">
        <v>3.9780000000000002</v>
      </c>
      <c r="M84" s="183">
        <f t="shared" si="13"/>
        <v>23.867999999999999</v>
      </c>
      <c r="N84" s="74"/>
      <c r="P84" s="98"/>
      <c r="Q84" s="18"/>
      <c r="R84" s="198"/>
      <c r="S84" s="99"/>
      <c r="T84" s="99"/>
      <c r="U84" s="99"/>
      <c r="V84" s="99"/>
      <c r="W84" s="100"/>
    </row>
    <row r="85" spans="2:27" s="1" customFormat="1" ht="18.75" customHeight="1">
      <c r="B85" s="73"/>
      <c r="C85" s="185"/>
      <c r="D85" s="185" t="s">
        <v>149</v>
      </c>
      <c r="E85" s="181" t="s">
        <v>1290</v>
      </c>
      <c r="F85" s="506" t="s">
        <v>1291</v>
      </c>
      <c r="G85" s="506"/>
      <c r="H85" s="506"/>
      <c r="I85" s="506"/>
      <c r="J85" s="182" t="s">
        <v>184</v>
      </c>
      <c r="K85" s="183">
        <v>4</v>
      </c>
      <c r="L85" s="203">
        <v>4.8879999999999999</v>
      </c>
      <c r="M85" s="183">
        <f t="shared" si="13"/>
        <v>19.552</v>
      </c>
      <c r="N85" s="74"/>
      <c r="P85" s="98"/>
      <c r="Q85" s="18"/>
      <c r="R85" s="198"/>
      <c r="S85" s="99"/>
      <c r="T85" s="99"/>
      <c r="U85" s="99"/>
      <c r="V85" s="99"/>
      <c r="W85" s="100"/>
    </row>
    <row r="86" spans="2:27" s="1" customFormat="1" ht="24" customHeight="1">
      <c r="B86" s="73"/>
      <c r="C86" s="185"/>
      <c r="D86" s="185" t="s">
        <v>149</v>
      </c>
      <c r="E86" s="181" t="s">
        <v>1292</v>
      </c>
      <c r="F86" s="506" t="s">
        <v>1293</v>
      </c>
      <c r="G86" s="506"/>
      <c r="H86" s="506"/>
      <c r="I86" s="506"/>
      <c r="J86" s="182" t="s">
        <v>184</v>
      </c>
      <c r="K86" s="183">
        <v>169</v>
      </c>
      <c r="L86" s="203">
        <v>5.3819999999999997</v>
      </c>
      <c r="M86" s="183">
        <f t="shared" si="13"/>
        <v>909.55799999999999</v>
      </c>
      <c r="N86" s="74"/>
      <c r="P86" s="98"/>
      <c r="Q86" s="18"/>
      <c r="R86" s="198"/>
      <c r="S86" s="99"/>
      <c r="T86" s="99"/>
      <c r="U86" s="99"/>
      <c r="V86" s="99"/>
      <c r="W86" s="100"/>
    </row>
    <row r="87" spans="2:27" s="1" customFormat="1" ht="22.5" customHeight="1">
      <c r="B87" s="73"/>
      <c r="C87" s="185"/>
      <c r="D87" s="93" t="s">
        <v>149</v>
      </c>
      <c r="E87" s="181" t="s">
        <v>1294</v>
      </c>
      <c r="F87" s="506" t="s">
        <v>1295</v>
      </c>
      <c r="G87" s="506"/>
      <c r="H87" s="506"/>
      <c r="I87" s="506"/>
      <c r="J87" s="182" t="s">
        <v>184</v>
      </c>
      <c r="K87" s="183">
        <v>8</v>
      </c>
      <c r="L87" s="203">
        <v>9.984</v>
      </c>
      <c r="M87" s="183">
        <f t="shared" si="13"/>
        <v>79.872</v>
      </c>
      <c r="N87" s="74"/>
      <c r="P87" s="98"/>
      <c r="Q87" s="18"/>
      <c r="R87" s="198"/>
      <c r="S87" s="99"/>
      <c r="T87" s="99"/>
      <c r="U87" s="99"/>
      <c r="V87" s="99"/>
      <c r="W87" s="100"/>
    </row>
    <row r="88" spans="2:27" s="1" customFormat="1" ht="30.75" customHeight="1">
      <c r="B88" s="73"/>
      <c r="C88" s="185"/>
      <c r="D88" s="93" t="s">
        <v>149</v>
      </c>
      <c r="E88" s="181" t="s">
        <v>1296</v>
      </c>
      <c r="F88" s="506" t="s">
        <v>1297</v>
      </c>
      <c r="G88" s="506"/>
      <c r="H88" s="506"/>
      <c r="I88" s="506"/>
      <c r="J88" s="182" t="s">
        <v>184</v>
      </c>
      <c r="K88" s="183">
        <v>314</v>
      </c>
      <c r="L88" s="203">
        <v>1.0900000000000001</v>
      </c>
      <c r="M88" s="183">
        <f t="shared" si="13"/>
        <v>342.26</v>
      </c>
      <c r="N88" s="74"/>
      <c r="P88" s="98"/>
      <c r="Q88" s="18"/>
      <c r="R88" s="198"/>
      <c r="S88" s="99"/>
      <c r="T88" s="99"/>
      <c r="U88" s="99"/>
      <c r="V88" s="99"/>
      <c r="W88" s="100"/>
    </row>
    <row r="89" spans="2:27" s="1" customFormat="1" ht="32.25" customHeight="1">
      <c r="B89" s="73"/>
      <c r="C89" s="185"/>
      <c r="D89" s="93" t="s">
        <v>149</v>
      </c>
      <c r="E89" s="181" t="s">
        <v>1298</v>
      </c>
      <c r="F89" s="506" t="s">
        <v>1299</v>
      </c>
      <c r="G89" s="506"/>
      <c r="H89" s="506"/>
      <c r="I89" s="506"/>
      <c r="J89" s="182" t="s">
        <v>184</v>
      </c>
      <c r="K89" s="183">
        <v>4</v>
      </c>
      <c r="L89" s="203">
        <v>5.75</v>
      </c>
      <c r="M89" s="183">
        <f t="shared" si="13"/>
        <v>23</v>
      </c>
      <c r="N89" s="74"/>
      <c r="P89" s="98"/>
      <c r="Q89" s="18"/>
      <c r="R89" s="198"/>
      <c r="S89" s="99"/>
      <c r="T89" s="99"/>
      <c r="U89" s="99"/>
      <c r="V89" s="99"/>
      <c r="W89" s="100"/>
    </row>
    <row r="90" spans="2:27" s="1" customFormat="1" ht="22.5" customHeight="1">
      <c r="B90" s="73"/>
      <c r="C90" s="185"/>
      <c r="D90" s="102" t="s">
        <v>171</v>
      </c>
      <c r="E90" s="103" t="s">
        <v>1300</v>
      </c>
      <c r="F90" s="499" t="s">
        <v>1301</v>
      </c>
      <c r="G90" s="499"/>
      <c r="H90" s="499"/>
      <c r="I90" s="499"/>
      <c r="J90" s="104" t="s">
        <v>184</v>
      </c>
      <c r="K90" s="133">
        <v>4</v>
      </c>
      <c r="L90" s="140">
        <v>6.95</v>
      </c>
      <c r="M90" s="133">
        <f t="shared" si="13"/>
        <v>27.8</v>
      </c>
      <c r="N90" s="74"/>
      <c r="P90" s="98"/>
      <c r="Q90" s="18"/>
      <c r="R90" s="198"/>
      <c r="S90" s="99"/>
      <c r="T90" s="99"/>
      <c r="U90" s="99"/>
      <c r="V90" s="99"/>
      <c r="W90" s="100"/>
    </row>
    <row r="91" spans="2:27" s="1" customFormat="1" ht="22.5" customHeight="1">
      <c r="B91" s="73"/>
      <c r="C91" s="185"/>
      <c r="D91" s="102" t="s">
        <v>171</v>
      </c>
      <c r="E91" s="103" t="s">
        <v>1302</v>
      </c>
      <c r="F91" s="499" t="s">
        <v>1303</v>
      </c>
      <c r="G91" s="499"/>
      <c r="H91" s="499"/>
      <c r="I91" s="499"/>
      <c r="J91" s="104" t="s">
        <v>184</v>
      </c>
      <c r="K91" s="133">
        <v>8</v>
      </c>
      <c r="L91" s="140">
        <v>12.14</v>
      </c>
      <c r="M91" s="133">
        <f t="shared" si="13"/>
        <v>97.12</v>
      </c>
      <c r="N91" s="74"/>
      <c r="P91" s="98"/>
      <c r="Q91" s="18"/>
      <c r="R91" s="198"/>
      <c r="S91" s="99"/>
      <c r="T91" s="99"/>
      <c r="U91" s="99"/>
      <c r="V91" s="99"/>
      <c r="W91" s="100"/>
    </row>
    <row r="92" spans="2:27" s="1" customFormat="1" ht="22.5" customHeight="1">
      <c r="B92" s="73"/>
      <c r="C92" s="185"/>
      <c r="D92" s="102" t="s">
        <v>171</v>
      </c>
      <c r="E92" s="103" t="s">
        <v>1304</v>
      </c>
      <c r="F92" s="499" t="s">
        <v>1305</v>
      </c>
      <c r="G92" s="499"/>
      <c r="H92" s="499"/>
      <c r="I92" s="499"/>
      <c r="J92" s="104" t="s">
        <v>184</v>
      </c>
      <c r="K92" s="133">
        <v>4</v>
      </c>
      <c r="L92" s="140">
        <v>4.8</v>
      </c>
      <c r="M92" s="133">
        <f t="shared" si="13"/>
        <v>19.2</v>
      </c>
      <c r="N92" s="74"/>
      <c r="P92" s="98"/>
      <c r="Q92" s="18"/>
      <c r="R92" s="198"/>
      <c r="S92" s="99"/>
      <c r="T92" s="99"/>
      <c r="U92" s="99"/>
      <c r="V92" s="99"/>
      <c r="W92" s="100"/>
    </row>
    <row r="93" spans="2:27" s="1" customFormat="1" ht="27.75" customHeight="1">
      <c r="B93" s="73"/>
      <c r="C93" s="185"/>
      <c r="D93" s="102" t="s">
        <v>171</v>
      </c>
      <c r="E93" s="103" t="s">
        <v>1306</v>
      </c>
      <c r="F93" s="499" t="s">
        <v>1307</v>
      </c>
      <c r="G93" s="499"/>
      <c r="H93" s="499"/>
      <c r="I93" s="499"/>
      <c r="J93" s="104" t="s">
        <v>184</v>
      </c>
      <c r="K93" s="133">
        <v>6</v>
      </c>
      <c r="L93" s="140">
        <v>9.1</v>
      </c>
      <c r="M93" s="133">
        <f t="shared" si="13"/>
        <v>54.6</v>
      </c>
      <c r="N93" s="74"/>
      <c r="P93" s="98"/>
      <c r="Q93" s="18"/>
      <c r="R93" s="198"/>
      <c r="S93" s="99"/>
      <c r="T93" s="99"/>
      <c r="U93" s="99"/>
      <c r="V93" s="99"/>
      <c r="W93" s="100"/>
    </row>
    <row r="94" spans="2:27" s="1" customFormat="1" ht="22.5" customHeight="1">
      <c r="B94" s="73"/>
      <c r="C94" s="185"/>
      <c r="D94" s="102" t="s">
        <v>171</v>
      </c>
      <c r="E94" s="103" t="s">
        <v>1308</v>
      </c>
      <c r="F94" s="499" t="s">
        <v>1309</v>
      </c>
      <c r="G94" s="499"/>
      <c r="H94" s="499"/>
      <c r="I94" s="499"/>
      <c r="J94" s="104" t="s">
        <v>184</v>
      </c>
      <c r="K94" s="133">
        <v>4</v>
      </c>
      <c r="L94" s="140">
        <v>230.74</v>
      </c>
      <c r="M94" s="133">
        <f t="shared" si="13"/>
        <v>922.96</v>
      </c>
      <c r="N94" s="74"/>
      <c r="P94" s="98"/>
      <c r="Q94" s="18"/>
      <c r="R94" s="198"/>
      <c r="S94" s="99"/>
      <c r="T94" s="99"/>
      <c r="U94" s="99"/>
      <c r="V94" s="99"/>
      <c r="W94" s="100"/>
    </row>
    <row r="95" spans="2:27" s="1" customFormat="1" ht="22.5" customHeight="1">
      <c r="B95" s="73"/>
      <c r="C95" s="185"/>
      <c r="D95" s="102" t="s">
        <v>171</v>
      </c>
      <c r="E95" s="103" t="s">
        <v>1310</v>
      </c>
      <c r="F95" s="499" t="s">
        <v>1311</v>
      </c>
      <c r="G95" s="499"/>
      <c r="H95" s="499"/>
      <c r="I95" s="499"/>
      <c r="J95" s="104" t="s">
        <v>184</v>
      </c>
      <c r="K95" s="133">
        <v>4</v>
      </c>
      <c r="L95" s="140">
        <v>66.2</v>
      </c>
      <c r="M95" s="133">
        <f t="shared" si="13"/>
        <v>264.8</v>
      </c>
      <c r="N95" s="74"/>
      <c r="P95" s="98"/>
      <c r="Q95" s="18"/>
      <c r="R95" s="198"/>
      <c r="S95" s="99"/>
      <c r="T95" s="99"/>
      <c r="U95" s="99"/>
      <c r="V95" s="99"/>
      <c r="W95" s="100"/>
    </row>
    <row r="96" spans="2:27" s="1" customFormat="1" ht="31.5" customHeight="1">
      <c r="B96" s="73"/>
      <c r="C96" s="93"/>
      <c r="D96" s="93" t="s">
        <v>149</v>
      </c>
      <c r="E96" s="94" t="s">
        <v>1173</v>
      </c>
      <c r="F96" s="498" t="s">
        <v>1174</v>
      </c>
      <c r="G96" s="498"/>
      <c r="H96" s="498"/>
      <c r="I96" s="498"/>
      <c r="J96" s="95" t="s">
        <v>184</v>
      </c>
      <c r="K96" s="128">
        <v>6</v>
      </c>
      <c r="L96" s="201">
        <v>1.76</v>
      </c>
      <c r="M96" s="128">
        <f t="shared" si="13"/>
        <v>10.56</v>
      </c>
      <c r="N96" s="74"/>
      <c r="P96" s="98" t="s">
        <v>0</v>
      </c>
      <c r="Q96" s="18" t="s">
        <v>11</v>
      </c>
      <c r="R96" s="198"/>
      <c r="S96" s="99">
        <f t="shared" ref="S96:S103" si="14">R96*K96</f>
        <v>0</v>
      </c>
      <c r="T96" s="99">
        <v>1.6000000000000001E-4</v>
      </c>
      <c r="U96" s="99">
        <f t="shared" ref="U96:U103" si="15">T96*K96</f>
        <v>9.6000000000000013E-4</v>
      </c>
      <c r="V96" s="99">
        <v>0</v>
      </c>
      <c r="W96" s="100">
        <f t="shared" ref="W96:W103" si="16">V96*K96</f>
        <v>0</v>
      </c>
      <c r="AA96" s="1">
        <v>1.93</v>
      </c>
    </row>
    <row r="97" spans="2:27" s="1" customFormat="1" ht="31.5" customHeight="1">
      <c r="B97" s="73"/>
      <c r="C97" s="93"/>
      <c r="D97" s="93" t="s">
        <v>149</v>
      </c>
      <c r="E97" s="94" t="s">
        <v>1175</v>
      </c>
      <c r="F97" s="498" t="s">
        <v>1176</v>
      </c>
      <c r="G97" s="498"/>
      <c r="H97" s="498"/>
      <c r="I97" s="498"/>
      <c r="J97" s="95" t="s">
        <v>184</v>
      </c>
      <c r="K97" s="128">
        <v>6</v>
      </c>
      <c r="L97" s="201">
        <v>2.3199999999999998</v>
      </c>
      <c r="M97" s="128">
        <f t="shared" si="13"/>
        <v>13.92</v>
      </c>
      <c r="N97" s="74"/>
      <c r="P97" s="98" t="s">
        <v>0</v>
      </c>
      <c r="Q97" s="18" t="s">
        <v>11</v>
      </c>
      <c r="R97" s="198"/>
      <c r="S97" s="99">
        <f t="shared" si="14"/>
        <v>0</v>
      </c>
      <c r="T97" s="99">
        <v>2.0000000000000002E-5</v>
      </c>
      <c r="U97" s="99">
        <f t="shared" si="15"/>
        <v>1.2000000000000002E-4</v>
      </c>
      <c r="V97" s="99">
        <v>0</v>
      </c>
      <c r="W97" s="100">
        <f t="shared" si="16"/>
        <v>0</v>
      </c>
      <c r="AA97" s="1">
        <v>2.5499999999999998</v>
      </c>
    </row>
    <row r="98" spans="2:27" s="1" customFormat="1" ht="44.25" customHeight="1">
      <c r="B98" s="73"/>
      <c r="C98" s="102"/>
      <c r="D98" s="102" t="s">
        <v>171</v>
      </c>
      <c r="E98" s="103" t="s">
        <v>1177</v>
      </c>
      <c r="F98" s="499" t="s">
        <v>1178</v>
      </c>
      <c r="G98" s="499"/>
      <c r="H98" s="499"/>
      <c r="I98" s="499"/>
      <c r="J98" s="104" t="s">
        <v>184</v>
      </c>
      <c r="K98" s="133">
        <v>6</v>
      </c>
      <c r="L98" s="140">
        <v>12.43</v>
      </c>
      <c r="M98" s="133">
        <f t="shared" si="13"/>
        <v>74.58</v>
      </c>
      <c r="N98" s="74"/>
      <c r="O98" s="1" t="s">
        <v>1179</v>
      </c>
      <c r="P98" s="98" t="s">
        <v>0</v>
      </c>
      <c r="Q98" s="18" t="s">
        <v>11</v>
      </c>
      <c r="R98" s="198"/>
      <c r="S98" s="99">
        <f t="shared" si="14"/>
        <v>0</v>
      </c>
      <c r="T98" s="99">
        <v>1.5300000000000001E-4</v>
      </c>
      <c r="U98" s="99">
        <f t="shared" si="15"/>
        <v>9.1799999999999998E-4</v>
      </c>
      <c r="V98" s="99">
        <v>0</v>
      </c>
      <c r="W98" s="100">
        <f t="shared" si="16"/>
        <v>0</v>
      </c>
      <c r="Y98" s="1" t="s">
        <v>1180</v>
      </c>
      <c r="AA98" s="1">
        <v>13.64</v>
      </c>
    </row>
    <row r="99" spans="2:27" s="1" customFormat="1" ht="31.5" customHeight="1">
      <c r="B99" s="73"/>
      <c r="C99" s="93"/>
      <c r="D99" s="93" t="s">
        <v>149</v>
      </c>
      <c r="E99" s="94" t="s">
        <v>1181</v>
      </c>
      <c r="F99" s="498" t="s">
        <v>1182</v>
      </c>
      <c r="G99" s="498"/>
      <c r="H99" s="498"/>
      <c r="I99" s="498"/>
      <c r="J99" s="95" t="s">
        <v>852</v>
      </c>
      <c r="K99" s="128">
        <v>6</v>
      </c>
      <c r="L99" s="201">
        <v>0</v>
      </c>
      <c r="M99" s="128">
        <f t="shared" si="13"/>
        <v>0</v>
      </c>
      <c r="N99" s="74"/>
      <c r="P99" s="98" t="s">
        <v>0</v>
      </c>
      <c r="Q99" s="18" t="s">
        <v>11</v>
      </c>
      <c r="R99" s="198"/>
      <c r="S99" s="99">
        <f t="shared" si="14"/>
        <v>0</v>
      </c>
      <c r="T99" s="99">
        <v>0</v>
      </c>
      <c r="U99" s="99">
        <f t="shared" si="15"/>
        <v>0</v>
      </c>
      <c r="V99" s="99">
        <v>0</v>
      </c>
      <c r="W99" s="100">
        <f t="shared" si="16"/>
        <v>0</v>
      </c>
    </row>
    <row r="100" spans="2:27" s="1" customFormat="1" ht="31.5" customHeight="1">
      <c r="B100" s="73"/>
      <c r="C100" s="102"/>
      <c r="D100" s="102" t="s">
        <v>171</v>
      </c>
      <c r="E100" s="103" t="s">
        <v>1183</v>
      </c>
      <c r="F100" s="499" t="s">
        <v>1184</v>
      </c>
      <c r="G100" s="499"/>
      <c r="H100" s="499"/>
      <c r="I100" s="499"/>
      <c r="J100" s="104" t="s">
        <v>184</v>
      </c>
      <c r="K100" s="133">
        <v>6</v>
      </c>
      <c r="L100" s="140">
        <v>15.42</v>
      </c>
      <c r="M100" s="133">
        <f t="shared" si="13"/>
        <v>92.52</v>
      </c>
      <c r="N100" s="74"/>
      <c r="O100" s="1" t="s">
        <v>1179</v>
      </c>
      <c r="P100" s="98" t="s">
        <v>0</v>
      </c>
      <c r="Q100" s="18" t="s">
        <v>11</v>
      </c>
      <c r="R100" s="198"/>
      <c r="S100" s="99">
        <f t="shared" si="14"/>
        <v>0</v>
      </c>
      <c r="T100" s="99">
        <v>2.5000000000000001E-4</v>
      </c>
      <c r="U100" s="99">
        <f t="shared" si="15"/>
        <v>1.5E-3</v>
      </c>
      <c r="V100" s="99">
        <v>0</v>
      </c>
      <c r="W100" s="100">
        <f t="shared" si="16"/>
        <v>0</v>
      </c>
      <c r="Y100" s="1" t="s">
        <v>1185</v>
      </c>
      <c r="AA100" s="1">
        <v>16.93</v>
      </c>
    </row>
    <row r="101" spans="2:27" s="1" customFormat="1" ht="22.5" customHeight="1">
      <c r="B101" s="73"/>
      <c r="C101" s="93"/>
      <c r="D101" s="93" t="s">
        <v>149</v>
      </c>
      <c r="E101" s="94" t="s">
        <v>1186</v>
      </c>
      <c r="F101" s="498" t="s">
        <v>1187</v>
      </c>
      <c r="G101" s="498"/>
      <c r="H101" s="498"/>
      <c r="I101" s="498"/>
      <c r="J101" s="95" t="s">
        <v>184</v>
      </c>
      <c r="K101" s="128">
        <v>6</v>
      </c>
      <c r="L101" s="201">
        <v>0</v>
      </c>
      <c r="M101" s="128">
        <f t="shared" si="13"/>
        <v>0</v>
      </c>
      <c r="N101" s="74"/>
      <c r="P101" s="98" t="s">
        <v>0</v>
      </c>
      <c r="Q101" s="18" t="s">
        <v>11</v>
      </c>
      <c r="R101" s="198"/>
      <c r="S101" s="99">
        <f t="shared" si="14"/>
        <v>0</v>
      </c>
      <c r="T101" s="99">
        <v>1.0000000000000001E-5</v>
      </c>
      <c r="U101" s="99">
        <f t="shared" si="15"/>
        <v>6.0000000000000008E-5</v>
      </c>
      <c r="V101" s="99">
        <v>0</v>
      </c>
      <c r="W101" s="100">
        <f t="shared" si="16"/>
        <v>0</v>
      </c>
    </row>
    <row r="102" spans="2:27" s="1" customFormat="1" ht="31.5" customHeight="1">
      <c r="B102" s="73"/>
      <c r="C102" s="102"/>
      <c r="D102" s="102" t="s">
        <v>171</v>
      </c>
      <c r="E102" s="103" t="s">
        <v>1188</v>
      </c>
      <c r="F102" s="499" t="s">
        <v>1189</v>
      </c>
      <c r="G102" s="499"/>
      <c r="H102" s="499"/>
      <c r="I102" s="499"/>
      <c r="J102" s="104" t="s">
        <v>184</v>
      </c>
      <c r="K102" s="133">
        <v>6</v>
      </c>
      <c r="L102" s="140">
        <v>7.19</v>
      </c>
      <c r="M102" s="133">
        <f t="shared" si="13"/>
        <v>43.14</v>
      </c>
      <c r="N102" s="74"/>
      <c r="O102" s="1" t="s">
        <v>1179</v>
      </c>
      <c r="P102" s="98" t="s">
        <v>0</v>
      </c>
      <c r="Q102" s="18" t="s">
        <v>11</v>
      </c>
      <c r="R102" s="198"/>
      <c r="S102" s="99">
        <f t="shared" si="14"/>
        <v>0</v>
      </c>
      <c r="T102" s="99">
        <v>4.5000000000000003E-5</v>
      </c>
      <c r="U102" s="99">
        <f t="shared" si="15"/>
        <v>2.7E-4</v>
      </c>
      <c r="V102" s="99">
        <v>0</v>
      </c>
      <c r="W102" s="100">
        <f t="shared" si="16"/>
        <v>0</v>
      </c>
      <c r="Y102" s="1" t="s">
        <v>1190</v>
      </c>
      <c r="AA102" s="1">
        <v>7.89</v>
      </c>
    </row>
    <row r="103" spans="2:27" s="1" customFormat="1" ht="31.5" customHeight="1">
      <c r="B103" s="73"/>
      <c r="C103" s="93"/>
      <c r="D103" s="93" t="s">
        <v>149</v>
      </c>
      <c r="E103" s="94" t="s">
        <v>1191</v>
      </c>
      <c r="F103" s="498" t="s">
        <v>1192</v>
      </c>
      <c r="G103" s="498"/>
      <c r="H103" s="498"/>
      <c r="I103" s="498"/>
      <c r="J103" s="95" t="s">
        <v>883</v>
      </c>
      <c r="K103" s="201">
        <f>SUM(M82:M102)/100</f>
        <v>44.831100000000006</v>
      </c>
      <c r="L103" s="201">
        <v>1.3660620800000001</v>
      </c>
      <c r="M103" s="128">
        <f t="shared" si="13"/>
        <v>61.241999999999997</v>
      </c>
      <c r="N103" s="74"/>
      <c r="P103" s="98" t="s">
        <v>0</v>
      </c>
      <c r="Q103" s="18" t="s">
        <v>11</v>
      </c>
      <c r="R103" s="198"/>
      <c r="S103" s="99">
        <f t="shared" si="14"/>
        <v>0</v>
      </c>
      <c r="T103" s="99">
        <v>0</v>
      </c>
      <c r="U103" s="99">
        <f t="shared" si="15"/>
        <v>0</v>
      </c>
      <c r="V103" s="99">
        <v>0</v>
      </c>
      <c r="W103" s="100">
        <f t="shared" si="16"/>
        <v>0</v>
      </c>
      <c r="AA103" s="1">
        <v>1.5</v>
      </c>
    </row>
    <row r="104" spans="2:27" s="7" customFormat="1" ht="29.85" customHeight="1">
      <c r="B104" s="82"/>
      <c r="C104" s="83"/>
      <c r="D104" s="92" t="s">
        <v>1193</v>
      </c>
      <c r="E104" s="92"/>
      <c r="F104" s="92"/>
      <c r="G104" s="92"/>
      <c r="H104" s="92"/>
      <c r="I104" s="92"/>
      <c r="J104" s="92"/>
      <c r="K104" s="92"/>
      <c r="L104" s="92"/>
      <c r="M104" s="134">
        <f>SUM(M105:M109)</f>
        <v>2251.2909999999997</v>
      </c>
      <c r="N104" s="85"/>
      <c r="P104" s="86"/>
      <c r="Q104" s="83"/>
      <c r="R104" s="83"/>
      <c r="S104" s="87"/>
      <c r="T104" s="83"/>
      <c r="U104" s="87"/>
      <c r="V104" s="83"/>
      <c r="W104" s="88"/>
    </row>
    <row r="105" spans="2:27" s="1" customFormat="1" ht="44.25" customHeight="1">
      <c r="B105" s="73"/>
      <c r="C105" s="93"/>
      <c r="D105" s="93" t="s">
        <v>149</v>
      </c>
      <c r="E105" s="94" t="s">
        <v>1220</v>
      </c>
      <c r="F105" s="498" t="s">
        <v>1221</v>
      </c>
      <c r="G105" s="498"/>
      <c r="H105" s="498"/>
      <c r="I105" s="498"/>
      <c r="J105" s="95" t="s">
        <v>184</v>
      </c>
      <c r="K105" s="128">
        <v>6</v>
      </c>
      <c r="L105" s="201">
        <v>7.11</v>
      </c>
      <c r="M105" s="128">
        <f>ROUND(L105*K105,3)</f>
        <v>42.66</v>
      </c>
      <c r="N105" s="74"/>
      <c r="P105" s="98" t="s">
        <v>0</v>
      </c>
      <c r="Q105" s="18" t="s">
        <v>11</v>
      </c>
      <c r="R105" s="198"/>
      <c r="S105" s="99">
        <f>R105*K105</f>
        <v>0</v>
      </c>
      <c r="T105" s="99">
        <v>2.0000000000000002E-5</v>
      </c>
      <c r="U105" s="99">
        <f>T105*K105</f>
        <v>1.2000000000000002E-4</v>
      </c>
      <c r="V105" s="99">
        <v>0</v>
      </c>
      <c r="W105" s="100">
        <f>V105*K105</f>
        <v>0</v>
      </c>
      <c r="AA105" s="1">
        <v>7.81</v>
      </c>
    </row>
    <row r="106" spans="2:27" s="1" customFormat="1" ht="31.5" customHeight="1">
      <c r="B106" s="73"/>
      <c r="C106" s="102"/>
      <c r="D106" s="102" t="s">
        <v>171</v>
      </c>
      <c r="E106" s="103" t="s">
        <v>1222</v>
      </c>
      <c r="F106" s="499" t="s">
        <v>1223</v>
      </c>
      <c r="G106" s="499"/>
      <c r="H106" s="499"/>
      <c r="I106" s="499"/>
      <c r="J106" s="104" t="s">
        <v>184</v>
      </c>
      <c r="K106" s="133">
        <v>6</v>
      </c>
      <c r="L106" s="140">
        <v>82.69</v>
      </c>
      <c r="M106" s="133">
        <f>ROUND(L106*K106,3)</f>
        <v>496.14</v>
      </c>
      <c r="N106" s="74"/>
      <c r="O106" s="115" t="s">
        <v>1206</v>
      </c>
      <c r="P106" s="98" t="s">
        <v>0</v>
      </c>
      <c r="Q106" s="18" t="s">
        <v>11</v>
      </c>
      <c r="R106" s="198"/>
      <c r="S106" s="99">
        <f>R106*K106</f>
        <v>0</v>
      </c>
      <c r="T106" s="99">
        <v>1.4999999999999999E-2</v>
      </c>
      <c r="U106" s="99">
        <f>T106*K106</f>
        <v>0.09</v>
      </c>
      <c r="V106" s="99">
        <v>0</v>
      </c>
      <c r="W106" s="100">
        <f>V106*K106</f>
        <v>0</v>
      </c>
      <c r="Y106" s="1" t="s">
        <v>1207</v>
      </c>
      <c r="AA106" s="1">
        <v>90.8</v>
      </c>
    </row>
    <row r="107" spans="2:27" s="1" customFormat="1" ht="31.5" customHeight="1">
      <c r="B107" s="73"/>
      <c r="C107" s="93"/>
      <c r="D107" s="93"/>
      <c r="E107" s="94" t="s">
        <v>1312</v>
      </c>
      <c r="F107" s="498" t="s">
        <v>1313</v>
      </c>
      <c r="G107" s="498"/>
      <c r="H107" s="498"/>
      <c r="I107" s="498"/>
      <c r="J107" s="95" t="s">
        <v>184</v>
      </c>
      <c r="K107" s="128">
        <f>156+6</f>
        <v>162</v>
      </c>
      <c r="L107" s="201">
        <v>10.14</v>
      </c>
      <c r="M107" s="128">
        <f>ROUND(L107*K107,3)</f>
        <v>1642.68</v>
      </c>
      <c r="N107" s="74"/>
      <c r="P107" s="98" t="s">
        <v>0</v>
      </c>
      <c r="Q107" s="18" t="s">
        <v>11</v>
      </c>
      <c r="R107" s="198"/>
      <c r="S107" s="99">
        <f>R107*K107</f>
        <v>0</v>
      </c>
      <c r="T107" s="99">
        <v>0</v>
      </c>
      <c r="U107" s="99">
        <f>T107*K107</f>
        <v>0</v>
      </c>
      <c r="V107" s="99">
        <v>0</v>
      </c>
      <c r="W107" s="100">
        <f>V107*K107</f>
        <v>0</v>
      </c>
      <c r="AA107" s="1">
        <v>6.97</v>
      </c>
    </row>
    <row r="108" spans="2:27" s="1" customFormat="1" ht="31.5" customHeight="1">
      <c r="B108" s="73"/>
      <c r="C108" s="93" t="s">
        <v>681</v>
      </c>
      <c r="D108" s="93" t="s">
        <v>149</v>
      </c>
      <c r="E108" s="94" t="s">
        <v>1250</v>
      </c>
      <c r="F108" s="498" t="s">
        <v>1251</v>
      </c>
      <c r="G108" s="498"/>
      <c r="H108" s="498"/>
      <c r="I108" s="498"/>
      <c r="J108" s="95" t="s">
        <v>184</v>
      </c>
      <c r="K108" s="128">
        <v>6</v>
      </c>
      <c r="L108" s="201">
        <v>6.35</v>
      </c>
      <c r="M108" s="128">
        <f>ROUND(L108*K108,3)</f>
        <v>38.1</v>
      </c>
      <c r="N108" s="74"/>
      <c r="P108" s="98" t="s">
        <v>0</v>
      </c>
      <c r="Q108" s="18" t="s">
        <v>11</v>
      </c>
      <c r="R108" s="198"/>
      <c r="S108" s="99">
        <f>R108*K108</f>
        <v>0</v>
      </c>
      <c r="T108" s="99">
        <v>0</v>
      </c>
      <c r="U108" s="99">
        <f>T108*K108</f>
        <v>0</v>
      </c>
      <c r="V108" s="99">
        <v>0</v>
      </c>
      <c r="W108" s="100">
        <f>V108*K108</f>
        <v>0</v>
      </c>
      <c r="AA108" s="1">
        <v>6.97</v>
      </c>
    </row>
    <row r="109" spans="2:27" s="1" customFormat="1" ht="31.5" customHeight="1">
      <c r="B109" s="73"/>
      <c r="C109" s="93"/>
      <c r="D109" s="93" t="s">
        <v>149</v>
      </c>
      <c r="E109" s="94" t="s">
        <v>1252</v>
      </c>
      <c r="F109" s="498" t="s">
        <v>1253</v>
      </c>
      <c r="G109" s="498"/>
      <c r="H109" s="498"/>
      <c r="I109" s="498"/>
      <c r="J109" s="95" t="s">
        <v>883</v>
      </c>
      <c r="K109" s="201">
        <f>SUM(M105:M107)/100</f>
        <v>21.814800000000002</v>
      </c>
      <c r="L109" s="201">
        <v>1.4536301599999999</v>
      </c>
      <c r="M109" s="128">
        <f>ROUND(L109*K109,3)</f>
        <v>31.710999999999999</v>
      </c>
      <c r="N109" s="74"/>
      <c r="P109" s="98" t="s">
        <v>0</v>
      </c>
      <c r="Q109" s="18" t="s">
        <v>11</v>
      </c>
      <c r="R109" s="198"/>
      <c r="S109" s="99">
        <f>R109*K109</f>
        <v>0</v>
      </c>
      <c r="T109" s="99">
        <v>0</v>
      </c>
      <c r="U109" s="99">
        <f>T109*K109</f>
        <v>0</v>
      </c>
      <c r="V109" s="99">
        <v>0</v>
      </c>
      <c r="W109" s="100">
        <f>V109*K109</f>
        <v>0</v>
      </c>
      <c r="AA109" s="1">
        <v>1.6</v>
      </c>
    </row>
    <row r="110" spans="2:27" s="7" customFormat="1" ht="29.85" customHeight="1">
      <c r="B110" s="82"/>
      <c r="C110" s="83"/>
      <c r="D110" s="92" t="s">
        <v>336</v>
      </c>
      <c r="E110" s="92"/>
      <c r="F110" s="92"/>
      <c r="G110" s="92"/>
      <c r="H110" s="92"/>
      <c r="I110" s="92"/>
      <c r="J110" s="92"/>
      <c r="K110" s="92"/>
      <c r="L110" s="92"/>
      <c r="M110" s="134">
        <f>M111</f>
        <v>473.55</v>
      </c>
      <c r="N110" s="85"/>
      <c r="P110" s="86"/>
      <c r="Q110" s="83"/>
      <c r="R110" s="83"/>
      <c r="S110" s="87">
        <f>SUM(S116:S144)</f>
        <v>0</v>
      </c>
      <c r="T110" s="83"/>
      <c r="U110" s="87">
        <f>SUM(U116:U144)</f>
        <v>0</v>
      </c>
      <c r="V110" s="83"/>
      <c r="W110" s="88">
        <f>SUM(W116:W144)</f>
        <v>0</v>
      </c>
    </row>
    <row r="111" spans="2:27" s="1" customFormat="1" ht="31.5" customHeight="1">
      <c r="B111" s="73"/>
      <c r="C111" s="93" t="s">
        <v>641</v>
      </c>
      <c r="D111" s="93" t="s">
        <v>149</v>
      </c>
      <c r="E111" s="94" t="s">
        <v>1314</v>
      </c>
      <c r="F111" s="498" t="s">
        <v>1315</v>
      </c>
      <c r="G111" s="498"/>
      <c r="H111" s="498"/>
      <c r="I111" s="498"/>
      <c r="J111" s="95" t="s">
        <v>184</v>
      </c>
      <c r="K111" s="128">
        <v>123</v>
      </c>
      <c r="L111" s="201">
        <v>3.85</v>
      </c>
      <c r="M111" s="128">
        <f>ROUND(L111*K111,3)</f>
        <v>473.55</v>
      </c>
      <c r="N111" s="74"/>
      <c r="P111" s="98" t="s">
        <v>0</v>
      </c>
      <c r="Q111" s="18" t="s">
        <v>11</v>
      </c>
      <c r="R111" s="198"/>
      <c r="S111" s="99">
        <f>R111*K111</f>
        <v>0</v>
      </c>
      <c r="T111" s="99">
        <v>5.0000000000000002E-5</v>
      </c>
      <c r="U111" s="99">
        <f>T111*K111</f>
        <v>6.1500000000000001E-3</v>
      </c>
      <c r="V111" s="99">
        <v>1.235E-2</v>
      </c>
      <c r="W111" s="100">
        <f>V111*K111</f>
        <v>1.51905</v>
      </c>
      <c r="AA111" s="1">
        <v>2.79</v>
      </c>
    </row>
    <row r="112" spans="2:27" s="7" customFormat="1" ht="29.85" customHeight="1">
      <c r="B112" s="82"/>
      <c r="C112" s="83"/>
      <c r="D112" s="92" t="s">
        <v>1254</v>
      </c>
      <c r="E112" s="92"/>
      <c r="F112" s="92"/>
      <c r="G112" s="92"/>
      <c r="H112" s="92"/>
      <c r="I112" s="92"/>
      <c r="J112" s="92"/>
      <c r="K112" s="92"/>
      <c r="L112" s="92"/>
      <c r="M112" s="134">
        <f>SUM(M113)</f>
        <v>567</v>
      </c>
      <c r="N112" s="85"/>
      <c r="P112" s="86"/>
      <c r="Q112" s="83"/>
      <c r="R112" s="83"/>
      <c r="S112" s="87">
        <f>SUM(S118:S146)</f>
        <v>0</v>
      </c>
      <c r="T112" s="83"/>
      <c r="U112" s="87">
        <f>SUM(U118:U146)</f>
        <v>0</v>
      </c>
      <c r="V112" s="83"/>
      <c r="W112" s="88">
        <f>SUM(W118:W146)</f>
        <v>0</v>
      </c>
    </row>
    <row r="113" spans="2:27" s="1" customFormat="1" ht="31.5" customHeight="1">
      <c r="B113" s="73"/>
      <c r="C113" s="93" t="s">
        <v>641</v>
      </c>
      <c r="D113" s="93" t="s">
        <v>149</v>
      </c>
      <c r="E113" s="94" t="s">
        <v>1316</v>
      </c>
      <c r="F113" s="498" t="s">
        <v>1317</v>
      </c>
      <c r="G113" s="498"/>
      <c r="H113" s="498"/>
      <c r="I113" s="498"/>
      <c r="J113" s="95" t="s">
        <v>198</v>
      </c>
      <c r="K113" s="128">
        <v>300</v>
      </c>
      <c r="L113" s="201">
        <v>1.89</v>
      </c>
      <c r="M113" s="128">
        <f>ROUND(L113*K113,3)</f>
        <v>567</v>
      </c>
      <c r="N113" s="74"/>
      <c r="P113" s="98" t="s">
        <v>0</v>
      </c>
      <c r="Q113" s="18" t="s">
        <v>11</v>
      </c>
      <c r="R113" s="198"/>
      <c r="S113" s="99">
        <f>R113*K113</f>
        <v>0</v>
      </c>
      <c r="T113" s="99">
        <v>5.0000000000000002E-5</v>
      </c>
      <c r="U113" s="99">
        <f>T113*K113</f>
        <v>1.5000000000000001E-2</v>
      </c>
      <c r="V113" s="99">
        <v>1.235E-2</v>
      </c>
      <c r="W113" s="100">
        <f>V113*K113</f>
        <v>3.7050000000000001</v>
      </c>
      <c r="AA113" s="1">
        <v>2.79</v>
      </c>
    </row>
    <row r="114" spans="2:27" s="1" customFormat="1" ht="6.95" customHeight="1"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5"/>
    </row>
  </sheetData>
  <mergeCells count="88">
    <mergeCell ref="F20:I20"/>
    <mergeCell ref="C5:M5"/>
    <mergeCell ref="F7:M7"/>
    <mergeCell ref="F8:M8"/>
    <mergeCell ref="F15:I15"/>
    <mergeCell ref="F19:I19"/>
    <mergeCell ref="F34:I34"/>
    <mergeCell ref="F21:I21"/>
    <mergeCell ref="F22:I22"/>
    <mergeCell ref="F23:I23"/>
    <mergeCell ref="F24:I24"/>
    <mergeCell ref="F27:I27"/>
    <mergeCell ref="F28:I28"/>
    <mergeCell ref="F29:I29"/>
    <mergeCell ref="F30:I30"/>
    <mergeCell ref="F31:I31"/>
    <mergeCell ref="F32:I32"/>
    <mergeCell ref="F33:I33"/>
    <mergeCell ref="F47:I47"/>
    <mergeCell ref="F36:I36"/>
    <mergeCell ref="F37:I37"/>
    <mergeCell ref="F38:I38"/>
    <mergeCell ref="F39:I39"/>
    <mergeCell ref="F40:I40"/>
    <mergeCell ref="F41:I41"/>
    <mergeCell ref="F42:I42"/>
    <mergeCell ref="F43:I43"/>
    <mergeCell ref="F44:I44"/>
    <mergeCell ref="F45:I45"/>
    <mergeCell ref="F46:I46"/>
    <mergeCell ref="F59:I59"/>
    <mergeCell ref="F48:I48"/>
    <mergeCell ref="F49:I49"/>
    <mergeCell ref="F50:I50"/>
    <mergeCell ref="F51:I51"/>
    <mergeCell ref="F52:I52"/>
    <mergeCell ref="F53:I53"/>
    <mergeCell ref="F54:I54"/>
    <mergeCell ref="F55:I55"/>
    <mergeCell ref="F56:I56"/>
    <mergeCell ref="F57:I57"/>
    <mergeCell ref="F58:I58"/>
    <mergeCell ref="F75:I75"/>
    <mergeCell ref="F60:I60"/>
    <mergeCell ref="F61:I61"/>
    <mergeCell ref="F62:I62"/>
    <mergeCell ref="F63:I63"/>
    <mergeCell ref="F65:I65"/>
    <mergeCell ref="F66:I66"/>
    <mergeCell ref="F68:I68"/>
    <mergeCell ref="F69:I69"/>
    <mergeCell ref="F70:I70"/>
    <mergeCell ref="F73:I73"/>
    <mergeCell ref="F74:I74"/>
    <mergeCell ref="F88:I88"/>
    <mergeCell ref="F76:I76"/>
    <mergeCell ref="F77:I77"/>
    <mergeCell ref="F78:I78"/>
    <mergeCell ref="F79:I79"/>
    <mergeCell ref="F80:I80"/>
    <mergeCell ref="F82:I82"/>
    <mergeCell ref="F83:I83"/>
    <mergeCell ref="F84:I84"/>
    <mergeCell ref="F85:I85"/>
    <mergeCell ref="F86:I86"/>
    <mergeCell ref="F87:I87"/>
    <mergeCell ref="F100:I100"/>
    <mergeCell ref="F89:I89"/>
    <mergeCell ref="F90:I90"/>
    <mergeCell ref="F91:I91"/>
    <mergeCell ref="F92:I92"/>
    <mergeCell ref="F93:I93"/>
    <mergeCell ref="F94:I94"/>
    <mergeCell ref="F95:I95"/>
    <mergeCell ref="F96:I96"/>
    <mergeCell ref="F97:I97"/>
    <mergeCell ref="F98:I98"/>
    <mergeCell ref="F99:I99"/>
    <mergeCell ref="F108:I108"/>
    <mergeCell ref="F109:I109"/>
    <mergeCell ref="F111:I111"/>
    <mergeCell ref="F113:I113"/>
    <mergeCell ref="F101:I101"/>
    <mergeCell ref="F102:I102"/>
    <mergeCell ref="F103:I103"/>
    <mergeCell ref="F105:I105"/>
    <mergeCell ref="F106:I106"/>
    <mergeCell ref="F107:I107"/>
  </mergeCell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D201"/>
  <sheetViews>
    <sheetView showGridLines="0" view="pageBreakPreview" zoomScale="70" zoomScaleNormal="85" zoomScaleSheetLayoutView="70" workbookViewId="0">
      <pane ySplit="1" topLeftCell="A53" activePane="bottomLeft" state="frozen"/>
      <selection pane="bottomLeft" activeCell="AJ70" sqref="AJ70"/>
    </sheetView>
  </sheetViews>
  <sheetFormatPr defaultRowHeight="13.5" outlineLevelRow="1" outlineLevelCol="1"/>
  <cols>
    <col min="1" max="1" width="9.33203125" style="121"/>
    <col min="2" max="2" width="1.6640625" customWidth="1"/>
    <col min="3" max="3" width="4.1640625" style="121" customWidth="1"/>
    <col min="4" max="4" width="4.33203125" style="121" customWidth="1"/>
    <col min="5" max="5" width="17.1640625" style="121" customWidth="1"/>
    <col min="6" max="7" width="11.1640625" style="121" customWidth="1"/>
    <col min="8" max="8" width="12.5" style="121" customWidth="1"/>
    <col min="9" max="9" width="7" style="121" customWidth="1"/>
    <col min="10" max="10" width="5.1640625" style="121" customWidth="1"/>
    <col min="11" max="16" width="11.5" style="121" customWidth="1"/>
    <col min="17" max="30" width="11.5" style="121" hidden="1" customWidth="1" outlineLevel="1"/>
    <col min="31" max="31" width="12.83203125" style="121" bestFit="1" customWidth="1" collapsed="1"/>
    <col min="32" max="35" width="12.83203125" style="121" hidden="1" customWidth="1"/>
    <col min="36" max="36" width="18" style="121" customWidth="1"/>
    <col min="37" max="37" width="20" style="121" customWidth="1"/>
    <col min="38" max="38" width="18.83203125" style="121" customWidth="1"/>
    <col min="39" max="39" width="19" style="121" customWidth="1"/>
    <col min="40" max="41" width="18.83203125" style="121" customWidth="1"/>
    <col min="42" max="42" width="18" style="121" hidden="1" customWidth="1" outlineLevel="1"/>
    <col min="43" max="43" width="20" style="121" hidden="1" customWidth="1" outlineLevel="1"/>
    <col min="44" max="44" width="18.83203125" style="121" hidden="1" customWidth="1" outlineLevel="1"/>
    <col min="45" max="45" width="19" style="121" hidden="1" customWidth="1" outlineLevel="1"/>
    <col min="46" max="47" width="18.83203125" style="121" hidden="1" customWidth="1" outlineLevel="1"/>
    <col min="48" max="48" width="14.83203125" style="121" hidden="1" customWidth="1" outlineLevel="1"/>
    <col min="49" max="49" width="18" style="121" hidden="1" customWidth="1" outlineLevel="1"/>
    <col min="50" max="50" width="20" style="121" hidden="1" customWidth="1" outlineLevel="1"/>
    <col min="51" max="51" width="18.83203125" style="121" hidden="1" customWidth="1" outlineLevel="1"/>
    <col min="52" max="52" width="19" style="121" hidden="1" customWidth="1" outlineLevel="1"/>
    <col min="53" max="54" width="18.83203125" style="121" hidden="1" customWidth="1" outlineLevel="1"/>
    <col min="55" max="55" width="14.83203125" style="288" hidden="1" customWidth="1" outlineLevel="1"/>
    <col min="56" max="56" width="1.6640625" customWidth="1" collapsed="1"/>
  </cols>
  <sheetData>
    <row r="2" spans="2:56" s="1" customFormat="1" ht="6.95" customHeight="1"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80"/>
      <c r="BD2" s="28"/>
    </row>
    <row r="3" spans="2:56" s="1" customFormat="1" ht="36.950000000000003" customHeight="1">
      <c r="B3" s="15"/>
      <c r="C3" s="485" t="s">
        <v>134</v>
      </c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5"/>
      <c r="AH3" s="485"/>
      <c r="AI3" s="485"/>
      <c r="AJ3" s="485"/>
      <c r="AK3" s="123"/>
      <c r="AL3" s="123"/>
      <c r="AM3" s="123"/>
      <c r="AN3" s="123"/>
      <c r="AO3" s="123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81"/>
      <c r="BD3" s="17"/>
    </row>
    <row r="4" spans="2:56" s="1" customFormat="1" ht="6.75" customHeight="1">
      <c r="B4" s="15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81"/>
      <c r="BD4" s="17"/>
    </row>
    <row r="5" spans="2:56" s="1" customFormat="1" ht="30" customHeight="1">
      <c r="B5" s="15"/>
      <c r="C5" s="122" t="s">
        <v>3</v>
      </c>
      <c r="D5" s="123"/>
      <c r="E5" s="12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3"/>
      <c r="V5" s="513"/>
      <c r="W5" s="513"/>
      <c r="X5" s="513"/>
      <c r="Y5" s="513"/>
      <c r="Z5" s="513"/>
      <c r="AA5" s="513"/>
      <c r="AB5" s="513"/>
      <c r="AC5" s="513"/>
      <c r="AD5" s="513"/>
      <c r="AE5" s="513"/>
      <c r="AF5" s="513"/>
      <c r="AG5" s="513"/>
      <c r="AH5" s="513"/>
      <c r="AI5" s="513"/>
      <c r="AJ5" s="513"/>
      <c r="AK5" s="123"/>
      <c r="AL5" s="123"/>
      <c r="AM5" s="123"/>
      <c r="AN5" s="123"/>
      <c r="AO5" s="123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81"/>
      <c r="BD5" s="17"/>
    </row>
    <row r="6" spans="2:56" ht="30" customHeight="1">
      <c r="B6" s="10"/>
      <c r="C6" s="122" t="s">
        <v>121</v>
      </c>
      <c r="D6" s="120"/>
      <c r="E6" s="120"/>
      <c r="F6" s="513" t="s">
        <v>122</v>
      </c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3"/>
      <c r="V6" s="513"/>
      <c r="W6" s="513"/>
      <c r="X6" s="513"/>
      <c r="Y6" s="513"/>
      <c r="Z6" s="513"/>
      <c r="AA6" s="513"/>
      <c r="AB6" s="513"/>
      <c r="AC6" s="513"/>
      <c r="AD6" s="513"/>
      <c r="AE6" s="513"/>
      <c r="AF6" s="513"/>
      <c r="AG6" s="513"/>
      <c r="AH6" s="513"/>
      <c r="AI6" s="513"/>
      <c r="AJ6" s="513"/>
      <c r="AK6" s="120"/>
      <c r="AL6" s="120"/>
      <c r="AM6" s="120"/>
      <c r="AN6" s="120"/>
      <c r="AO6" s="120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417"/>
      <c r="BD6" s="11"/>
    </row>
    <row r="7" spans="2:56" s="1" customFormat="1" ht="36.950000000000003" customHeight="1">
      <c r="B7" s="15"/>
      <c r="C7" s="33" t="s">
        <v>123</v>
      </c>
      <c r="D7" s="123"/>
      <c r="E7" s="123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487"/>
      <c r="AE7" s="487"/>
      <c r="AF7" s="487"/>
      <c r="AG7" s="487"/>
      <c r="AH7" s="487"/>
      <c r="AI7" s="487"/>
      <c r="AJ7" s="487"/>
      <c r="AK7" s="123"/>
      <c r="AL7" s="123"/>
      <c r="AM7" s="123"/>
      <c r="AN7" s="123"/>
      <c r="AO7" s="123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81"/>
      <c r="BD7" s="17"/>
    </row>
    <row r="8" spans="2:56" s="1" customFormat="1" ht="6.95" customHeight="1">
      <c r="B8" s="15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81"/>
      <c r="BD8" s="17"/>
    </row>
    <row r="9" spans="2:56" s="1" customFormat="1" ht="18" customHeight="1">
      <c r="B9" s="15"/>
      <c r="C9" s="122" t="s">
        <v>4</v>
      </c>
      <c r="D9" s="123"/>
      <c r="E9" s="123"/>
      <c r="F9" s="119"/>
      <c r="G9" s="123"/>
      <c r="H9" s="123"/>
      <c r="I9" s="123"/>
      <c r="J9" s="123"/>
      <c r="K9" s="122" t="s">
        <v>5</v>
      </c>
      <c r="L9" s="122"/>
      <c r="M9" s="122"/>
      <c r="N9" s="122"/>
      <c r="O9" s="122"/>
      <c r="P9" s="122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123"/>
      <c r="AF9" s="514"/>
      <c r="AG9" s="514"/>
      <c r="AH9" s="514"/>
      <c r="AI9" s="514"/>
      <c r="AJ9" s="514"/>
      <c r="AK9" s="123"/>
      <c r="AL9" s="123"/>
      <c r="AM9" s="123"/>
      <c r="AN9" s="123"/>
      <c r="AO9" s="123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81"/>
      <c r="BD9" s="17"/>
    </row>
    <row r="10" spans="2:56" s="1" customFormat="1" ht="6.95" customHeight="1">
      <c r="B10" s="15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81"/>
      <c r="BD10" s="17"/>
    </row>
    <row r="11" spans="2:56" s="1" customFormat="1" ht="15">
      <c r="B11" s="15"/>
      <c r="C11" s="122" t="s">
        <v>6</v>
      </c>
      <c r="D11" s="123"/>
      <c r="E11" s="123"/>
      <c r="F11" s="119"/>
      <c r="G11" s="123"/>
      <c r="H11" s="123"/>
      <c r="I11" s="123"/>
      <c r="J11" s="123"/>
      <c r="K11" s="122" t="s">
        <v>8</v>
      </c>
      <c r="L11" s="122"/>
      <c r="M11" s="122"/>
      <c r="N11" s="122"/>
      <c r="O11" s="122"/>
      <c r="P11" s="122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123"/>
      <c r="AF11" s="510"/>
      <c r="AG11" s="510"/>
      <c r="AH11" s="510"/>
      <c r="AI11" s="510"/>
      <c r="AJ11" s="510"/>
      <c r="AK11" s="119"/>
      <c r="AL11" s="119"/>
      <c r="AM11" s="119"/>
      <c r="AN11" s="119"/>
      <c r="AO11" s="119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418"/>
      <c r="BD11" s="17"/>
    </row>
    <row r="12" spans="2:56" s="1" customFormat="1" ht="14.45" customHeight="1">
      <c r="B12" s="15"/>
      <c r="C12" s="122" t="s">
        <v>7</v>
      </c>
      <c r="D12" s="123"/>
      <c r="E12" s="123"/>
      <c r="F12" s="119"/>
      <c r="G12" s="123"/>
      <c r="H12" s="123"/>
      <c r="I12" s="123"/>
      <c r="J12" s="123"/>
      <c r="K12" s="122" t="s">
        <v>9</v>
      </c>
      <c r="L12" s="122"/>
      <c r="M12" s="122"/>
      <c r="N12" s="122"/>
      <c r="O12" s="122"/>
      <c r="P12" s="122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123"/>
      <c r="AF12" s="510"/>
      <c r="AG12" s="510"/>
      <c r="AH12" s="510"/>
      <c r="AI12" s="510"/>
      <c r="AJ12" s="510"/>
      <c r="AK12" s="119"/>
      <c r="AL12" s="119"/>
      <c r="AM12" s="119"/>
      <c r="AN12" s="119"/>
      <c r="AO12" s="119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418"/>
      <c r="BD12" s="17"/>
    </row>
    <row r="13" spans="2:56" s="1" customFormat="1" ht="14.45" customHeight="1">
      <c r="B13" s="15"/>
      <c r="C13" s="275"/>
      <c r="D13" s="274"/>
      <c r="E13" s="274"/>
      <c r="F13" s="271"/>
      <c r="G13" s="274"/>
      <c r="H13" s="274"/>
      <c r="I13" s="274"/>
      <c r="J13" s="274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4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418"/>
      <c r="BD13" s="17"/>
    </row>
    <row r="14" spans="2:56" s="1" customFormat="1" ht="17.25" customHeight="1">
      <c r="B14" s="15"/>
      <c r="C14" s="123"/>
      <c r="D14" s="123"/>
      <c r="E14" s="123"/>
      <c r="F14" s="123"/>
      <c r="G14" s="123"/>
      <c r="H14" s="123"/>
      <c r="I14" s="123"/>
      <c r="J14" s="123"/>
      <c r="K14" s="512" t="s">
        <v>1408</v>
      </c>
      <c r="L14" s="512"/>
      <c r="M14" s="512"/>
      <c r="N14" s="512"/>
      <c r="O14" s="512"/>
      <c r="P14" s="512"/>
      <c r="Q14" s="497" t="s">
        <v>1409</v>
      </c>
      <c r="R14" s="497"/>
      <c r="S14" s="497"/>
      <c r="T14" s="497"/>
      <c r="U14" s="497"/>
      <c r="V14" s="497"/>
      <c r="W14" s="497"/>
      <c r="X14" s="496" t="s">
        <v>1410</v>
      </c>
      <c r="Y14" s="496"/>
      <c r="Z14" s="496"/>
      <c r="AA14" s="496"/>
      <c r="AB14" s="496"/>
      <c r="AC14" s="496"/>
      <c r="AD14" s="496"/>
      <c r="AE14" s="405"/>
      <c r="AF14" s="123"/>
      <c r="AG14" s="123"/>
      <c r="AH14" s="123"/>
      <c r="AI14" s="123"/>
      <c r="AJ14" s="512" t="s">
        <v>1408</v>
      </c>
      <c r="AK14" s="512"/>
      <c r="AL14" s="512"/>
      <c r="AM14" s="512"/>
      <c r="AN14" s="512"/>
      <c r="AO14" s="512"/>
      <c r="AP14" s="497" t="s">
        <v>1409</v>
      </c>
      <c r="AQ14" s="497"/>
      <c r="AR14" s="497"/>
      <c r="AS14" s="497"/>
      <c r="AT14" s="497"/>
      <c r="AU14" s="497"/>
      <c r="AV14" s="497"/>
      <c r="AW14" s="496" t="s">
        <v>1410</v>
      </c>
      <c r="AX14" s="496"/>
      <c r="AY14" s="496"/>
      <c r="AZ14" s="496"/>
      <c r="BA14" s="496"/>
      <c r="BB14" s="496"/>
      <c r="BC14" s="496"/>
      <c r="BD14" s="405"/>
    </row>
    <row r="15" spans="2:56" s="6" customFormat="1" ht="29.25" customHeight="1">
      <c r="B15" s="75"/>
      <c r="C15" s="76" t="s">
        <v>135</v>
      </c>
      <c r="D15" s="125" t="s">
        <v>136</v>
      </c>
      <c r="E15" s="125" t="s">
        <v>14</v>
      </c>
      <c r="F15" s="511" t="s">
        <v>137</v>
      </c>
      <c r="G15" s="511"/>
      <c r="H15" s="511"/>
      <c r="I15" s="511"/>
      <c r="J15" s="125" t="s">
        <v>138</v>
      </c>
      <c r="K15" s="125" t="s">
        <v>1089</v>
      </c>
      <c r="L15" s="125" t="s">
        <v>1090</v>
      </c>
      <c r="M15" s="125" t="s">
        <v>1091</v>
      </c>
      <c r="N15" s="125" t="s">
        <v>1092</v>
      </c>
      <c r="O15" s="125" t="s">
        <v>1093</v>
      </c>
      <c r="P15" s="125" t="s">
        <v>1106</v>
      </c>
      <c r="Q15" s="272" t="s">
        <v>1089</v>
      </c>
      <c r="R15" s="272" t="s">
        <v>1090</v>
      </c>
      <c r="S15" s="272" t="s">
        <v>1091</v>
      </c>
      <c r="T15" s="272" t="s">
        <v>1092</v>
      </c>
      <c r="U15" s="272" t="s">
        <v>1093</v>
      </c>
      <c r="V15" s="272" t="s">
        <v>1106</v>
      </c>
      <c r="W15" s="272" t="s">
        <v>883</v>
      </c>
      <c r="X15" s="272" t="s">
        <v>1089</v>
      </c>
      <c r="Y15" s="272" t="s">
        <v>1090</v>
      </c>
      <c r="Z15" s="272" t="s">
        <v>1091</v>
      </c>
      <c r="AA15" s="272" t="s">
        <v>1092</v>
      </c>
      <c r="AB15" s="272" t="s">
        <v>1093</v>
      </c>
      <c r="AC15" s="272" t="s">
        <v>1106</v>
      </c>
      <c r="AD15" s="272" t="s">
        <v>883</v>
      </c>
      <c r="AE15" s="126" t="s">
        <v>1095</v>
      </c>
      <c r="AF15" s="126" t="s">
        <v>1096</v>
      </c>
      <c r="AG15" s="126" t="s">
        <v>1098</v>
      </c>
      <c r="AH15" s="126" t="s">
        <v>1100</v>
      </c>
      <c r="AI15" s="126" t="s">
        <v>1102</v>
      </c>
      <c r="AJ15" s="125" t="s">
        <v>1094</v>
      </c>
      <c r="AK15" s="125" t="s">
        <v>1097</v>
      </c>
      <c r="AL15" s="125" t="s">
        <v>1099</v>
      </c>
      <c r="AM15" s="125" t="s">
        <v>1101</v>
      </c>
      <c r="AN15" s="125" t="s">
        <v>1103</v>
      </c>
      <c r="AO15" s="291" t="s">
        <v>1107</v>
      </c>
      <c r="AP15" s="272" t="s">
        <v>1094</v>
      </c>
      <c r="AQ15" s="272" t="s">
        <v>1097</v>
      </c>
      <c r="AR15" s="272" t="s">
        <v>1099</v>
      </c>
      <c r="AS15" s="272" t="s">
        <v>1101</v>
      </c>
      <c r="AT15" s="272" t="s">
        <v>1103</v>
      </c>
      <c r="AU15" s="272" t="s">
        <v>1107</v>
      </c>
      <c r="AV15" s="423" t="s">
        <v>883</v>
      </c>
      <c r="AW15" s="272" t="s">
        <v>1094</v>
      </c>
      <c r="AX15" s="272" t="s">
        <v>1097</v>
      </c>
      <c r="AY15" s="272" t="s">
        <v>1099</v>
      </c>
      <c r="AZ15" s="272" t="s">
        <v>1101</v>
      </c>
      <c r="BA15" s="272" t="s">
        <v>1103</v>
      </c>
      <c r="BB15" s="272" t="s">
        <v>1107</v>
      </c>
      <c r="BC15" s="419" t="s">
        <v>883</v>
      </c>
      <c r="BD15" s="78"/>
    </row>
    <row r="16" spans="2:56" s="1" customFormat="1" ht="29.25" customHeight="1">
      <c r="B16" s="15"/>
      <c r="C16" s="363" t="s">
        <v>41</v>
      </c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2">
        <f t="shared" ref="AJ16:AO16" si="0">AJ17+AJ28</f>
        <v>21463.975000000002</v>
      </c>
      <c r="AK16" s="362">
        <f t="shared" si="0"/>
        <v>21471.31</v>
      </c>
      <c r="AL16" s="362">
        <f t="shared" si="0"/>
        <v>22219.348000000002</v>
      </c>
      <c r="AM16" s="362">
        <f t="shared" si="0"/>
        <v>29654.045000000002</v>
      </c>
      <c r="AN16" s="362">
        <f t="shared" si="0"/>
        <v>13950.940999999999</v>
      </c>
      <c r="AO16" s="408">
        <f t="shared" si="0"/>
        <v>108759.61899999999</v>
      </c>
      <c r="AP16" s="362">
        <f t="shared" ref="AP16:AU16" si="1">AP17+AP28</f>
        <v>0</v>
      </c>
      <c r="AQ16" s="362">
        <f t="shared" si="1"/>
        <v>0</v>
      </c>
      <c r="AR16" s="362">
        <f t="shared" si="1"/>
        <v>0</v>
      </c>
      <c r="AS16" s="362">
        <f t="shared" si="1"/>
        <v>0</v>
      </c>
      <c r="AT16" s="362">
        <f t="shared" si="1"/>
        <v>0</v>
      </c>
      <c r="AU16" s="362">
        <f t="shared" si="1"/>
        <v>0</v>
      </c>
      <c r="AV16" s="424">
        <f t="shared" ref="AV16" si="2">AU16/AO16</f>
        <v>0</v>
      </c>
      <c r="AW16" s="362">
        <f t="shared" ref="AW16:BB16" si="3">AW17+AW28</f>
        <v>21463.975000000002</v>
      </c>
      <c r="AX16" s="362">
        <f t="shared" si="3"/>
        <v>21471.31</v>
      </c>
      <c r="AY16" s="362">
        <f t="shared" si="3"/>
        <v>22219.348000000002</v>
      </c>
      <c r="AZ16" s="362">
        <f t="shared" si="3"/>
        <v>29654.045000000002</v>
      </c>
      <c r="BA16" s="362">
        <f t="shared" si="3"/>
        <v>13950.940999999999</v>
      </c>
      <c r="BB16" s="362">
        <f t="shared" si="3"/>
        <v>108759.61899999999</v>
      </c>
      <c r="BC16" s="416" t="e">
        <f t="shared" ref="BC16" si="4">BB16/AV16</f>
        <v>#DIV/0!</v>
      </c>
      <c r="BD16" s="17"/>
    </row>
    <row r="17" spans="2:56" s="369" customFormat="1" ht="37.35" customHeight="1">
      <c r="B17" s="370"/>
      <c r="C17" s="371"/>
      <c r="D17" s="175" t="s">
        <v>127</v>
      </c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62">
        <f t="shared" ref="AJ17:AO17" si="5">AJ21+AJ26+AJ18</f>
        <v>727.66499999999996</v>
      </c>
      <c r="AK17" s="162">
        <f t="shared" si="5"/>
        <v>727.66499999999996</v>
      </c>
      <c r="AL17" s="162">
        <f t="shared" si="5"/>
        <v>997.64499999999998</v>
      </c>
      <c r="AM17" s="162">
        <f t="shared" si="5"/>
        <v>736.351</v>
      </c>
      <c r="AN17" s="162">
        <f t="shared" si="5"/>
        <v>1754.7719999999999</v>
      </c>
      <c r="AO17" s="409">
        <f t="shared" si="5"/>
        <v>4944.098</v>
      </c>
      <c r="AP17" s="162">
        <f t="shared" ref="AP17:AU17" si="6">AP21+AP26+AP18</f>
        <v>0</v>
      </c>
      <c r="AQ17" s="162">
        <f t="shared" si="6"/>
        <v>0</v>
      </c>
      <c r="AR17" s="162">
        <f t="shared" si="6"/>
        <v>0</v>
      </c>
      <c r="AS17" s="162">
        <f t="shared" si="6"/>
        <v>0</v>
      </c>
      <c r="AT17" s="162">
        <f t="shared" si="6"/>
        <v>0</v>
      </c>
      <c r="AU17" s="162">
        <f t="shared" si="6"/>
        <v>0</v>
      </c>
      <c r="AV17" s="409"/>
      <c r="AW17" s="162">
        <f t="shared" ref="AW17:BB17" si="7">AW21+AW26+AW18</f>
        <v>727.66499999999996</v>
      </c>
      <c r="AX17" s="162">
        <f t="shared" si="7"/>
        <v>727.66499999999996</v>
      </c>
      <c r="AY17" s="162">
        <f t="shared" si="7"/>
        <v>997.64499999999998</v>
      </c>
      <c r="AZ17" s="162">
        <f t="shared" si="7"/>
        <v>736.351</v>
      </c>
      <c r="BA17" s="162">
        <f t="shared" si="7"/>
        <v>1754.7719999999999</v>
      </c>
      <c r="BB17" s="162">
        <f t="shared" si="7"/>
        <v>4944.098</v>
      </c>
      <c r="BC17" s="420"/>
      <c r="BD17" s="372"/>
    </row>
    <row r="18" spans="2:56" s="369" customFormat="1" ht="37.35" customHeight="1">
      <c r="B18" s="370"/>
      <c r="C18" s="371"/>
      <c r="D18" s="176" t="s">
        <v>481</v>
      </c>
      <c r="E18" s="176"/>
      <c r="F18" s="176"/>
      <c r="G18" s="176"/>
      <c r="H18" s="176"/>
      <c r="I18" s="176"/>
      <c r="J18" s="176"/>
      <c r="K18" s="176"/>
      <c r="L18" s="175"/>
      <c r="M18" s="175"/>
      <c r="N18" s="175"/>
      <c r="O18" s="175"/>
      <c r="P18" s="175"/>
      <c r="Q18" s="176"/>
      <c r="R18" s="175"/>
      <c r="S18" s="175"/>
      <c r="T18" s="175"/>
      <c r="U18" s="175"/>
      <c r="V18" s="175"/>
      <c r="W18" s="175"/>
      <c r="X18" s="176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61">
        <f t="shared" ref="AJ18:AO18" si="8">AJ19+AJ20</f>
        <v>0</v>
      </c>
      <c r="AK18" s="161">
        <f t="shared" si="8"/>
        <v>0</v>
      </c>
      <c r="AL18" s="161">
        <f t="shared" si="8"/>
        <v>261.29399999999998</v>
      </c>
      <c r="AM18" s="161">
        <f t="shared" si="8"/>
        <v>0</v>
      </c>
      <c r="AN18" s="161">
        <f t="shared" si="8"/>
        <v>761.90700000000004</v>
      </c>
      <c r="AO18" s="410">
        <f t="shared" si="8"/>
        <v>1023.201</v>
      </c>
      <c r="AP18" s="161">
        <f t="shared" ref="AP18:AU18" si="9">AP19+AP20</f>
        <v>0</v>
      </c>
      <c r="AQ18" s="161">
        <f t="shared" si="9"/>
        <v>0</v>
      </c>
      <c r="AR18" s="161">
        <f t="shared" si="9"/>
        <v>0</v>
      </c>
      <c r="AS18" s="161">
        <f t="shared" si="9"/>
        <v>0</v>
      </c>
      <c r="AT18" s="161">
        <f t="shared" si="9"/>
        <v>0</v>
      </c>
      <c r="AU18" s="161">
        <f t="shared" si="9"/>
        <v>0</v>
      </c>
      <c r="AV18" s="425"/>
      <c r="AW18" s="161">
        <f t="shared" ref="AW18:BB18" si="10">AW19+AW20</f>
        <v>0</v>
      </c>
      <c r="AX18" s="161">
        <f t="shared" si="10"/>
        <v>0</v>
      </c>
      <c r="AY18" s="161">
        <f t="shared" si="10"/>
        <v>261.29399999999998</v>
      </c>
      <c r="AZ18" s="161">
        <f t="shared" si="10"/>
        <v>0</v>
      </c>
      <c r="BA18" s="161">
        <f t="shared" si="10"/>
        <v>761.90700000000004</v>
      </c>
      <c r="BB18" s="161">
        <f t="shared" si="10"/>
        <v>1023.201</v>
      </c>
      <c r="BC18" s="421"/>
      <c r="BD18" s="372"/>
    </row>
    <row r="19" spans="2:56" s="7" customFormat="1" ht="37.35" customHeight="1">
      <c r="B19" s="82"/>
      <c r="C19" s="93" t="s">
        <v>478</v>
      </c>
      <c r="D19" s="93" t="s">
        <v>149</v>
      </c>
      <c r="E19" s="94" t="s">
        <v>482</v>
      </c>
      <c r="F19" s="500" t="s">
        <v>483</v>
      </c>
      <c r="G19" s="501"/>
      <c r="H19" s="501"/>
      <c r="I19" s="502"/>
      <c r="J19" s="95" t="s">
        <v>396</v>
      </c>
      <c r="K19" s="128">
        <v>0</v>
      </c>
      <c r="L19" s="128">
        <v>0</v>
      </c>
      <c r="M19" s="128">
        <v>1.125</v>
      </c>
      <c r="N19" s="128">
        <v>0</v>
      </c>
      <c r="O19" s="128">
        <v>3.456</v>
      </c>
      <c r="P19" s="403">
        <f>SUM(K19:O19)</f>
        <v>4.5809999999999995</v>
      </c>
      <c r="Q19" s="400">
        <v>0</v>
      </c>
      <c r="R19" s="400">
        <v>0</v>
      </c>
      <c r="S19" s="400">
        <v>0</v>
      </c>
      <c r="T19" s="400">
        <v>0</v>
      </c>
      <c r="U19" s="400">
        <v>0</v>
      </c>
      <c r="V19" s="165">
        <f>SUM(Q19:U19)</f>
        <v>0</v>
      </c>
      <c r="W19" s="289">
        <f>V19/P19</f>
        <v>0</v>
      </c>
      <c r="X19" s="400">
        <f>K19-Q19</f>
        <v>0</v>
      </c>
      <c r="Y19" s="400">
        <f t="shared" ref="Y19:Y20" si="11">L19-R19</f>
        <v>0</v>
      </c>
      <c r="Z19" s="400">
        <f t="shared" ref="Z19:Z20" si="12">M19-S19</f>
        <v>1.125</v>
      </c>
      <c r="AA19" s="400">
        <f t="shared" ref="AA19:AA20" si="13">N19-T19</f>
        <v>0</v>
      </c>
      <c r="AB19" s="400">
        <f t="shared" ref="AB19:AB20" si="14">O19-U19</f>
        <v>3.456</v>
      </c>
      <c r="AC19" s="165">
        <f>SUM(X19:AB19)</f>
        <v>4.5809999999999995</v>
      </c>
      <c r="AD19" s="289">
        <f>AC19/P19</f>
        <v>1</v>
      </c>
      <c r="AE19" s="137">
        <v>158.36000000000001</v>
      </c>
      <c r="AF19" s="137">
        <v>158.36000000000001</v>
      </c>
      <c r="AG19" s="137">
        <v>158.36000000000001</v>
      </c>
      <c r="AH19" s="137">
        <v>158.36000000000001</v>
      </c>
      <c r="AI19" s="137">
        <v>158.36000000000001</v>
      </c>
      <c r="AJ19" s="153">
        <f t="shared" ref="AJ19:AN20" si="15">ROUND(AE19*K19,3)</f>
        <v>0</v>
      </c>
      <c r="AK19" s="128">
        <f t="shared" si="15"/>
        <v>0</v>
      </c>
      <c r="AL19" s="128">
        <f t="shared" si="15"/>
        <v>178.155</v>
      </c>
      <c r="AM19" s="128">
        <f t="shared" si="15"/>
        <v>0</v>
      </c>
      <c r="AN19" s="128">
        <f t="shared" si="15"/>
        <v>547.29200000000003</v>
      </c>
      <c r="AO19" s="411">
        <f>SUM(AJ19:AN19)</f>
        <v>725.447</v>
      </c>
      <c r="AP19" s="211">
        <f t="shared" ref="AP19:AT20" si="16">ROUND(AE19*Q19,3)</f>
        <v>0</v>
      </c>
      <c r="AQ19" s="211">
        <f t="shared" si="16"/>
        <v>0</v>
      </c>
      <c r="AR19" s="211">
        <f t="shared" si="16"/>
        <v>0</v>
      </c>
      <c r="AS19" s="211">
        <f t="shared" si="16"/>
        <v>0</v>
      </c>
      <c r="AT19" s="211">
        <f t="shared" si="16"/>
        <v>0</v>
      </c>
      <c r="AU19" s="128">
        <f>SUM(AP19:AT19)</f>
        <v>0</v>
      </c>
      <c r="AV19" s="312">
        <f t="shared" ref="AV19:AV20" si="17">AU19/AO19</f>
        <v>0</v>
      </c>
      <c r="AW19" s="277">
        <f>AJ19-AP19</f>
        <v>0</v>
      </c>
      <c r="AX19" s="211">
        <f t="shared" ref="AX19:AX20" si="18">AK19-AQ19</f>
        <v>0</v>
      </c>
      <c r="AY19" s="211">
        <f t="shared" ref="AY19:AY20" si="19">AL19-AR19</f>
        <v>178.155</v>
      </c>
      <c r="AZ19" s="211">
        <f t="shared" ref="AZ19:AZ20" si="20">AM19-AS19</f>
        <v>0</v>
      </c>
      <c r="BA19" s="211">
        <f t="shared" ref="BA19:BA20" si="21">AN19-AT19</f>
        <v>547.29200000000003</v>
      </c>
      <c r="BB19" s="128">
        <f>SUM(AW19:BA19)</f>
        <v>725.447</v>
      </c>
      <c r="BC19" s="426">
        <f>BB19/AO19</f>
        <v>1</v>
      </c>
      <c r="BD19" s="85"/>
    </row>
    <row r="20" spans="2:56" s="7" customFormat="1" ht="37.35" customHeight="1">
      <c r="B20" s="82"/>
      <c r="C20" s="93" t="s">
        <v>479</v>
      </c>
      <c r="D20" s="93" t="s">
        <v>149</v>
      </c>
      <c r="E20" s="94" t="s">
        <v>484</v>
      </c>
      <c r="F20" s="500" t="s">
        <v>485</v>
      </c>
      <c r="G20" s="501"/>
      <c r="H20" s="501"/>
      <c r="I20" s="502"/>
      <c r="J20" s="95" t="s">
        <v>152</v>
      </c>
      <c r="K20" s="128">
        <v>0</v>
      </c>
      <c r="L20" s="128">
        <v>0</v>
      </c>
      <c r="M20" s="128">
        <v>0.129</v>
      </c>
      <c r="N20" s="128">
        <v>0</v>
      </c>
      <c r="O20" s="128">
        <v>0.33300000000000002</v>
      </c>
      <c r="P20" s="403">
        <f>SUM(K20:O20)</f>
        <v>0.46200000000000002</v>
      </c>
      <c r="Q20" s="400">
        <v>0</v>
      </c>
      <c r="R20" s="400">
        <v>0</v>
      </c>
      <c r="S20" s="400">
        <v>0</v>
      </c>
      <c r="T20" s="400">
        <v>0</v>
      </c>
      <c r="U20" s="400">
        <v>0</v>
      </c>
      <c r="V20" s="165">
        <f>SUM(Q20:U20)</f>
        <v>0</v>
      </c>
      <c r="W20" s="289">
        <f>V20/P20</f>
        <v>0</v>
      </c>
      <c r="X20" s="400">
        <f t="shared" ref="X20" si="22">K20-Q20</f>
        <v>0</v>
      </c>
      <c r="Y20" s="400">
        <f t="shared" si="11"/>
        <v>0</v>
      </c>
      <c r="Z20" s="400">
        <f t="shared" si="12"/>
        <v>0.129</v>
      </c>
      <c r="AA20" s="400">
        <f t="shared" si="13"/>
        <v>0</v>
      </c>
      <c r="AB20" s="400">
        <f t="shared" si="14"/>
        <v>0.33300000000000002</v>
      </c>
      <c r="AC20" s="165">
        <f>SUM(X20:AB20)</f>
        <v>0.46200000000000002</v>
      </c>
      <c r="AD20" s="289">
        <f>AC20/P20</f>
        <v>1</v>
      </c>
      <c r="AE20" s="137">
        <v>644.49</v>
      </c>
      <c r="AF20" s="137">
        <v>644.49</v>
      </c>
      <c r="AG20" s="137">
        <v>644.49</v>
      </c>
      <c r="AH20" s="137">
        <v>644.49</v>
      </c>
      <c r="AI20" s="137">
        <v>644.49</v>
      </c>
      <c r="AJ20" s="153">
        <f t="shared" si="15"/>
        <v>0</v>
      </c>
      <c r="AK20" s="128">
        <f t="shared" si="15"/>
        <v>0</v>
      </c>
      <c r="AL20" s="128">
        <f t="shared" si="15"/>
        <v>83.138999999999996</v>
      </c>
      <c r="AM20" s="128">
        <f t="shared" si="15"/>
        <v>0</v>
      </c>
      <c r="AN20" s="128">
        <f t="shared" si="15"/>
        <v>214.61500000000001</v>
      </c>
      <c r="AO20" s="411">
        <f>SUM(AJ20:AN20)</f>
        <v>297.75400000000002</v>
      </c>
      <c r="AP20" s="211">
        <f t="shared" si="16"/>
        <v>0</v>
      </c>
      <c r="AQ20" s="211">
        <f t="shared" si="16"/>
        <v>0</v>
      </c>
      <c r="AR20" s="211">
        <f t="shared" si="16"/>
        <v>0</v>
      </c>
      <c r="AS20" s="211">
        <f t="shared" si="16"/>
        <v>0</v>
      </c>
      <c r="AT20" s="211">
        <f t="shared" si="16"/>
        <v>0</v>
      </c>
      <c r="AU20" s="128">
        <f>SUM(AP20:AT20)</f>
        <v>0</v>
      </c>
      <c r="AV20" s="312">
        <f t="shared" si="17"/>
        <v>0</v>
      </c>
      <c r="AW20" s="277">
        <f t="shared" ref="AW20" si="23">AJ20-AP20</f>
        <v>0</v>
      </c>
      <c r="AX20" s="211">
        <f t="shared" si="18"/>
        <v>0</v>
      </c>
      <c r="AY20" s="211">
        <f t="shared" si="19"/>
        <v>83.138999999999996</v>
      </c>
      <c r="AZ20" s="211">
        <f t="shared" si="20"/>
        <v>0</v>
      </c>
      <c r="BA20" s="211">
        <f t="shared" si="21"/>
        <v>214.61500000000001</v>
      </c>
      <c r="BB20" s="128">
        <f>SUM(AW20:BA20)</f>
        <v>297.75400000000002</v>
      </c>
      <c r="BC20" s="426">
        <f>BB20/AO20</f>
        <v>1</v>
      </c>
      <c r="BD20" s="85"/>
    </row>
    <row r="21" spans="2:56" s="369" customFormat="1" ht="19.899999999999999" customHeight="1">
      <c r="B21" s="370"/>
      <c r="C21" s="371"/>
      <c r="D21" s="176" t="s">
        <v>128</v>
      </c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59">
        <f t="shared" ref="AJ21:AO21" si="24">SUM(AJ22:AJ25)</f>
        <v>447.00700000000001</v>
      </c>
      <c r="AK21" s="161">
        <f t="shared" si="24"/>
        <v>447.00700000000001</v>
      </c>
      <c r="AL21" s="161">
        <f t="shared" si="24"/>
        <v>455.69299999999998</v>
      </c>
      <c r="AM21" s="161">
        <f t="shared" si="24"/>
        <v>455.69299999999998</v>
      </c>
      <c r="AN21" s="161">
        <f t="shared" si="24"/>
        <v>712.20699999999999</v>
      </c>
      <c r="AO21" s="410">
        <f t="shared" si="24"/>
        <v>2517.607</v>
      </c>
      <c r="AP21" s="159">
        <f t="shared" ref="AP21:AU21" si="25">SUM(AP22:AP25)</f>
        <v>0</v>
      </c>
      <c r="AQ21" s="161">
        <f t="shared" si="25"/>
        <v>0</v>
      </c>
      <c r="AR21" s="161">
        <f t="shared" si="25"/>
        <v>0</v>
      </c>
      <c r="AS21" s="161">
        <f t="shared" si="25"/>
        <v>0</v>
      </c>
      <c r="AT21" s="161">
        <f t="shared" si="25"/>
        <v>0</v>
      </c>
      <c r="AU21" s="161">
        <f t="shared" si="25"/>
        <v>0</v>
      </c>
      <c r="AV21" s="425"/>
      <c r="AW21" s="159">
        <f t="shared" ref="AW21:BB21" si="26">SUM(AW22:AW25)</f>
        <v>447.00700000000001</v>
      </c>
      <c r="AX21" s="161">
        <f t="shared" si="26"/>
        <v>447.00700000000001</v>
      </c>
      <c r="AY21" s="161">
        <f t="shared" si="26"/>
        <v>455.69299999999998</v>
      </c>
      <c r="AZ21" s="161">
        <f t="shared" si="26"/>
        <v>455.69299999999998</v>
      </c>
      <c r="BA21" s="161">
        <f t="shared" si="26"/>
        <v>712.20699999999999</v>
      </c>
      <c r="BB21" s="161">
        <f t="shared" si="26"/>
        <v>2517.607</v>
      </c>
      <c r="BC21" s="427"/>
      <c r="BD21" s="372"/>
    </row>
    <row r="22" spans="2:56" s="1" customFormat="1" ht="31.5" customHeight="1">
      <c r="B22" s="73"/>
      <c r="C22" s="93" t="s">
        <v>105</v>
      </c>
      <c r="D22" s="93" t="s">
        <v>149</v>
      </c>
      <c r="E22" s="94" t="s">
        <v>150</v>
      </c>
      <c r="F22" s="500" t="s">
        <v>151</v>
      </c>
      <c r="G22" s="501"/>
      <c r="H22" s="501"/>
      <c r="I22" s="502"/>
      <c r="J22" s="95" t="s">
        <v>152</v>
      </c>
      <c r="K22" s="128">
        <v>3.242</v>
      </c>
      <c r="L22" s="128">
        <v>3.242</v>
      </c>
      <c r="M22" s="128">
        <v>3.3050000000000002</v>
      </c>
      <c r="N22" s="128">
        <v>3.3050000000000002</v>
      </c>
      <c r="O22" s="128">
        <v>6.242</v>
      </c>
      <c r="P22" s="403">
        <f>SUM(K22:O22)</f>
        <v>19.335999999999999</v>
      </c>
      <c r="Q22" s="400">
        <v>0</v>
      </c>
      <c r="R22" s="400">
        <v>0</v>
      </c>
      <c r="S22" s="400">
        <v>0</v>
      </c>
      <c r="T22" s="400">
        <v>0</v>
      </c>
      <c r="U22" s="400">
        <v>0</v>
      </c>
      <c r="V22" s="165">
        <f>SUM(Q22:U22)</f>
        <v>0</v>
      </c>
      <c r="W22" s="289">
        <f>V22/P22</f>
        <v>0</v>
      </c>
      <c r="X22" s="400">
        <f t="shared" ref="X22:X25" si="27">K22-Q22</f>
        <v>3.242</v>
      </c>
      <c r="Y22" s="400">
        <f t="shared" ref="Y22:Y25" si="28">L22-R22</f>
        <v>3.242</v>
      </c>
      <c r="Z22" s="400">
        <f t="shared" ref="Z22:Z25" si="29">M22-S22</f>
        <v>3.3050000000000002</v>
      </c>
      <c r="AA22" s="400">
        <f t="shared" ref="AA22:AA25" si="30">N22-T22</f>
        <v>3.3050000000000002</v>
      </c>
      <c r="AB22" s="400">
        <f t="shared" ref="AB22:AB25" si="31">O22-U22</f>
        <v>6.242</v>
      </c>
      <c r="AC22" s="165">
        <f>SUM(X22:AB22)</f>
        <v>19.335999999999999</v>
      </c>
      <c r="AD22" s="289">
        <f t="shared" ref="AD22:AD25" si="32">AC22/P22</f>
        <v>1</v>
      </c>
      <c r="AE22" s="137">
        <v>52</v>
      </c>
      <c r="AF22" s="137">
        <v>52</v>
      </c>
      <c r="AG22" s="137">
        <v>52</v>
      </c>
      <c r="AH22" s="137">
        <v>52</v>
      </c>
      <c r="AI22" s="137">
        <v>52</v>
      </c>
      <c r="AJ22" s="153">
        <f t="shared" ref="AJ22:AN25" si="33">ROUND(AE22*K22,3)</f>
        <v>168.584</v>
      </c>
      <c r="AK22" s="128">
        <f t="shared" si="33"/>
        <v>168.584</v>
      </c>
      <c r="AL22" s="128">
        <f t="shared" si="33"/>
        <v>171.86</v>
      </c>
      <c r="AM22" s="128">
        <f t="shared" si="33"/>
        <v>171.86</v>
      </c>
      <c r="AN22" s="128">
        <f t="shared" si="33"/>
        <v>324.584</v>
      </c>
      <c r="AO22" s="411">
        <f>SUM(AJ22:AN22)</f>
        <v>1005.472</v>
      </c>
      <c r="AP22" s="211">
        <f t="shared" ref="AP22:AP25" si="34">ROUND(AE22*Q22,3)</f>
        <v>0</v>
      </c>
      <c r="AQ22" s="211">
        <f t="shared" ref="AQ22:AQ25" si="35">ROUND(AF22*R22,3)</f>
        <v>0</v>
      </c>
      <c r="AR22" s="211">
        <f t="shared" ref="AR22:AR25" si="36">ROUND(AG22*S22,3)</f>
        <v>0</v>
      </c>
      <c r="AS22" s="211">
        <f t="shared" ref="AS22:AS25" si="37">ROUND(AH22*T22,3)</f>
        <v>0</v>
      </c>
      <c r="AT22" s="211">
        <f t="shared" ref="AT22:AT25" si="38">ROUND(AI22*U22,3)</f>
        <v>0</v>
      </c>
      <c r="AU22" s="128">
        <f>SUM(AP22:AT22)</f>
        <v>0</v>
      </c>
      <c r="AV22" s="312">
        <f t="shared" ref="AV22:AV25" si="39">AU22/AO22</f>
        <v>0</v>
      </c>
      <c r="AW22" s="277">
        <f t="shared" ref="AW22:AW25" si="40">AJ22-AP22</f>
        <v>168.584</v>
      </c>
      <c r="AX22" s="211">
        <f t="shared" ref="AX22:AX25" si="41">AK22-AQ22</f>
        <v>168.584</v>
      </c>
      <c r="AY22" s="211">
        <f t="shared" ref="AY22:AY25" si="42">AL22-AR22</f>
        <v>171.86</v>
      </c>
      <c r="AZ22" s="211">
        <f t="shared" ref="AZ22:AZ25" si="43">AM22-AS22</f>
        <v>171.86</v>
      </c>
      <c r="BA22" s="211">
        <f t="shared" ref="BA22:BA25" si="44">AN22-AT22</f>
        <v>324.584</v>
      </c>
      <c r="BB22" s="128">
        <f>SUM(AW22:BA22)</f>
        <v>1005.472</v>
      </c>
      <c r="BC22" s="426">
        <f t="shared" ref="BC22:BC25" si="45">BB22/AO22</f>
        <v>1</v>
      </c>
      <c r="BD22" s="74"/>
    </row>
    <row r="23" spans="2:56" s="1" customFormat="1" ht="31.5" customHeight="1">
      <c r="B23" s="73"/>
      <c r="C23" s="93" t="s">
        <v>153</v>
      </c>
      <c r="D23" s="93" t="s">
        <v>149</v>
      </c>
      <c r="E23" s="94" t="s">
        <v>154</v>
      </c>
      <c r="F23" s="500" t="s">
        <v>155</v>
      </c>
      <c r="G23" s="501"/>
      <c r="H23" s="501"/>
      <c r="I23" s="502"/>
      <c r="J23" s="95" t="s">
        <v>152</v>
      </c>
      <c r="K23" s="128">
        <v>3.242</v>
      </c>
      <c r="L23" s="128">
        <v>3.242</v>
      </c>
      <c r="M23" s="128">
        <v>3.3050000000000002</v>
      </c>
      <c r="N23" s="128">
        <v>3.3050000000000002</v>
      </c>
      <c r="O23" s="128">
        <v>6.242</v>
      </c>
      <c r="P23" s="403">
        <f>SUM(K23:O23)</f>
        <v>19.335999999999999</v>
      </c>
      <c r="Q23" s="400">
        <v>0</v>
      </c>
      <c r="R23" s="400">
        <v>0</v>
      </c>
      <c r="S23" s="400">
        <v>0</v>
      </c>
      <c r="T23" s="400">
        <v>0</v>
      </c>
      <c r="U23" s="400">
        <v>0</v>
      </c>
      <c r="V23" s="165">
        <f>SUM(Q23:U23)</f>
        <v>0</v>
      </c>
      <c r="W23" s="289">
        <f>V23/P23</f>
        <v>0</v>
      </c>
      <c r="X23" s="400">
        <f t="shared" si="27"/>
        <v>3.242</v>
      </c>
      <c r="Y23" s="400">
        <f t="shared" si="28"/>
        <v>3.242</v>
      </c>
      <c r="Z23" s="400">
        <f t="shared" si="29"/>
        <v>3.3050000000000002</v>
      </c>
      <c r="AA23" s="400">
        <f t="shared" si="30"/>
        <v>3.3050000000000002</v>
      </c>
      <c r="AB23" s="400">
        <f t="shared" si="31"/>
        <v>6.242</v>
      </c>
      <c r="AC23" s="165">
        <f>SUM(X23:AB23)</f>
        <v>19.335999999999999</v>
      </c>
      <c r="AD23" s="289">
        <f t="shared" si="32"/>
        <v>1</v>
      </c>
      <c r="AE23" s="137">
        <v>36.4</v>
      </c>
      <c r="AF23" s="137">
        <v>36.4</v>
      </c>
      <c r="AG23" s="137">
        <v>36.4</v>
      </c>
      <c r="AH23" s="137">
        <v>36.4</v>
      </c>
      <c r="AI23" s="137">
        <v>36.4</v>
      </c>
      <c r="AJ23" s="153">
        <f t="shared" si="33"/>
        <v>118.009</v>
      </c>
      <c r="AK23" s="128">
        <f t="shared" si="33"/>
        <v>118.009</v>
      </c>
      <c r="AL23" s="128">
        <f t="shared" si="33"/>
        <v>120.30200000000001</v>
      </c>
      <c r="AM23" s="128">
        <f t="shared" si="33"/>
        <v>120.30200000000001</v>
      </c>
      <c r="AN23" s="128">
        <f t="shared" si="33"/>
        <v>227.209</v>
      </c>
      <c r="AO23" s="411">
        <f>SUM(AJ23:AN23)</f>
        <v>703.83100000000002</v>
      </c>
      <c r="AP23" s="211">
        <f t="shared" si="34"/>
        <v>0</v>
      </c>
      <c r="AQ23" s="211">
        <f t="shared" si="35"/>
        <v>0</v>
      </c>
      <c r="AR23" s="211">
        <f t="shared" si="36"/>
        <v>0</v>
      </c>
      <c r="AS23" s="211">
        <f t="shared" si="37"/>
        <v>0</v>
      </c>
      <c r="AT23" s="211">
        <f t="shared" si="38"/>
        <v>0</v>
      </c>
      <c r="AU23" s="128">
        <f>SUM(AP23:AT23)</f>
        <v>0</v>
      </c>
      <c r="AV23" s="312">
        <f t="shared" si="39"/>
        <v>0</v>
      </c>
      <c r="AW23" s="277">
        <f t="shared" si="40"/>
        <v>118.009</v>
      </c>
      <c r="AX23" s="211">
        <f t="shared" si="41"/>
        <v>118.009</v>
      </c>
      <c r="AY23" s="211">
        <f t="shared" si="42"/>
        <v>120.30200000000001</v>
      </c>
      <c r="AZ23" s="211">
        <f t="shared" si="43"/>
        <v>120.30200000000001</v>
      </c>
      <c r="BA23" s="211">
        <f t="shared" si="44"/>
        <v>227.209</v>
      </c>
      <c r="BB23" s="128">
        <f>SUM(AW23:BA23)</f>
        <v>703.83100000000002</v>
      </c>
      <c r="BC23" s="426">
        <f t="shared" si="45"/>
        <v>1</v>
      </c>
      <c r="BD23" s="74"/>
    </row>
    <row r="24" spans="2:56" s="1" customFormat="1" ht="31.5" customHeight="1">
      <c r="B24" s="73"/>
      <c r="C24" s="93" t="s">
        <v>156</v>
      </c>
      <c r="D24" s="93" t="s">
        <v>149</v>
      </c>
      <c r="E24" s="94" t="s">
        <v>157</v>
      </c>
      <c r="F24" s="500" t="s">
        <v>158</v>
      </c>
      <c r="G24" s="501"/>
      <c r="H24" s="501"/>
      <c r="I24" s="502"/>
      <c r="J24" s="95" t="s">
        <v>152</v>
      </c>
      <c r="K24" s="128">
        <v>29.178000000000001</v>
      </c>
      <c r="L24" s="128">
        <v>29.178000000000001</v>
      </c>
      <c r="M24" s="128">
        <v>29.745000000000001</v>
      </c>
      <c r="N24" s="128">
        <v>29.745000000000001</v>
      </c>
      <c r="O24" s="128">
        <v>29.178000000000001</v>
      </c>
      <c r="P24" s="403">
        <f>SUM(K24:O24)</f>
        <v>147.024</v>
      </c>
      <c r="Q24" s="400">
        <v>0</v>
      </c>
      <c r="R24" s="400">
        <v>0</v>
      </c>
      <c r="S24" s="400">
        <v>0</v>
      </c>
      <c r="T24" s="400">
        <v>0</v>
      </c>
      <c r="U24" s="400">
        <v>0</v>
      </c>
      <c r="V24" s="165">
        <f>SUM(Q24:U24)</f>
        <v>0</v>
      </c>
      <c r="W24" s="289">
        <f>V24/P24</f>
        <v>0</v>
      </c>
      <c r="X24" s="400">
        <f t="shared" si="27"/>
        <v>29.178000000000001</v>
      </c>
      <c r="Y24" s="400">
        <f t="shared" si="28"/>
        <v>29.178000000000001</v>
      </c>
      <c r="Z24" s="400">
        <f t="shared" si="29"/>
        <v>29.745000000000001</v>
      </c>
      <c r="AA24" s="400">
        <f t="shared" si="30"/>
        <v>29.745000000000001</v>
      </c>
      <c r="AB24" s="400">
        <f t="shared" si="31"/>
        <v>29.178000000000001</v>
      </c>
      <c r="AC24" s="165">
        <f>SUM(X24:AB24)</f>
        <v>147.024</v>
      </c>
      <c r="AD24" s="289">
        <f t="shared" si="32"/>
        <v>1</v>
      </c>
      <c r="AE24" s="137">
        <v>0.45</v>
      </c>
      <c r="AF24" s="137">
        <v>0.45</v>
      </c>
      <c r="AG24" s="137">
        <v>0.45</v>
      </c>
      <c r="AH24" s="137">
        <v>0.45</v>
      </c>
      <c r="AI24" s="137">
        <v>0.45</v>
      </c>
      <c r="AJ24" s="153">
        <f t="shared" si="33"/>
        <v>13.13</v>
      </c>
      <c r="AK24" s="128">
        <f t="shared" si="33"/>
        <v>13.13</v>
      </c>
      <c r="AL24" s="128">
        <f t="shared" si="33"/>
        <v>13.385</v>
      </c>
      <c r="AM24" s="128">
        <f t="shared" si="33"/>
        <v>13.385</v>
      </c>
      <c r="AN24" s="128">
        <f t="shared" si="33"/>
        <v>13.13</v>
      </c>
      <c r="AO24" s="411">
        <f>SUM(AJ24:AN24)</f>
        <v>66.16</v>
      </c>
      <c r="AP24" s="211">
        <f t="shared" si="34"/>
        <v>0</v>
      </c>
      <c r="AQ24" s="211">
        <f t="shared" si="35"/>
        <v>0</v>
      </c>
      <c r="AR24" s="211">
        <f t="shared" si="36"/>
        <v>0</v>
      </c>
      <c r="AS24" s="211">
        <f t="shared" si="37"/>
        <v>0</v>
      </c>
      <c r="AT24" s="211">
        <f t="shared" si="38"/>
        <v>0</v>
      </c>
      <c r="AU24" s="128">
        <f>SUM(AP24:AT24)</f>
        <v>0</v>
      </c>
      <c r="AV24" s="312">
        <f t="shared" si="39"/>
        <v>0</v>
      </c>
      <c r="AW24" s="277">
        <f t="shared" si="40"/>
        <v>13.13</v>
      </c>
      <c r="AX24" s="211">
        <f t="shared" si="41"/>
        <v>13.13</v>
      </c>
      <c r="AY24" s="211">
        <f t="shared" si="42"/>
        <v>13.385</v>
      </c>
      <c r="AZ24" s="211">
        <f t="shared" si="43"/>
        <v>13.385</v>
      </c>
      <c r="BA24" s="211">
        <f t="shared" si="44"/>
        <v>13.13</v>
      </c>
      <c r="BB24" s="128">
        <f>SUM(AW24:BA24)</f>
        <v>66.16</v>
      </c>
      <c r="BC24" s="426">
        <f t="shared" si="45"/>
        <v>1</v>
      </c>
      <c r="BD24" s="74"/>
    </row>
    <row r="25" spans="2:56" s="1" customFormat="1" ht="31.5" customHeight="1">
      <c r="B25" s="73"/>
      <c r="C25" s="93" t="s">
        <v>159</v>
      </c>
      <c r="D25" s="93" t="s">
        <v>149</v>
      </c>
      <c r="E25" s="94" t="s">
        <v>160</v>
      </c>
      <c r="F25" s="500" t="s">
        <v>161</v>
      </c>
      <c r="G25" s="501"/>
      <c r="H25" s="501"/>
      <c r="I25" s="502"/>
      <c r="J25" s="95" t="s">
        <v>152</v>
      </c>
      <c r="K25" s="128">
        <v>3.242</v>
      </c>
      <c r="L25" s="128">
        <v>3.242</v>
      </c>
      <c r="M25" s="128">
        <v>3.3050000000000002</v>
      </c>
      <c r="N25" s="128">
        <v>3.3050000000000002</v>
      </c>
      <c r="O25" s="128">
        <v>3.242</v>
      </c>
      <c r="P25" s="403">
        <f>SUM(K25:O25)</f>
        <v>16.335999999999999</v>
      </c>
      <c r="Q25" s="400">
        <v>0</v>
      </c>
      <c r="R25" s="400">
        <v>0</v>
      </c>
      <c r="S25" s="400">
        <v>0</v>
      </c>
      <c r="T25" s="400">
        <v>0</v>
      </c>
      <c r="U25" s="400">
        <v>0</v>
      </c>
      <c r="V25" s="165">
        <f>SUM(Q25:U25)</f>
        <v>0</v>
      </c>
      <c r="W25" s="289">
        <f>V25/P25</f>
        <v>0</v>
      </c>
      <c r="X25" s="400">
        <f t="shared" si="27"/>
        <v>3.242</v>
      </c>
      <c r="Y25" s="400">
        <f t="shared" si="28"/>
        <v>3.242</v>
      </c>
      <c r="Z25" s="400">
        <f t="shared" si="29"/>
        <v>3.3050000000000002</v>
      </c>
      <c r="AA25" s="400">
        <f t="shared" si="30"/>
        <v>3.3050000000000002</v>
      </c>
      <c r="AB25" s="400">
        <f t="shared" si="31"/>
        <v>3.242</v>
      </c>
      <c r="AC25" s="165">
        <f>SUM(X25:AB25)</f>
        <v>16.335999999999999</v>
      </c>
      <c r="AD25" s="289">
        <f t="shared" si="32"/>
        <v>1</v>
      </c>
      <c r="AE25" s="137">
        <v>45.43</v>
      </c>
      <c r="AF25" s="137">
        <v>45.43</v>
      </c>
      <c r="AG25" s="137">
        <v>45.43</v>
      </c>
      <c r="AH25" s="137">
        <v>45.43</v>
      </c>
      <c r="AI25" s="137">
        <v>45.43</v>
      </c>
      <c r="AJ25" s="153">
        <f t="shared" si="33"/>
        <v>147.28399999999999</v>
      </c>
      <c r="AK25" s="128">
        <f t="shared" si="33"/>
        <v>147.28399999999999</v>
      </c>
      <c r="AL25" s="128">
        <f t="shared" si="33"/>
        <v>150.14599999999999</v>
      </c>
      <c r="AM25" s="128">
        <f t="shared" si="33"/>
        <v>150.14599999999999</v>
      </c>
      <c r="AN25" s="128">
        <f t="shared" si="33"/>
        <v>147.28399999999999</v>
      </c>
      <c r="AO25" s="411">
        <f>SUM(AJ25:AN25)</f>
        <v>742.14399999999989</v>
      </c>
      <c r="AP25" s="211">
        <f t="shared" si="34"/>
        <v>0</v>
      </c>
      <c r="AQ25" s="211">
        <f t="shared" si="35"/>
        <v>0</v>
      </c>
      <c r="AR25" s="211">
        <f t="shared" si="36"/>
        <v>0</v>
      </c>
      <c r="AS25" s="211">
        <f t="shared" si="37"/>
        <v>0</v>
      </c>
      <c r="AT25" s="211">
        <f t="shared" si="38"/>
        <v>0</v>
      </c>
      <c r="AU25" s="128">
        <f>SUM(AP25:AT25)</f>
        <v>0</v>
      </c>
      <c r="AV25" s="312">
        <f t="shared" si="39"/>
        <v>0</v>
      </c>
      <c r="AW25" s="277">
        <f t="shared" si="40"/>
        <v>147.28399999999999</v>
      </c>
      <c r="AX25" s="211">
        <f t="shared" si="41"/>
        <v>147.28399999999999</v>
      </c>
      <c r="AY25" s="211">
        <f t="shared" si="42"/>
        <v>150.14599999999999</v>
      </c>
      <c r="AZ25" s="211">
        <f t="shared" si="43"/>
        <v>150.14599999999999</v>
      </c>
      <c r="BA25" s="211">
        <f t="shared" si="44"/>
        <v>147.28399999999999</v>
      </c>
      <c r="BB25" s="128">
        <f>SUM(AW25:BA25)</f>
        <v>742.14399999999989</v>
      </c>
      <c r="BC25" s="426">
        <f t="shared" si="45"/>
        <v>1</v>
      </c>
      <c r="BD25" s="74"/>
    </row>
    <row r="26" spans="2:56" s="369" customFormat="1" ht="29.85" customHeight="1">
      <c r="B26" s="370"/>
      <c r="C26" s="371"/>
      <c r="D26" s="176" t="s">
        <v>129</v>
      </c>
      <c r="E26" s="176"/>
      <c r="F26" s="176"/>
      <c r="G26" s="176"/>
      <c r="H26" s="176"/>
      <c r="I26" s="176"/>
      <c r="J26" s="176"/>
      <c r="K26" s="176"/>
      <c r="L26" s="175"/>
      <c r="M26" s="176"/>
      <c r="N26" s="176"/>
      <c r="O26" s="176"/>
      <c r="P26" s="176"/>
      <c r="Q26" s="176"/>
      <c r="R26" s="175"/>
      <c r="S26" s="176"/>
      <c r="T26" s="176"/>
      <c r="U26" s="176"/>
      <c r="V26" s="176"/>
      <c r="W26" s="176"/>
      <c r="X26" s="176"/>
      <c r="Y26" s="175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59">
        <f t="shared" ref="AJ26:BB26" si="46">AJ27</f>
        <v>280.65800000000002</v>
      </c>
      <c r="AK26" s="159">
        <f t="shared" si="46"/>
        <v>280.65800000000002</v>
      </c>
      <c r="AL26" s="159">
        <f t="shared" si="46"/>
        <v>280.65800000000002</v>
      </c>
      <c r="AM26" s="159">
        <f t="shared" si="46"/>
        <v>280.65800000000002</v>
      </c>
      <c r="AN26" s="159">
        <f t="shared" si="46"/>
        <v>280.65800000000002</v>
      </c>
      <c r="AO26" s="412">
        <f t="shared" si="46"/>
        <v>1403.29</v>
      </c>
      <c r="AP26" s="159">
        <f t="shared" si="46"/>
        <v>0</v>
      </c>
      <c r="AQ26" s="159">
        <f t="shared" si="46"/>
        <v>0</v>
      </c>
      <c r="AR26" s="159">
        <f t="shared" si="46"/>
        <v>0</v>
      </c>
      <c r="AS26" s="159">
        <f t="shared" si="46"/>
        <v>0</v>
      </c>
      <c r="AT26" s="159">
        <f t="shared" si="46"/>
        <v>0</v>
      </c>
      <c r="AU26" s="159">
        <f t="shared" si="46"/>
        <v>0</v>
      </c>
      <c r="AV26" s="425"/>
      <c r="AW26" s="159">
        <f t="shared" si="46"/>
        <v>280.65800000000002</v>
      </c>
      <c r="AX26" s="159">
        <f t="shared" si="46"/>
        <v>280.65800000000002</v>
      </c>
      <c r="AY26" s="159">
        <f t="shared" si="46"/>
        <v>280.65800000000002</v>
      </c>
      <c r="AZ26" s="159">
        <f t="shared" si="46"/>
        <v>280.65800000000002</v>
      </c>
      <c r="BA26" s="159">
        <f t="shared" si="46"/>
        <v>280.65800000000002</v>
      </c>
      <c r="BB26" s="159">
        <f t="shared" si="46"/>
        <v>1403.29</v>
      </c>
      <c r="BC26" s="421"/>
      <c r="BD26" s="372"/>
    </row>
    <row r="27" spans="2:56" s="1" customFormat="1" ht="31.5" customHeight="1">
      <c r="B27" s="73"/>
      <c r="C27" s="93" t="s">
        <v>162</v>
      </c>
      <c r="D27" s="93" t="s">
        <v>149</v>
      </c>
      <c r="E27" s="94" t="s">
        <v>163</v>
      </c>
      <c r="F27" s="500" t="s">
        <v>164</v>
      </c>
      <c r="G27" s="501"/>
      <c r="H27" s="501"/>
      <c r="I27" s="502"/>
      <c r="J27" s="95" t="s">
        <v>152</v>
      </c>
      <c r="K27" s="128">
        <v>27.651</v>
      </c>
      <c r="L27" s="128">
        <v>27.651</v>
      </c>
      <c r="M27" s="128">
        <v>27.651</v>
      </c>
      <c r="N27" s="128">
        <v>27.651</v>
      </c>
      <c r="O27" s="128">
        <v>27.651</v>
      </c>
      <c r="P27" s="403">
        <f>SUM(K27:O27)</f>
        <v>138.255</v>
      </c>
      <c r="Q27" s="400">
        <v>0</v>
      </c>
      <c r="R27" s="400">
        <v>0</v>
      </c>
      <c r="S27" s="400">
        <v>0</v>
      </c>
      <c r="T27" s="400">
        <v>0</v>
      </c>
      <c r="U27" s="400">
        <v>0</v>
      </c>
      <c r="V27" s="165">
        <f>SUM(Q27:U27)</f>
        <v>0</v>
      </c>
      <c r="W27" s="289">
        <f>V27/P27</f>
        <v>0</v>
      </c>
      <c r="X27" s="400">
        <f t="shared" ref="X27:AB27" si="47">K27-Q27</f>
        <v>27.651</v>
      </c>
      <c r="Y27" s="400">
        <f t="shared" si="47"/>
        <v>27.651</v>
      </c>
      <c r="Z27" s="400">
        <f t="shared" si="47"/>
        <v>27.651</v>
      </c>
      <c r="AA27" s="400">
        <f t="shared" si="47"/>
        <v>27.651</v>
      </c>
      <c r="AB27" s="400">
        <f t="shared" si="47"/>
        <v>27.651</v>
      </c>
      <c r="AC27" s="165">
        <f>SUM(X27:AB27)</f>
        <v>138.255</v>
      </c>
      <c r="AD27" s="289">
        <f>AC27/P27</f>
        <v>1</v>
      </c>
      <c r="AE27" s="137">
        <v>10.15</v>
      </c>
      <c r="AF27" s="137">
        <v>10.15</v>
      </c>
      <c r="AG27" s="137">
        <v>10.15</v>
      </c>
      <c r="AH27" s="137">
        <v>10.15</v>
      </c>
      <c r="AI27" s="137">
        <v>10.15</v>
      </c>
      <c r="AJ27" s="153">
        <f>ROUND(AE27*K27,3)</f>
        <v>280.65800000000002</v>
      </c>
      <c r="AK27" s="128">
        <f>ROUND(AF27*L27,3)</f>
        <v>280.65800000000002</v>
      </c>
      <c r="AL27" s="128">
        <f>ROUND(AG27*M27,3)</f>
        <v>280.65800000000002</v>
      </c>
      <c r="AM27" s="128">
        <f>ROUND(AH27*N27,3)</f>
        <v>280.65800000000002</v>
      </c>
      <c r="AN27" s="128">
        <f>ROUND(AI27*O27,3)</f>
        <v>280.65800000000002</v>
      </c>
      <c r="AO27" s="411">
        <f>SUM(AJ27:AN27)</f>
        <v>1403.29</v>
      </c>
      <c r="AP27" s="211">
        <f t="shared" ref="AP27:AT27" si="48">ROUND(AE27*Q27,3)</f>
        <v>0</v>
      </c>
      <c r="AQ27" s="211">
        <f t="shared" si="48"/>
        <v>0</v>
      </c>
      <c r="AR27" s="211">
        <f t="shared" si="48"/>
        <v>0</v>
      </c>
      <c r="AS27" s="211">
        <f t="shared" si="48"/>
        <v>0</v>
      </c>
      <c r="AT27" s="211">
        <f t="shared" si="48"/>
        <v>0</v>
      </c>
      <c r="AU27" s="128">
        <f>SUM(AP27:AT27)</f>
        <v>0</v>
      </c>
      <c r="AV27" s="312">
        <f t="shared" ref="AV27" si="49">AU27/AO27</f>
        <v>0</v>
      </c>
      <c r="AW27" s="277">
        <f t="shared" ref="AW27" si="50">AJ27-AP27</f>
        <v>280.65800000000002</v>
      </c>
      <c r="AX27" s="211">
        <f t="shared" ref="AX27" si="51">AK27-AQ27</f>
        <v>280.65800000000002</v>
      </c>
      <c r="AY27" s="211">
        <f t="shared" ref="AY27" si="52">AL27-AR27</f>
        <v>280.65800000000002</v>
      </c>
      <c r="AZ27" s="211">
        <f t="shared" ref="AZ27" si="53">AM27-AS27</f>
        <v>280.65800000000002</v>
      </c>
      <c r="BA27" s="211">
        <f t="shared" ref="BA27" si="54">AN27-AT27</f>
        <v>280.65800000000002</v>
      </c>
      <c r="BB27" s="128">
        <f>SUM(AW27:BA27)</f>
        <v>1403.29</v>
      </c>
      <c r="BC27" s="426">
        <f>BB27/AO27</f>
        <v>1</v>
      </c>
      <c r="BD27" s="74"/>
    </row>
    <row r="28" spans="2:56" s="369" customFormat="1" ht="37.35" customHeight="1">
      <c r="B28" s="370"/>
      <c r="C28" s="371"/>
      <c r="D28" s="175" t="s">
        <v>130</v>
      </c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60">
        <f t="shared" ref="AJ28:AO28" si="55">AJ29+AJ47+AJ54+AJ61+AJ58</f>
        <v>20736.310000000001</v>
      </c>
      <c r="AK28" s="160">
        <f t="shared" si="55"/>
        <v>20743.645</v>
      </c>
      <c r="AL28" s="160">
        <f t="shared" si="55"/>
        <v>21221.703000000001</v>
      </c>
      <c r="AM28" s="160">
        <f t="shared" si="55"/>
        <v>28917.694000000003</v>
      </c>
      <c r="AN28" s="160">
        <f t="shared" si="55"/>
        <v>12196.168999999998</v>
      </c>
      <c r="AO28" s="413">
        <f t="shared" si="55"/>
        <v>103815.52099999999</v>
      </c>
      <c r="AP28" s="160">
        <f t="shared" ref="AP28:AU28" si="56">AP29+AP47+AP54+AP61+AP58</f>
        <v>0</v>
      </c>
      <c r="AQ28" s="160">
        <f t="shared" si="56"/>
        <v>0</v>
      </c>
      <c r="AR28" s="160">
        <f t="shared" si="56"/>
        <v>0</v>
      </c>
      <c r="AS28" s="160">
        <f t="shared" si="56"/>
        <v>0</v>
      </c>
      <c r="AT28" s="160">
        <f t="shared" si="56"/>
        <v>0</v>
      </c>
      <c r="AU28" s="160">
        <f t="shared" si="56"/>
        <v>0</v>
      </c>
      <c r="AV28" s="409"/>
      <c r="AW28" s="160">
        <f t="shared" ref="AW28:BB28" si="57">AW29+AW47+AW54+AW61+AW58</f>
        <v>20736.310000000001</v>
      </c>
      <c r="AX28" s="160">
        <f t="shared" si="57"/>
        <v>20743.645</v>
      </c>
      <c r="AY28" s="160">
        <f t="shared" si="57"/>
        <v>21221.703000000001</v>
      </c>
      <c r="AZ28" s="160">
        <f t="shared" si="57"/>
        <v>28917.694000000003</v>
      </c>
      <c r="BA28" s="160">
        <f t="shared" si="57"/>
        <v>12196.168999999998</v>
      </c>
      <c r="BB28" s="160">
        <f t="shared" si="57"/>
        <v>103815.52099999999</v>
      </c>
      <c r="BC28" s="420"/>
      <c r="BD28" s="372"/>
    </row>
    <row r="29" spans="2:56" s="369" customFormat="1" ht="19.899999999999999" customHeight="1">
      <c r="B29" s="370"/>
      <c r="C29" s="371"/>
      <c r="D29" s="176" t="s">
        <v>131</v>
      </c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61">
        <f t="shared" ref="AJ29:AO29" si="58">SUM(AJ30:AJ46)</f>
        <v>12050.225</v>
      </c>
      <c r="AK29" s="161">
        <f t="shared" si="58"/>
        <v>12050.225</v>
      </c>
      <c r="AL29" s="161">
        <f t="shared" si="58"/>
        <v>12791.941000000001</v>
      </c>
      <c r="AM29" s="161">
        <f t="shared" si="58"/>
        <v>14242.885</v>
      </c>
      <c r="AN29" s="161">
        <f t="shared" si="58"/>
        <v>5976.101999999999</v>
      </c>
      <c r="AO29" s="410">
        <f t="shared" si="58"/>
        <v>57111.377999999997</v>
      </c>
      <c r="AP29" s="161">
        <f t="shared" ref="AP29:AU29" si="59">SUM(AP30:AP46)</f>
        <v>0</v>
      </c>
      <c r="AQ29" s="161">
        <f t="shared" si="59"/>
        <v>0</v>
      </c>
      <c r="AR29" s="161">
        <f t="shared" si="59"/>
        <v>0</v>
      </c>
      <c r="AS29" s="161">
        <f t="shared" si="59"/>
        <v>0</v>
      </c>
      <c r="AT29" s="161">
        <f t="shared" si="59"/>
        <v>0</v>
      </c>
      <c r="AU29" s="161">
        <f t="shared" si="59"/>
        <v>0</v>
      </c>
      <c r="AV29" s="425"/>
      <c r="AW29" s="161">
        <f t="shared" ref="AW29:BB29" si="60">SUM(AW30:AW46)</f>
        <v>12050.225</v>
      </c>
      <c r="AX29" s="161">
        <f t="shared" si="60"/>
        <v>12050.225</v>
      </c>
      <c r="AY29" s="161">
        <f t="shared" si="60"/>
        <v>12791.941000000001</v>
      </c>
      <c r="AZ29" s="161">
        <f t="shared" si="60"/>
        <v>14242.885</v>
      </c>
      <c r="BA29" s="161">
        <f t="shared" si="60"/>
        <v>5976.101999999999</v>
      </c>
      <c r="BB29" s="161">
        <f t="shared" si="60"/>
        <v>57111.377999999997</v>
      </c>
      <c r="BC29" s="421"/>
      <c r="BD29" s="372"/>
    </row>
    <row r="30" spans="2:56" s="1" customFormat="1" ht="31.5" customHeight="1">
      <c r="B30" s="73"/>
      <c r="C30" s="93" t="s">
        <v>165</v>
      </c>
      <c r="D30" s="93" t="s">
        <v>149</v>
      </c>
      <c r="E30" s="94" t="s">
        <v>166</v>
      </c>
      <c r="F30" s="500" t="s">
        <v>167</v>
      </c>
      <c r="G30" s="501"/>
      <c r="H30" s="501"/>
      <c r="I30" s="502"/>
      <c r="J30" s="95" t="s">
        <v>168</v>
      </c>
      <c r="K30" s="128">
        <v>274</v>
      </c>
      <c r="L30" s="128">
        <v>274</v>
      </c>
      <c r="M30" s="128">
        <v>372</v>
      </c>
      <c r="N30" s="128">
        <v>372</v>
      </c>
      <c r="O30" s="128">
        <v>115</v>
      </c>
      <c r="P30" s="403">
        <f t="shared" ref="P30:P46" si="61">SUM(K30:O30)</f>
        <v>1407</v>
      </c>
      <c r="Q30" s="400">
        <v>0</v>
      </c>
      <c r="R30" s="128">
        <v>0</v>
      </c>
      <c r="S30" s="128">
        <v>0</v>
      </c>
      <c r="T30" s="128">
        <v>0</v>
      </c>
      <c r="U30" s="128">
        <v>0</v>
      </c>
      <c r="V30" s="165">
        <f t="shared" ref="V30:V46" si="62">SUM(Q30:U30)</f>
        <v>0</v>
      </c>
      <c r="W30" s="289">
        <f t="shared" ref="W30:W46" si="63">V30/P30</f>
        <v>0</v>
      </c>
      <c r="X30" s="400">
        <f t="shared" ref="X30:X46" si="64">K30-Q30</f>
        <v>274</v>
      </c>
      <c r="Y30" s="128">
        <f t="shared" ref="Y30:Y46" si="65">L30-R30</f>
        <v>274</v>
      </c>
      <c r="Z30" s="128">
        <f t="shared" ref="Z30:Z46" si="66">M30-S30</f>
        <v>372</v>
      </c>
      <c r="AA30" s="128">
        <f t="shared" ref="AA30:AA46" si="67">N30-T30</f>
        <v>372</v>
      </c>
      <c r="AB30" s="128">
        <f t="shared" ref="AB30:AB46" si="68">O30-U30</f>
        <v>115</v>
      </c>
      <c r="AC30" s="165">
        <f t="shared" ref="AC30:AC46" si="69">SUM(X30:AB30)</f>
        <v>1407</v>
      </c>
      <c r="AD30" s="289">
        <f t="shared" ref="AD30:AD46" si="70">AC30/P30</f>
        <v>1</v>
      </c>
      <c r="AE30" s="137">
        <v>0.26</v>
      </c>
      <c r="AF30" s="137">
        <v>0.26</v>
      </c>
      <c r="AG30" s="137">
        <v>0.26</v>
      </c>
      <c r="AH30" s="137">
        <v>0.26</v>
      </c>
      <c r="AI30" s="137">
        <v>0.26</v>
      </c>
      <c r="AJ30" s="153">
        <f t="shared" ref="AJ30:AJ46" si="71">ROUND(AE30*K30,3)</f>
        <v>71.239999999999995</v>
      </c>
      <c r="AK30" s="128">
        <f t="shared" ref="AK30:AK46" si="72">ROUND(AF30*L30,3)</f>
        <v>71.239999999999995</v>
      </c>
      <c r="AL30" s="128">
        <f t="shared" ref="AL30:AL46" si="73">ROUND(AG30*M30,3)</f>
        <v>96.72</v>
      </c>
      <c r="AM30" s="128">
        <f t="shared" ref="AM30:AM46" si="74">ROUND(AH30*N30,3)</f>
        <v>96.72</v>
      </c>
      <c r="AN30" s="128">
        <f t="shared" ref="AN30:AN46" si="75">ROUND(AI30*O30,3)</f>
        <v>29.9</v>
      </c>
      <c r="AO30" s="411">
        <f t="shared" ref="AO30:AO46" si="76">SUM(AJ30:AN30)</f>
        <v>365.81999999999994</v>
      </c>
      <c r="AP30" s="359">
        <f t="shared" ref="AP30:AP46" si="77">ROUND(AE30*Q30,3)</f>
        <v>0</v>
      </c>
      <c r="AQ30" s="128">
        <f t="shared" ref="AQ30:AQ46" si="78">ROUND(AF30*R30,3)</f>
        <v>0</v>
      </c>
      <c r="AR30" s="128">
        <f t="shared" ref="AR30:AR46" si="79">ROUND(AG30*S30,3)</f>
        <v>0</v>
      </c>
      <c r="AS30" s="128">
        <f t="shared" ref="AS30:AS46" si="80">ROUND(AH30*T30,3)</f>
        <v>0</v>
      </c>
      <c r="AT30" s="128">
        <f t="shared" ref="AT30:AT46" si="81">ROUND(AI30*U30,3)</f>
        <v>0</v>
      </c>
      <c r="AU30" s="128">
        <f t="shared" ref="AU30:AU46" si="82">SUM(AP30:AT30)</f>
        <v>0</v>
      </c>
      <c r="AV30" s="312">
        <f t="shared" ref="AV30:AV46" si="83">AU30/AO30</f>
        <v>0</v>
      </c>
      <c r="AW30" s="359">
        <f t="shared" ref="AW30:AW46" si="84">AJ30-AP30</f>
        <v>71.239999999999995</v>
      </c>
      <c r="AX30" s="128">
        <f t="shared" ref="AX30:AX46" si="85">AK30-AQ30</f>
        <v>71.239999999999995</v>
      </c>
      <c r="AY30" s="128">
        <f t="shared" ref="AY30:AY46" si="86">AL30-AR30</f>
        <v>96.72</v>
      </c>
      <c r="AZ30" s="128">
        <f t="shared" ref="AZ30:AZ46" si="87">AM30-AS30</f>
        <v>96.72</v>
      </c>
      <c r="BA30" s="128">
        <f t="shared" ref="BA30:BA46" si="88">AN30-AT30</f>
        <v>29.9</v>
      </c>
      <c r="BB30" s="128">
        <f t="shared" ref="BB30:BB46" si="89">SUM(AW30:BA30)</f>
        <v>365.81999999999994</v>
      </c>
      <c r="BC30" s="426">
        <f t="shared" ref="BC30:BC46" si="90">BB30/AO30</f>
        <v>1</v>
      </c>
      <c r="BD30" s="74"/>
    </row>
    <row r="31" spans="2:56" s="158" customFormat="1" ht="31.5" customHeight="1">
      <c r="B31" s="156"/>
      <c r="C31" s="102" t="s">
        <v>170</v>
      </c>
      <c r="D31" s="102" t="s">
        <v>171</v>
      </c>
      <c r="E31" s="103" t="s">
        <v>172</v>
      </c>
      <c r="F31" s="507" t="s">
        <v>173</v>
      </c>
      <c r="G31" s="508"/>
      <c r="H31" s="508"/>
      <c r="I31" s="509"/>
      <c r="J31" s="104" t="s">
        <v>168</v>
      </c>
      <c r="K31" s="133">
        <v>294.846</v>
      </c>
      <c r="L31" s="133">
        <v>294.846</v>
      </c>
      <c r="M31" s="133">
        <v>372</v>
      </c>
      <c r="N31" s="133">
        <v>372</v>
      </c>
      <c r="O31" s="133">
        <v>115.846</v>
      </c>
      <c r="P31" s="404">
        <f t="shared" si="61"/>
        <v>1449.538</v>
      </c>
      <c r="Q31" s="401">
        <v>0</v>
      </c>
      <c r="R31" s="133">
        <v>0</v>
      </c>
      <c r="S31" s="133">
        <v>0</v>
      </c>
      <c r="T31" s="133">
        <v>0</v>
      </c>
      <c r="U31" s="133">
        <v>0</v>
      </c>
      <c r="V31" s="177">
        <f t="shared" si="62"/>
        <v>0</v>
      </c>
      <c r="W31" s="289">
        <f t="shared" si="63"/>
        <v>0</v>
      </c>
      <c r="X31" s="401">
        <f t="shared" si="64"/>
        <v>294.846</v>
      </c>
      <c r="Y31" s="133">
        <f t="shared" si="65"/>
        <v>294.846</v>
      </c>
      <c r="Z31" s="133">
        <f t="shared" si="66"/>
        <v>372</v>
      </c>
      <c r="AA31" s="133">
        <f t="shared" si="67"/>
        <v>372</v>
      </c>
      <c r="AB31" s="133">
        <f t="shared" si="68"/>
        <v>115.846</v>
      </c>
      <c r="AC31" s="177">
        <f t="shared" si="69"/>
        <v>1449.538</v>
      </c>
      <c r="AD31" s="289">
        <f t="shared" si="70"/>
        <v>1</v>
      </c>
      <c r="AE31" s="155">
        <v>0.62</v>
      </c>
      <c r="AF31" s="155">
        <v>0.62</v>
      </c>
      <c r="AG31" s="155">
        <v>0.62</v>
      </c>
      <c r="AH31" s="155">
        <v>0.62</v>
      </c>
      <c r="AI31" s="155">
        <v>0.62</v>
      </c>
      <c r="AJ31" s="152">
        <f t="shared" si="71"/>
        <v>182.80500000000001</v>
      </c>
      <c r="AK31" s="133">
        <f t="shared" si="72"/>
        <v>182.80500000000001</v>
      </c>
      <c r="AL31" s="152">
        <f t="shared" si="73"/>
        <v>230.64</v>
      </c>
      <c r="AM31" s="133">
        <f t="shared" si="74"/>
        <v>230.64</v>
      </c>
      <c r="AN31" s="133">
        <f t="shared" si="75"/>
        <v>71.825000000000003</v>
      </c>
      <c r="AO31" s="414">
        <f t="shared" si="76"/>
        <v>898.71500000000003</v>
      </c>
      <c r="AP31" s="407">
        <f t="shared" si="77"/>
        <v>0</v>
      </c>
      <c r="AQ31" s="133">
        <f t="shared" si="78"/>
        <v>0</v>
      </c>
      <c r="AR31" s="152">
        <f t="shared" si="79"/>
        <v>0</v>
      </c>
      <c r="AS31" s="133">
        <f t="shared" si="80"/>
        <v>0</v>
      </c>
      <c r="AT31" s="133">
        <f t="shared" si="81"/>
        <v>0</v>
      </c>
      <c r="AU31" s="133">
        <f t="shared" si="82"/>
        <v>0</v>
      </c>
      <c r="AV31" s="312">
        <f t="shared" si="83"/>
        <v>0</v>
      </c>
      <c r="AW31" s="407">
        <f t="shared" si="84"/>
        <v>182.80500000000001</v>
      </c>
      <c r="AX31" s="133">
        <f t="shared" si="85"/>
        <v>182.80500000000001</v>
      </c>
      <c r="AY31" s="152">
        <f t="shared" si="86"/>
        <v>230.64</v>
      </c>
      <c r="AZ31" s="133">
        <f t="shared" si="87"/>
        <v>230.64</v>
      </c>
      <c r="BA31" s="133">
        <f t="shared" si="88"/>
        <v>71.825000000000003</v>
      </c>
      <c r="BB31" s="133">
        <f t="shared" si="89"/>
        <v>898.71500000000003</v>
      </c>
      <c r="BC31" s="426">
        <f t="shared" si="90"/>
        <v>1</v>
      </c>
      <c r="BD31" s="157"/>
    </row>
    <row r="32" spans="2:56" s="1" customFormat="1" ht="31.5" customHeight="1">
      <c r="B32" s="73"/>
      <c r="C32" s="93" t="s">
        <v>175</v>
      </c>
      <c r="D32" s="93" t="s">
        <v>149</v>
      </c>
      <c r="E32" s="94" t="s">
        <v>176</v>
      </c>
      <c r="F32" s="500" t="s">
        <v>177</v>
      </c>
      <c r="G32" s="501"/>
      <c r="H32" s="501"/>
      <c r="I32" s="502"/>
      <c r="J32" s="95" t="s">
        <v>168</v>
      </c>
      <c r="K32" s="128">
        <v>274</v>
      </c>
      <c r="L32" s="128">
        <v>274</v>
      </c>
      <c r="M32" s="128">
        <v>300</v>
      </c>
      <c r="N32" s="128">
        <v>353</v>
      </c>
      <c r="O32" s="128">
        <v>125</v>
      </c>
      <c r="P32" s="403">
        <f t="shared" si="61"/>
        <v>1326</v>
      </c>
      <c r="Q32" s="400">
        <v>0</v>
      </c>
      <c r="R32" s="128">
        <v>0</v>
      </c>
      <c r="S32" s="128">
        <v>0</v>
      </c>
      <c r="T32" s="128">
        <v>0</v>
      </c>
      <c r="U32" s="128">
        <v>0</v>
      </c>
      <c r="V32" s="165">
        <f t="shared" si="62"/>
        <v>0</v>
      </c>
      <c r="W32" s="289">
        <f t="shared" si="63"/>
        <v>0</v>
      </c>
      <c r="X32" s="400">
        <f t="shared" si="64"/>
        <v>274</v>
      </c>
      <c r="Y32" s="128">
        <f t="shared" si="65"/>
        <v>274</v>
      </c>
      <c r="Z32" s="128">
        <f t="shared" si="66"/>
        <v>300</v>
      </c>
      <c r="AA32" s="128">
        <f t="shared" si="67"/>
        <v>353</v>
      </c>
      <c r="AB32" s="128">
        <f t="shared" si="68"/>
        <v>125</v>
      </c>
      <c r="AC32" s="165">
        <f t="shared" si="69"/>
        <v>1326</v>
      </c>
      <c r="AD32" s="289">
        <f t="shared" si="70"/>
        <v>1</v>
      </c>
      <c r="AE32" s="137">
        <v>4.68</v>
      </c>
      <c r="AF32" s="137">
        <v>4.68</v>
      </c>
      <c r="AG32" s="137">
        <v>4.68</v>
      </c>
      <c r="AH32" s="137">
        <v>4.68</v>
      </c>
      <c r="AI32" s="137">
        <v>4.68</v>
      </c>
      <c r="AJ32" s="153">
        <f t="shared" si="71"/>
        <v>1282.32</v>
      </c>
      <c r="AK32" s="128">
        <f t="shared" si="72"/>
        <v>1282.32</v>
      </c>
      <c r="AL32" s="128">
        <f t="shared" si="73"/>
        <v>1404</v>
      </c>
      <c r="AM32" s="128">
        <f t="shared" si="74"/>
        <v>1652.04</v>
      </c>
      <c r="AN32" s="128">
        <f t="shared" si="75"/>
        <v>585</v>
      </c>
      <c r="AO32" s="411">
        <f t="shared" si="76"/>
        <v>6205.68</v>
      </c>
      <c r="AP32" s="359">
        <f t="shared" si="77"/>
        <v>0</v>
      </c>
      <c r="AQ32" s="128">
        <f t="shared" si="78"/>
        <v>0</v>
      </c>
      <c r="AR32" s="128">
        <f t="shared" si="79"/>
        <v>0</v>
      </c>
      <c r="AS32" s="128">
        <f t="shared" si="80"/>
        <v>0</v>
      </c>
      <c r="AT32" s="128">
        <f t="shared" si="81"/>
        <v>0</v>
      </c>
      <c r="AU32" s="128">
        <f t="shared" si="82"/>
        <v>0</v>
      </c>
      <c r="AV32" s="312">
        <f t="shared" si="83"/>
        <v>0</v>
      </c>
      <c r="AW32" s="359">
        <f t="shared" si="84"/>
        <v>1282.32</v>
      </c>
      <c r="AX32" s="128">
        <f t="shared" si="85"/>
        <v>1282.32</v>
      </c>
      <c r="AY32" s="128">
        <f t="shared" si="86"/>
        <v>1404</v>
      </c>
      <c r="AZ32" s="128">
        <f t="shared" si="87"/>
        <v>1652.04</v>
      </c>
      <c r="BA32" s="128">
        <f t="shared" si="88"/>
        <v>585</v>
      </c>
      <c r="BB32" s="128">
        <f t="shared" si="89"/>
        <v>6205.68</v>
      </c>
      <c r="BC32" s="426">
        <f t="shared" si="90"/>
        <v>1</v>
      </c>
      <c r="BD32" s="74"/>
    </row>
    <row r="33" spans="2:56" s="1" customFormat="1" ht="44.25" customHeight="1">
      <c r="B33" s="73"/>
      <c r="C33" s="93" t="s">
        <v>178</v>
      </c>
      <c r="D33" s="93" t="s">
        <v>149</v>
      </c>
      <c r="E33" s="94" t="s">
        <v>179</v>
      </c>
      <c r="F33" s="500" t="s">
        <v>180</v>
      </c>
      <c r="G33" s="501"/>
      <c r="H33" s="501"/>
      <c r="I33" s="502"/>
      <c r="J33" s="95" t="s">
        <v>168</v>
      </c>
      <c r="K33" s="128">
        <v>274</v>
      </c>
      <c r="L33" s="128">
        <v>274</v>
      </c>
      <c r="M33" s="128">
        <v>300</v>
      </c>
      <c r="N33" s="128">
        <v>353</v>
      </c>
      <c r="O33" s="128">
        <v>115</v>
      </c>
      <c r="P33" s="403">
        <f t="shared" si="61"/>
        <v>1316</v>
      </c>
      <c r="Q33" s="400">
        <v>0</v>
      </c>
      <c r="R33" s="128">
        <v>0</v>
      </c>
      <c r="S33" s="128">
        <v>0</v>
      </c>
      <c r="T33" s="128">
        <v>0</v>
      </c>
      <c r="U33" s="128">
        <v>0</v>
      </c>
      <c r="V33" s="165">
        <f t="shared" si="62"/>
        <v>0</v>
      </c>
      <c r="W33" s="289">
        <f t="shared" si="63"/>
        <v>0</v>
      </c>
      <c r="X33" s="400">
        <f t="shared" si="64"/>
        <v>274</v>
      </c>
      <c r="Y33" s="128">
        <f t="shared" si="65"/>
        <v>274</v>
      </c>
      <c r="Z33" s="128">
        <f t="shared" si="66"/>
        <v>300</v>
      </c>
      <c r="AA33" s="128">
        <f t="shared" si="67"/>
        <v>353</v>
      </c>
      <c r="AB33" s="128">
        <f t="shared" si="68"/>
        <v>115</v>
      </c>
      <c r="AC33" s="165">
        <f t="shared" si="69"/>
        <v>1316</v>
      </c>
      <c r="AD33" s="289">
        <f t="shared" si="70"/>
        <v>1</v>
      </c>
      <c r="AE33" s="137">
        <v>4.99</v>
      </c>
      <c r="AF33" s="137">
        <v>4.99</v>
      </c>
      <c r="AG33" s="137">
        <v>4.99</v>
      </c>
      <c r="AH33" s="137">
        <v>4.99</v>
      </c>
      <c r="AI33" s="137">
        <v>4.99</v>
      </c>
      <c r="AJ33" s="153">
        <f t="shared" si="71"/>
        <v>1367.26</v>
      </c>
      <c r="AK33" s="128">
        <f t="shared" si="72"/>
        <v>1367.26</v>
      </c>
      <c r="AL33" s="128">
        <f t="shared" si="73"/>
        <v>1497</v>
      </c>
      <c r="AM33" s="128">
        <f t="shared" si="74"/>
        <v>1761.47</v>
      </c>
      <c r="AN33" s="128">
        <f t="shared" si="75"/>
        <v>573.85</v>
      </c>
      <c r="AO33" s="411">
        <f t="shared" si="76"/>
        <v>6566.8400000000011</v>
      </c>
      <c r="AP33" s="359">
        <f t="shared" si="77"/>
        <v>0</v>
      </c>
      <c r="AQ33" s="128">
        <f t="shared" si="78"/>
        <v>0</v>
      </c>
      <c r="AR33" s="128">
        <f t="shared" si="79"/>
        <v>0</v>
      </c>
      <c r="AS33" s="128">
        <f t="shared" si="80"/>
        <v>0</v>
      </c>
      <c r="AT33" s="128">
        <f t="shared" si="81"/>
        <v>0</v>
      </c>
      <c r="AU33" s="128">
        <f t="shared" si="82"/>
        <v>0</v>
      </c>
      <c r="AV33" s="312">
        <f t="shared" si="83"/>
        <v>0</v>
      </c>
      <c r="AW33" s="359">
        <f t="shared" si="84"/>
        <v>1367.26</v>
      </c>
      <c r="AX33" s="128">
        <f t="shared" si="85"/>
        <v>1367.26</v>
      </c>
      <c r="AY33" s="128">
        <f t="shared" si="86"/>
        <v>1497</v>
      </c>
      <c r="AZ33" s="128">
        <f t="shared" si="87"/>
        <v>1761.47</v>
      </c>
      <c r="BA33" s="128">
        <f t="shared" si="88"/>
        <v>573.85</v>
      </c>
      <c r="BB33" s="128">
        <f t="shared" si="89"/>
        <v>6566.8400000000011</v>
      </c>
      <c r="BC33" s="426">
        <f t="shared" si="90"/>
        <v>1</v>
      </c>
      <c r="BD33" s="74"/>
    </row>
    <row r="34" spans="2:56" s="158" customFormat="1" ht="24" customHeight="1">
      <c r="B34" s="156"/>
      <c r="C34" s="102" t="s">
        <v>181</v>
      </c>
      <c r="D34" s="102" t="s">
        <v>171</v>
      </c>
      <c r="E34" s="103" t="s">
        <v>182</v>
      </c>
      <c r="F34" s="507" t="s">
        <v>183</v>
      </c>
      <c r="G34" s="508"/>
      <c r="H34" s="508"/>
      <c r="I34" s="509"/>
      <c r="J34" s="104" t="s">
        <v>184</v>
      </c>
      <c r="K34" s="133">
        <v>1617</v>
      </c>
      <c r="L34" s="133">
        <v>1617</v>
      </c>
      <c r="M34" s="133">
        <v>1650</v>
      </c>
      <c r="N34" s="133">
        <v>1941.5</v>
      </c>
      <c r="O34" s="133">
        <v>632.5</v>
      </c>
      <c r="P34" s="404">
        <f t="shared" si="61"/>
        <v>7458</v>
      </c>
      <c r="Q34" s="401">
        <v>0</v>
      </c>
      <c r="R34" s="133">
        <v>0</v>
      </c>
      <c r="S34" s="133">
        <v>0</v>
      </c>
      <c r="T34" s="133">
        <v>0</v>
      </c>
      <c r="U34" s="133">
        <v>0</v>
      </c>
      <c r="V34" s="177">
        <f t="shared" si="62"/>
        <v>0</v>
      </c>
      <c r="W34" s="289">
        <f t="shared" si="63"/>
        <v>0</v>
      </c>
      <c r="X34" s="401">
        <f t="shared" si="64"/>
        <v>1617</v>
      </c>
      <c r="Y34" s="133">
        <f t="shared" si="65"/>
        <v>1617</v>
      </c>
      <c r="Z34" s="133">
        <f t="shared" si="66"/>
        <v>1650</v>
      </c>
      <c r="AA34" s="133">
        <f t="shared" si="67"/>
        <v>1941.5</v>
      </c>
      <c r="AB34" s="133">
        <f t="shared" si="68"/>
        <v>632.5</v>
      </c>
      <c r="AC34" s="177">
        <f t="shared" si="69"/>
        <v>7458</v>
      </c>
      <c r="AD34" s="289">
        <f t="shared" si="70"/>
        <v>1</v>
      </c>
      <c r="AE34" s="155">
        <v>1.77</v>
      </c>
      <c r="AF34" s="155">
        <v>1.77</v>
      </c>
      <c r="AG34" s="155">
        <v>1.77</v>
      </c>
      <c r="AH34" s="155">
        <v>1.77</v>
      </c>
      <c r="AI34" s="155">
        <v>1.77</v>
      </c>
      <c r="AJ34" s="152">
        <f t="shared" si="71"/>
        <v>2862.09</v>
      </c>
      <c r="AK34" s="133">
        <f t="shared" si="72"/>
        <v>2862.09</v>
      </c>
      <c r="AL34" s="152">
        <f t="shared" si="73"/>
        <v>2920.5</v>
      </c>
      <c r="AM34" s="133">
        <f t="shared" si="74"/>
        <v>3436.4549999999999</v>
      </c>
      <c r="AN34" s="133">
        <f t="shared" si="75"/>
        <v>1119.5250000000001</v>
      </c>
      <c r="AO34" s="414">
        <f t="shared" si="76"/>
        <v>13200.66</v>
      </c>
      <c r="AP34" s="407">
        <f t="shared" si="77"/>
        <v>0</v>
      </c>
      <c r="AQ34" s="133">
        <f t="shared" si="78"/>
        <v>0</v>
      </c>
      <c r="AR34" s="152">
        <f t="shared" si="79"/>
        <v>0</v>
      </c>
      <c r="AS34" s="133">
        <f t="shared" si="80"/>
        <v>0</v>
      </c>
      <c r="AT34" s="133">
        <f t="shared" si="81"/>
        <v>0</v>
      </c>
      <c r="AU34" s="133">
        <f t="shared" si="82"/>
        <v>0</v>
      </c>
      <c r="AV34" s="312">
        <f t="shared" si="83"/>
        <v>0</v>
      </c>
      <c r="AW34" s="407">
        <f t="shared" si="84"/>
        <v>2862.09</v>
      </c>
      <c r="AX34" s="133">
        <f t="shared" si="85"/>
        <v>2862.09</v>
      </c>
      <c r="AY34" s="152">
        <f t="shared" si="86"/>
        <v>2920.5</v>
      </c>
      <c r="AZ34" s="133">
        <f t="shared" si="87"/>
        <v>3436.4549999999999</v>
      </c>
      <c r="BA34" s="133">
        <f t="shared" si="88"/>
        <v>1119.5250000000001</v>
      </c>
      <c r="BB34" s="133">
        <f t="shared" si="89"/>
        <v>13200.66</v>
      </c>
      <c r="BC34" s="426">
        <f t="shared" si="90"/>
        <v>1</v>
      </c>
      <c r="BD34" s="157"/>
    </row>
    <row r="35" spans="2:56" s="158" customFormat="1" ht="31.5" customHeight="1">
      <c r="B35" s="156"/>
      <c r="C35" s="102" t="s">
        <v>185</v>
      </c>
      <c r="D35" s="102" t="s">
        <v>171</v>
      </c>
      <c r="E35" s="103" t="s">
        <v>186</v>
      </c>
      <c r="F35" s="507" t="s">
        <v>187</v>
      </c>
      <c r="G35" s="508"/>
      <c r="H35" s="508"/>
      <c r="I35" s="509"/>
      <c r="J35" s="104" t="s">
        <v>168</v>
      </c>
      <c r="K35" s="133">
        <v>284</v>
      </c>
      <c r="L35" s="133">
        <v>284</v>
      </c>
      <c r="M35" s="133">
        <v>345</v>
      </c>
      <c r="N35" s="133">
        <v>405.95</v>
      </c>
      <c r="O35" s="133">
        <v>132.25</v>
      </c>
      <c r="P35" s="404">
        <f t="shared" si="61"/>
        <v>1451.2</v>
      </c>
      <c r="Q35" s="401">
        <v>0</v>
      </c>
      <c r="R35" s="133">
        <v>0</v>
      </c>
      <c r="S35" s="133">
        <v>0</v>
      </c>
      <c r="T35" s="133">
        <v>0</v>
      </c>
      <c r="U35" s="133">
        <v>0</v>
      </c>
      <c r="V35" s="177">
        <f t="shared" si="62"/>
        <v>0</v>
      </c>
      <c r="W35" s="289">
        <f t="shared" si="63"/>
        <v>0</v>
      </c>
      <c r="X35" s="401">
        <f t="shared" si="64"/>
        <v>284</v>
      </c>
      <c r="Y35" s="133">
        <f t="shared" si="65"/>
        <v>284</v>
      </c>
      <c r="Z35" s="133">
        <f t="shared" si="66"/>
        <v>345</v>
      </c>
      <c r="AA35" s="133">
        <f t="shared" si="67"/>
        <v>405.95</v>
      </c>
      <c r="AB35" s="133">
        <f t="shared" si="68"/>
        <v>132.25</v>
      </c>
      <c r="AC35" s="177">
        <f t="shared" si="69"/>
        <v>1451.2</v>
      </c>
      <c r="AD35" s="289">
        <f t="shared" si="70"/>
        <v>1</v>
      </c>
      <c r="AE35" s="155">
        <v>5.0999999999999996</v>
      </c>
      <c r="AF35" s="155">
        <v>5.0999999999999996</v>
      </c>
      <c r="AG35" s="155">
        <v>5.0999999999999996</v>
      </c>
      <c r="AH35" s="155">
        <v>5.0999999999999996</v>
      </c>
      <c r="AI35" s="155">
        <v>5.0999999999999996</v>
      </c>
      <c r="AJ35" s="152">
        <f t="shared" si="71"/>
        <v>1448.4</v>
      </c>
      <c r="AK35" s="133">
        <f t="shared" si="72"/>
        <v>1448.4</v>
      </c>
      <c r="AL35" s="152">
        <f t="shared" si="73"/>
        <v>1759.5</v>
      </c>
      <c r="AM35" s="133">
        <f t="shared" si="74"/>
        <v>2070.3449999999998</v>
      </c>
      <c r="AN35" s="133">
        <f t="shared" si="75"/>
        <v>674.47500000000002</v>
      </c>
      <c r="AO35" s="414">
        <f t="shared" si="76"/>
        <v>7401.1200000000008</v>
      </c>
      <c r="AP35" s="407">
        <f t="shared" si="77"/>
        <v>0</v>
      </c>
      <c r="AQ35" s="133">
        <f t="shared" si="78"/>
        <v>0</v>
      </c>
      <c r="AR35" s="152">
        <f t="shared" si="79"/>
        <v>0</v>
      </c>
      <c r="AS35" s="133">
        <f t="shared" si="80"/>
        <v>0</v>
      </c>
      <c r="AT35" s="133">
        <f t="shared" si="81"/>
        <v>0</v>
      </c>
      <c r="AU35" s="133">
        <f t="shared" si="82"/>
        <v>0</v>
      </c>
      <c r="AV35" s="312">
        <f t="shared" si="83"/>
        <v>0</v>
      </c>
      <c r="AW35" s="407">
        <f t="shared" si="84"/>
        <v>1448.4</v>
      </c>
      <c r="AX35" s="133">
        <f t="shared" si="85"/>
        <v>1448.4</v>
      </c>
      <c r="AY35" s="152">
        <f t="shared" si="86"/>
        <v>1759.5</v>
      </c>
      <c r="AZ35" s="133">
        <f t="shared" si="87"/>
        <v>2070.3449999999998</v>
      </c>
      <c r="BA35" s="133">
        <f t="shared" si="88"/>
        <v>674.47500000000002</v>
      </c>
      <c r="BB35" s="133">
        <f t="shared" si="89"/>
        <v>7401.1200000000008</v>
      </c>
      <c r="BC35" s="426">
        <f t="shared" si="90"/>
        <v>1</v>
      </c>
      <c r="BD35" s="157"/>
    </row>
    <row r="36" spans="2:56" s="1" customFormat="1" ht="57" customHeight="1">
      <c r="B36" s="73"/>
      <c r="C36" s="93" t="s">
        <v>188</v>
      </c>
      <c r="D36" s="93" t="s">
        <v>149</v>
      </c>
      <c r="E36" s="94" t="s">
        <v>189</v>
      </c>
      <c r="F36" s="500" t="s">
        <v>190</v>
      </c>
      <c r="G36" s="501"/>
      <c r="H36" s="501"/>
      <c r="I36" s="502"/>
      <c r="J36" s="95" t="s">
        <v>168</v>
      </c>
      <c r="K36" s="128">
        <v>71.91</v>
      </c>
      <c r="L36" s="128">
        <v>71.91</v>
      </c>
      <c r="M36" s="128">
        <v>72</v>
      </c>
      <c r="N36" s="128">
        <v>72</v>
      </c>
      <c r="O36" s="128">
        <v>31.91</v>
      </c>
      <c r="P36" s="403">
        <f t="shared" si="61"/>
        <v>319.73</v>
      </c>
      <c r="Q36" s="400">
        <v>0</v>
      </c>
      <c r="R36" s="128">
        <v>0</v>
      </c>
      <c r="S36" s="128">
        <v>0</v>
      </c>
      <c r="T36" s="128">
        <v>0</v>
      </c>
      <c r="U36" s="128">
        <v>0</v>
      </c>
      <c r="V36" s="165">
        <f t="shared" si="62"/>
        <v>0</v>
      </c>
      <c r="W36" s="289">
        <f t="shared" si="63"/>
        <v>0</v>
      </c>
      <c r="X36" s="400">
        <f t="shared" si="64"/>
        <v>71.91</v>
      </c>
      <c r="Y36" s="128">
        <f t="shared" si="65"/>
        <v>71.91</v>
      </c>
      <c r="Z36" s="128">
        <f t="shared" si="66"/>
        <v>72</v>
      </c>
      <c r="AA36" s="128">
        <f t="shared" si="67"/>
        <v>72</v>
      </c>
      <c r="AB36" s="128">
        <f t="shared" si="68"/>
        <v>31.91</v>
      </c>
      <c r="AC36" s="165">
        <f t="shared" si="69"/>
        <v>319.73</v>
      </c>
      <c r="AD36" s="289">
        <f t="shared" si="70"/>
        <v>1</v>
      </c>
      <c r="AE36" s="137">
        <v>5.2</v>
      </c>
      <c r="AF36" s="137">
        <v>5.2</v>
      </c>
      <c r="AG36" s="137">
        <v>5.2</v>
      </c>
      <c r="AH36" s="137">
        <v>5.2</v>
      </c>
      <c r="AI36" s="137">
        <v>5.2</v>
      </c>
      <c r="AJ36" s="153">
        <f t="shared" si="71"/>
        <v>373.93200000000002</v>
      </c>
      <c r="AK36" s="128">
        <f t="shared" si="72"/>
        <v>373.93200000000002</v>
      </c>
      <c r="AL36" s="128">
        <f t="shared" si="73"/>
        <v>374.4</v>
      </c>
      <c r="AM36" s="128">
        <f t="shared" si="74"/>
        <v>374.4</v>
      </c>
      <c r="AN36" s="128">
        <f t="shared" si="75"/>
        <v>165.93199999999999</v>
      </c>
      <c r="AO36" s="411">
        <f t="shared" si="76"/>
        <v>1662.5960000000002</v>
      </c>
      <c r="AP36" s="359">
        <f t="shared" si="77"/>
        <v>0</v>
      </c>
      <c r="AQ36" s="128">
        <f t="shared" si="78"/>
        <v>0</v>
      </c>
      <c r="AR36" s="128">
        <f t="shared" si="79"/>
        <v>0</v>
      </c>
      <c r="AS36" s="128">
        <f t="shared" si="80"/>
        <v>0</v>
      </c>
      <c r="AT36" s="128">
        <f t="shared" si="81"/>
        <v>0</v>
      </c>
      <c r="AU36" s="128">
        <f t="shared" si="82"/>
        <v>0</v>
      </c>
      <c r="AV36" s="312">
        <f t="shared" si="83"/>
        <v>0</v>
      </c>
      <c r="AW36" s="359">
        <f t="shared" si="84"/>
        <v>373.93200000000002</v>
      </c>
      <c r="AX36" s="128">
        <f t="shared" si="85"/>
        <v>373.93200000000002</v>
      </c>
      <c r="AY36" s="128">
        <f t="shared" si="86"/>
        <v>374.4</v>
      </c>
      <c r="AZ36" s="128">
        <f t="shared" si="87"/>
        <v>374.4</v>
      </c>
      <c r="BA36" s="128">
        <f t="shared" si="88"/>
        <v>165.93199999999999</v>
      </c>
      <c r="BB36" s="128">
        <f t="shared" si="89"/>
        <v>1662.5960000000002</v>
      </c>
      <c r="BC36" s="426">
        <f t="shared" si="90"/>
        <v>1</v>
      </c>
      <c r="BD36" s="74"/>
    </row>
    <row r="37" spans="2:56" s="158" customFormat="1" ht="22.5" customHeight="1">
      <c r="B37" s="156"/>
      <c r="C37" s="102" t="s">
        <v>191</v>
      </c>
      <c r="D37" s="102" t="s">
        <v>171</v>
      </c>
      <c r="E37" s="103" t="s">
        <v>192</v>
      </c>
      <c r="F37" s="507" t="s">
        <v>193</v>
      </c>
      <c r="G37" s="508"/>
      <c r="H37" s="508"/>
      <c r="I37" s="509"/>
      <c r="J37" s="104" t="s">
        <v>194</v>
      </c>
      <c r="K37" s="133">
        <v>0.59899999999999998</v>
      </c>
      <c r="L37" s="133">
        <v>0.59899999999999998</v>
      </c>
      <c r="M37" s="133">
        <v>0.59899999999999998</v>
      </c>
      <c r="N37" s="133">
        <v>0.59899999999999998</v>
      </c>
      <c r="O37" s="133">
        <v>0.59899999999999998</v>
      </c>
      <c r="P37" s="404">
        <f t="shared" si="61"/>
        <v>2.9950000000000001</v>
      </c>
      <c r="Q37" s="401">
        <v>0</v>
      </c>
      <c r="R37" s="133">
        <v>0</v>
      </c>
      <c r="S37" s="133">
        <v>0</v>
      </c>
      <c r="T37" s="133">
        <v>0</v>
      </c>
      <c r="U37" s="133">
        <v>0</v>
      </c>
      <c r="V37" s="177">
        <f t="shared" si="62"/>
        <v>0</v>
      </c>
      <c r="W37" s="289">
        <f t="shared" si="63"/>
        <v>0</v>
      </c>
      <c r="X37" s="401">
        <f t="shared" si="64"/>
        <v>0.59899999999999998</v>
      </c>
      <c r="Y37" s="133">
        <f t="shared" si="65"/>
        <v>0.59899999999999998</v>
      </c>
      <c r="Z37" s="133">
        <f t="shared" si="66"/>
        <v>0.59899999999999998</v>
      </c>
      <c r="AA37" s="133">
        <f t="shared" si="67"/>
        <v>0.59899999999999998</v>
      </c>
      <c r="AB37" s="133">
        <f t="shared" si="68"/>
        <v>0.59899999999999998</v>
      </c>
      <c r="AC37" s="177">
        <f t="shared" si="69"/>
        <v>2.9950000000000001</v>
      </c>
      <c r="AD37" s="289">
        <f t="shared" si="70"/>
        <v>1</v>
      </c>
      <c r="AE37" s="155">
        <v>12.48</v>
      </c>
      <c r="AF37" s="155">
        <v>12.48</v>
      </c>
      <c r="AG37" s="155">
        <v>12.48</v>
      </c>
      <c r="AH37" s="155">
        <v>12.48</v>
      </c>
      <c r="AI37" s="155">
        <v>12.48</v>
      </c>
      <c r="AJ37" s="152">
        <f t="shared" si="71"/>
        <v>7.476</v>
      </c>
      <c r="AK37" s="133">
        <f t="shared" si="72"/>
        <v>7.476</v>
      </c>
      <c r="AL37" s="152">
        <f t="shared" si="73"/>
        <v>7.476</v>
      </c>
      <c r="AM37" s="133">
        <f t="shared" si="74"/>
        <v>7.476</v>
      </c>
      <c r="AN37" s="133">
        <f t="shared" si="75"/>
        <v>7.476</v>
      </c>
      <c r="AO37" s="414">
        <f t="shared" si="76"/>
        <v>37.380000000000003</v>
      </c>
      <c r="AP37" s="407">
        <f t="shared" si="77"/>
        <v>0</v>
      </c>
      <c r="AQ37" s="133">
        <f t="shared" si="78"/>
        <v>0</v>
      </c>
      <c r="AR37" s="152">
        <f t="shared" si="79"/>
        <v>0</v>
      </c>
      <c r="AS37" s="133">
        <f t="shared" si="80"/>
        <v>0</v>
      </c>
      <c r="AT37" s="133">
        <f t="shared" si="81"/>
        <v>0</v>
      </c>
      <c r="AU37" s="133">
        <f t="shared" si="82"/>
        <v>0</v>
      </c>
      <c r="AV37" s="312">
        <f t="shared" si="83"/>
        <v>0</v>
      </c>
      <c r="AW37" s="407">
        <f t="shared" si="84"/>
        <v>7.476</v>
      </c>
      <c r="AX37" s="133">
        <f t="shared" si="85"/>
        <v>7.476</v>
      </c>
      <c r="AY37" s="152">
        <f t="shared" si="86"/>
        <v>7.476</v>
      </c>
      <c r="AZ37" s="133">
        <f t="shared" si="87"/>
        <v>7.476</v>
      </c>
      <c r="BA37" s="133">
        <f t="shared" si="88"/>
        <v>7.476</v>
      </c>
      <c r="BB37" s="133">
        <f t="shared" si="89"/>
        <v>37.380000000000003</v>
      </c>
      <c r="BC37" s="426">
        <f t="shared" si="90"/>
        <v>1</v>
      </c>
      <c r="BD37" s="157"/>
    </row>
    <row r="38" spans="2:56" s="158" customFormat="1" ht="31.5" customHeight="1">
      <c r="B38" s="156"/>
      <c r="C38" s="102" t="s">
        <v>169</v>
      </c>
      <c r="D38" s="102" t="s">
        <v>171</v>
      </c>
      <c r="E38" s="103" t="s">
        <v>186</v>
      </c>
      <c r="F38" s="507" t="s">
        <v>187</v>
      </c>
      <c r="G38" s="508"/>
      <c r="H38" s="508"/>
      <c r="I38" s="509"/>
      <c r="J38" s="104" t="s">
        <v>168</v>
      </c>
      <c r="K38" s="133">
        <v>82.697000000000003</v>
      </c>
      <c r="L38" s="133">
        <v>82.697000000000003</v>
      </c>
      <c r="M38" s="133">
        <v>72</v>
      </c>
      <c r="N38" s="133">
        <v>72</v>
      </c>
      <c r="O38" s="133">
        <v>12.696999999999999</v>
      </c>
      <c r="P38" s="404">
        <f t="shared" si="61"/>
        <v>322.09100000000001</v>
      </c>
      <c r="Q38" s="401">
        <v>0</v>
      </c>
      <c r="R38" s="133">
        <v>0</v>
      </c>
      <c r="S38" s="133">
        <v>0</v>
      </c>
      <c r="T38" s="133">
        <v>0</v>
      </c>
      <c r="U38" s="133">
        <v>0</v>
      </c>
      <c r="V38" s="177">
        <f t="shared" si="62"/>
        <v>0</v>
      </c>
      <c r="W38" s="289">
        <f t="shared" si="63"/>
        <v>0</v>
      </c>
      <c r="X38" s="401">
        <f t="shared" si="64"/>
        <v>82.697000000000003</v>
      </c>
      <c r="Y38" s="133">
        <f t="shared" si="65"/>
        <v>82.697000000000003</v>
      </c>
      <c r="Z38" s="133">
        <f t="shared" si="66"/>
        <v>72</v>
      </c>
      <c r="AA38" s="133">
        <f t="shared" si="67"/>
        <v>72</v>
      </c>
      <c r="AB38" s="133">
        <f t="shared" si="68"/>
        <v>12.696999999999999</v>
      </c>
      <c r="AC38" s="177">
        <f t="shared" si="69"/>
        <v>322.09100000000001</v>
      </c>
      <c r="AD38" s="289">
        <f t="shared" si="70"/>
        <v>1</v>
      </c>
      <c r="AE38" s="155">
        <v>5.0999999999999996</v>
      </c>
      <c r="AF38" s="155">
        <v>5.0999999999999996</v>
      </c>
      <c r="AG38" s="155">
        <v>5.0999999999999996</v>
      </c>
      <c r="AH38" s="155">
        <v>5.0999999999999996</v>
      </c>
      <c r="AI38" s="155">
        <v>5.0999999999999996</v>
      </c>
      <c r="AJ38" s="152">
        <f t="shared" si="71"/>
        <v>421.755</v>
      </c>
      <c r="AK38" s="133">
        <f t="shared" si="72"/>
        <v>421.755</v>
      </c>
      <c r="AL38" s="152">
        <f t="shared" si="73"/>
        <v>367.2</v>
      </c>
      <c r="AM38" s="133">
        <f t="shared" si="74"/>
        <v>367.2</v>
      </c>
      <c r="AN38" s="133">
        <f t="shared" si="75"/>
        <v>64.754999999999995</v>
      </c>
      <c r="AO38" s="414">
        <f t="shared" si="76"/>
        <v>1642.665</v>
      </c>
      <c r="AP38" s="407">
        <f t="shared" si="77"/>
        <v>0</v>
      </c>
      <c r="AQ38" s="133">
        <f t="shared" si="78"/>
        <v>0</v>
      </c>
      <c r="AR38" s="152">
        <f t="shared" si="79"/>
        <v>0</v>
      </c>
      <c r="AS38" s="133">
        <f t="shared" si="80"/>
        <v>0</v>
      </c>
      <c r="AT38" s="133">
        <f t="shared" si="81"/>
        <v>0</v>
      </c>
      <c r="AU38" s="133">
        <f t="shared" si="82"/>
        <v>0</v>
      </c>
      <c r="AV38" s="312">
        <f t="shared" si="83"/>
        <v>0</v>
      </c>
      <c r="AW38" s="407">
        <f t="shared" si="84"/>
        <v>421.755</v>
      </c>
      <c r="AX38" s="133">
        <f t="shared" si="85"/>
        <v>421.755</v>
      </c>
      <c r="AY38" s="152">
        <f t="shared" si="86"/>
        <v>367.2</v>
      </c>
      <c r="AZ38" s="133">
        <f t="shared" si="87"/>
        <v>367.2</v>
      </c>
      <c r="BA38" s="133">
        <f t="shared" si="88"/>
        <v>64.754999999999995</v>
      </c>
      <c r="BB38" s="133">
        <f t="shared" si="89"/>
        <v>1642.665</v>
      </c>
      <c r="BC38" s="426">
        <f t="shared" si="90"/>
        <v>1</v>
      </c>
      <c r="BD38" s="157"/>
    </row>
    <row r="39" spans="2:56" s="1" customFormat="1" ht="44.25" customHeight="1">
      <c r="B39" s="73"/>
      <c r="C39" s="93" t="s">
        <v>195</v>
      </c>
      <c r="D39" s="93" t="s">
        <v>149</v>
      </c>
      <c r="E39" s="94" t="s">
        <v>196</v>
      </c>
      <c r="F39" s="500" t="s">
        <v>197</v>
      </c>
      <c r="G39" s="501"/>
      <c r="H39" s="501"/>
      <c r="I39" s="502"/>
      <c r="J39" s="95" t="s">
        <v>198</v>
      </c>
      <c r="K39" s="128">
        <v>102</v>
      </c>
      <c r="L39" s="128">
        <v>102</v>
      </c>
      <c r="M39" s="128">
        <v>102</v>
      </c>
      <c r="N39" s="128">
        <v>112</v>
      </c>
      <c r="O39" s="128">
        <v>57</v>
      </c>
      <c r="P39" s="403">
        <f t="shared" si="61"/>
        <v>475</v>
      </c>
      <c r="Q39" s="400">
        <v>0</v>
      </c>
      <c r="R39" s="128">
        <v>0</v>
      </c>
      <c r="S39" s="128">
        <v>0</v>
      </c>
      <c r="T39" s="128">
        <v>0</v>
      </c>
      <c r="U39" s="128">
        <v>0</v>
      </c>
      <c r="V39" s="165">
        <f t="shared" si="62"/>
        <v>0</v>
      </c>
      <c r="W39" s="289">
        <f t="shared" si="63"/>
        <v>0</v>
      </c>
      <c r="X39" s="400">
        <f t="shared" si="64"/>
        <v>102</v>
      </c>
      <c r="Y39" s="128">
        <f t="shared" si="65"/>
        <v>102</v>
      </c>
      <c r="Z39" s="128">
        <f t="shared" si="66"/>
        <v>102</v>
      </c>
      <c r="AA39" s="128">
        <f t="shared" si="67"/>
        <v>112</v>
      </c>
      <c r="AB39" s="128">
        <f t="shared" si="68"/>
        <v>57</v>
      </c>
      <c r="AC39" s="165">
        <f t="shared" si="69"/>
        <v>475</v>
      </c>
      <c r="AD39" s="289">
        <f t="shared" si="70"/>
        <v>1</v>
      </c>
      <c r="AE39" s="137">
        <v>8.32</v>
      </c>
      <c r="AF39" s="137">
        <v>8.32</v>
      </c>
      <c r="AG39" s="137">
        <v>8.32</v>
      </c>
      <c r="AH39" s="137">
        <v>8.32</v>
      </c>
      <c r="AI39" s="137">
        <v>8.32</v>
      </c>
      <c r="AJ39" s="153">
        <f t="shared" si="71"/>
        <v>848.64</v>
      </c>
      <c r="AK39" s="128">
        <f t="shared" si="72"/>
        <v>848.64</v>
      </c>
      <c r="AL39" s="128">
        <f t="shared" si="73"/>
        <v>848.64</v>
      </c>
      <c r="AM39" s="128">
        <f t="shared" si="74"/>
        <v>931.84</v>
      </c>
      <c r="AN39" s="128">
        <f t="shared" si="75"/>
        <v>474.24</v>
      </c>
      <c r="AO39" s="411">
        <f t="shared" si="76"/>
        <v>3952</v>
      </c>
      <c r="AP39" s="359">
        <f t="shared" si="77"/>
        <v>0</v>
      </c>
      <c r="AQ39" s="128">
        <f t="shared" si="78"/>
        <v>0</v>
      </c>
      <c r="AR39" s="128">
        <f t="shared" si="79"/>
        <v>0</v>
      </c>
      <c r="AS39" s="128">
        <f t="shared" si="80"/>
        <v>0</v>
      </c>
      <c r="AT39" s="128">
        <f t="shared" si="81"/>
        <v>0</v>
      </c>
      <c r="AU39" s="128">
        <f t="shared" si="82"/>
        <v>0</v>
      </c>
      <c r="AV39" s="312">
        <f t="shared" si="83"/>
        <v>0</v>
      </c>
      <c r="AW39" s="359">
        <f t="shared" si="84"/>
        <v>848.64</v>
      </c>
      <c r="AX39" s="128">
        <f t="shared" si="85"/>
        <v>848.64</v>
      </c>
      <c r="AY39" s="128">
        <f t="shared" si="86"/>
        <v>848.64</v>
      </c>
      <c r="AZ39" s="128">
        <f t="shared" si="87"/>
        <v>931.84</v>
      </c>
      <c r="BA39" s="128">
        <f t="shared" si="88"/>
        <v>474.24</v>
      </c>
      <c r="BB39" s="128">
        <f t="shared" si="89"/>
        <v>3952</v>
      </c>
      <c r="BC39" s="426">
        <f t="shared" si="90"/>
        <v>1</v>
      </c>
      <c r="BD39" s="74"/>
    </row>
    <row r="40" spans="2:56" s="158" customFormat="1" ht="22.5" customHeight="1">
      <c r="B40" s="156"/>
      <c r="C40" s="102" t="s">
        <v>199</v>
      </c>
      <c r="D40" s="102" t="s">
        <v>171</v>
      </c>
      <c r="E40" s="103" t="s">
        <v>182</v>
      </c>
      <c r="F40" s="507" t="s">
        <v>183</v>
      </c>
      <c r="G40" s="508"/>
      <c r="H40" s="508"/>
      <c r="I40" s="509"/>
      <c r="J40" s="104" t="s">
        <v>184</v>
      </c>
      <c r="K40" s="133">
        <v>816</v>
      </c>
      <c r="L40" s="133">
        <v>816</v>
      </c>
      <c r="M40" s="133">
        <v>816</v>
      </c>
      <c r="N40" s="133">
        <v>816</v>
      </c>
      <c r="O40" s="133">
        <v>816</v>
      </c>
      <c r="P40" s="404">
        <f t="shared" si="61"/>
        <v>4080</v>
      </c>
      <c r="Q40" s="401">
        <v>0</v>
      </c>
      <c r="R40" s="133">
        <v>0</v>
      </c>
      <c r="S40" s="133">
        <v>0</v>
      </c>
      <c r="T40" s="133">
        <v>0</v>
      </c>
      <c r="U40" s="133">
        <v>0</v>
      </c>
      <c r="V40" s="177">
        <f t="shared" si="62"/>
        <v>0</v>
      </c>
      <c r="W40" s="289">
        <f t="shared" si="63"/>
        <v>0</v>
      </c>
      <c r="X40" s="401">
        <f t="shared" si="64"/>
        <v>816</v>
      </c>
      <c r="Y40" s="133">
        <f t="shared" si="65"/>
        <v>816</v>
      </c>
      <c r="Z40" s="133">
        <f t="shared" si="66"/>
        <v>816</v>
      </c>
      <c r="AA40" s="133">
        <f t="shared" si="67"/>
        <v>816</v>
      </c>
      <c r="AB40" s="133">
        <f t="shared" si="68"/>
        <v>816</v>
      </c>
      <c r="AC40" s="177">
        <f t="shared" si="69"/>
        <v>4080</v>
      </c>
      <c r="AD40" s="289">
        <f t="shared" si="70"/>
        <v>1</v>
      </c>
      <c r="AE40" s="155">
        <v>1.77</v>
      </c>
      <c r="AF40" s="155">
        <v>1.77</v>
      </c>
      <c r="AG40" s="155">
        <v>1.77</v>
      </c>
      <c r="AH40" s="155">
        <v>1.77</v>
      </c>
      <c r="AI40" s="155">
        <v>1.77</v>
      </c>
      <c r="AJ40" s="152">
        <f t="shared" si="71"/>
        <v>1444.32</v>
      </c>
      <c r="AK40" s="133">
        <f t="shared" si="72"/>
        <v>1444.32</v>
      </c>
      <c r="AL40" s="152">
        <f t="shared" si="73"/>
        <v>1444.32</v>
      </c>
      <c r="AM40" s="133">
        <f t="shared" si="74"/>
        <v>1444.32</v>
      </c>
      <c r="AN40" s="133">
        <f t="shared" si="75"/>
        <v>1444.32</v>
      </c>
      <c r="AO40" s="414">
        <f t="shared" si="76"/>
        <v>7221.5999999999995</v>
      </c>
      <c r="AP40" s="407">
        <f t="shared" si="77"/>
        <v>0</v>
      </c>
      <c r="AQ40" s="133">
        <f t="shared" si="78"/>
        <v>0</v>
      </c>
      <c r="AR40" s="152">
        <f t="shared" si="79"/>
        <v>0</v>
      </c>
      <c r="AS40" s="133">
        <f t="shared" si="80"/>
        <v>0</v>
      </c>
      <c r="AT40" s="133">
        <f t="shared" si="81"/>
        <v>0</v>
      </c>
      <c r="AU40" s="133">
        <f t="shared" si="82"/>
        <v>0</v>
      </c>
      <c r="AV40" s="312">
        <f t="shared" si="83"/>
        <v>0</v>
      </c>
      <c r="AW40" s="407">
        <f t="shared" si="84"/>
        <v>1444.32</v>
      </c>
      <c r="AX40" s="133">
        <f t="shared" si="85"/>
        <v>1444.32</v>
      </c>
      <c r="AY40" s="152">
        <f t="shared" si="86"/>
        <v>1444.32</v>
      </c>
      <c r="AZ40" s="133">
        <f t="shared" si="87"/>
        <v>1444.32</v>
      </c>
      <c r="BA40" s="133">
        <f t="shared" si="88"/>
        <v>1444.32</v>
      </c>
      <c r="BB40" s="133">
        <f t="shared" si="89"/>
        <v>7221.5999999999995</v>
      </c>
      <c r="BC40" s="426">
        <f t="shared" si="90"/>
        <v>1</v>
      </c>
      <c r="BD40" s="157"/>
    </row>
    <row r="41" spans="2:56" s="1" customFormat="1" ht="31.5" customHeight="1">
      <c r="B41" s="73"/>
      <c r="C41" s="93" t="s">
        <v>200</v>
      </c>
      <c r="D41" s="93" t="s">
        <v>149</v>
      </c>
      <c r="E41" s="94" t="s">
        <v>201</v>
      </c>
      <c r="F41" s="500" t="s">
        <v>202</v>
      </c>
      <c r="G41" s="501"/>
      <c r="H41" s="501"/>
      <c r="I41" s="502"/>
      <c r="J41" s="95" t="s">
        <v>168</v>
      </c>
      <c r="K41" s="128">
        <v>684.08</v>
      </c>
      <c r="L41" s="128">
        <v>684.08</v>
      </c>
      <c r="M41" s="128">
        <v>784.08</v>
      </c>
      <c r="N41" s="128">
        <v>784.08</v>
      </c>
      <c r="O41" s="128">
        <v>134.08000000000001</v>
      </c>
      <c r="P41" s="403">
        <f t="shared" si="61"/>
        <v>3070.4</v>
      </c>
      <c r="Q41" s="400">
        <v>0</v>
      </c>
      <c r="R41" s="128">
        <v>0</v>
      </c>
      <c r="S41" s="128">
        <v>0</v>
      </c>
      <c r="T41" s="128">
        <v>0</v>
      </c>
      <c r="U41" s="128">
        <v>0</v>
      </c>
      <c r="V41" s="165">
        <f t="shared" si="62"/>
        <v>0</v>
      </c>
      <c r="W41" s="289">
        <f t="shared" si="63"/>
        <v>0</v>
      </c>
      <c r="X41" s="400">
        <f t="shared" si="64"/>
        <v>684.08</v>
      </c>
      <c r="Y41" s="128">
        <f t="shared" si="65"/>
        <v>684.08</v>
      </c>
      <c r="Z41" s="128">
        <f t="shared" si="66"/>
        <v>784.08</v>
      </c>
      <c r="AA41" s="128">
        <f t="shared" si="67"/>
        <v>784.08</v>
      </c>
      <c r="AB41" s="128">
        <f t="shared" si="68"/>
        <v>134.08000000000001</v>
      </c>
      <c r="AC41" s="165">
        <f t="shared" si="69"/>
        <v>3070.4</v>
      </c>
      <c r="AD41" s="289">
        <f t="shared" si="70"/>
        <v>1</v>
      </c>
      <c r="AE41" s="137">
        <v>0.26</v>
      </c>
      <c r="AF41" s="137">
        <v>0.26</v>
      </c>
      <c r="AG41" s="137">
        <v>0.26</v>
      </c>
      <c r="AH41" s="137">
        <v>0.26</v>
      </c>
      <c r="AI41" s="137">
        <v>0.26</v>
      </c>
      <c r="AJ41" s="153">
        <f t="shared" si="71"/>
        <v>177.86099999999999</v>
      </c>
      <c r="AK41" s="128">
        <f t="shared" si="72"/>
        <v>177.86099999999999</v>
      </c>
      <c r="AL41" s="128">
        <f t="shared" si="73"/>
        <v>203.86099999999999</v>
      </c>
      <c r="AM41" s="128">
        <f t="shared" si="74"/>
        <v>203.86099999999999</v>
      </c>
      <c r="AN41" s="128">
        <f t="shared" si="75"/>
        <v>34.860999999999997</v>
      </c>
      <c r="AO41" s="411">
        <f t="shared" si="76"/>
        <v>798.30499999999995</v>
      </c>
      <c r="AP41" s="359">
        <f t="shared" si="77"/>
        <v>0</v>
      </c>
      <c r="AQ41" s="128">
        <f t="shared" si="78"/>
        <v>0</v>
      </c>
      <c r="AR41" s="128">
        <f t="shared" si="79"/>
        <v>0</v>
      </c>
      <c r="AS41" s="128">
        <f t="shared" si="80"/>
        <v>0</v>
      </c>
      <c r="AT41" s="128">
        <f t="shared" si="81"/>
        <v>0</v>
      </c>
      <c r="AU41" s="128">
        <f t="shared" si="82"/>
        <v>0</v>
      </c>
      <c r="AV41" s="312">
        <f t="shared" si="83"/>
        <v>0</v>
      </c>
      <c r="AW41" s="359">
        <f t="shared" si="84"/>
        <v>177.86099999999999</v>
      </c>
      <c r="AX41" s="128">
        <f t="shared" si="85"/>
        <v>177.86099999999999</v>
      </c>
      <c r="AY41" s="128">
        <f t="shared" si="86"/>
        <v>203.86099999999999</v>
      </c>
      <c r="AZ41" s="128">
        <f t="shared" si="87"/>
        <v>203.86099999999999</v>
      </c>
      <c r="BA41" s="128">
        <f t="shared" si="88"/>
        <v>34.860999999999997</v>
      </c>
      <c r="BB41" s="128">
        <f t="shared" si="89"/>
        <v>798.30499999999995</v>
      </c>
      <c r="BC41" s="426">
        <f t="shared" si="90"/>
        <v>1</v>
      </c>
      <c r="BD41" s="74"/>
    </row>
    <row r="42" spans="2:56" s="158" customFormat="1" ht="31.5" customHeight="1">
      <c r="B42" s="156"/>
      <c r="C42" s="102" t="s">
        <v>1</v>
      </c>
      <c r="D42" s="102" t="s">
        <v>171</v>
      </c>
      <c r="E42" s="103" t="s">
        <v>203</v>
      </c>
      <c r="F42" s="507" t="s">
        <v>204</v>
      </c>
      <c r="G42" s="508"/>
      <c r="H42" s="508"/>
      <c r="I42" s="509"/>
      <c r="J42" s="104" t="s">
        <v>168</v>
      </c>
      <c r="K42" s="133">
        <v>698</v>
      </c>
      <c r="L42" s="133">
        <v>698</v>
      </c>
      <c r="M42" s="133">
        <v>901.69200000000001</v>
      </c>
      <c r="N42" s="133">
        <v>901.69200000000001</v>
      </c>
      <c r="O42" s="133">
        <v>134</v>
      </c>
      <c r="P42" s="404">
        <f t="shared" si="61"/>
        <v>3333.384</v>
      </c>
      <c r="Q42" s="401">
        <v>0</v>
      </c>
      <c r="R42" s="133">
        <v>0</v>
      </c>
      <c r="S42" s="133">
        <v>0</v>
      </c>
      <c r="T42" s="133">
        <v>0</v>
      </c>
      <c r="U42" s="133">
        <v>0</v>
      </c>
      <c r="V42" s="177">
        <f t="shared" si="62"/>
        <v>0</v>
      </c>
      <c r="W42" s="289">
        <f t="shared" si="63"/>
        <v>0</v>
      </c>
      <c r="X42" s="401">
        <f t="shared" si="64"/>
        <v>698</v>
      </c>
      <c r="Y42" s="133">
        <f t="shared" si="65"/>
        <v>698</v>
      </c>
      <c r="Z42" s="133">
        <f t="shared" si="66"/>
        <v>901.69200000000001</v>
      </c>
      <c r="AA42" s="133">
        <f t="shared" si="67"/>
        <v>901.69200000000001</v>
      </c>
      <c r="AB42" s="133">
        <f t="shared" si="68"/>
        <v>134</v>
      </c>
      <c r="AC42" s="177">
        <f t="shared" si="69"/>
        <v>3333.384</v>
      </c>
      <c r="AD42" s="289">
        <f t="shared" si="70"/>
        <v>1</v>
      </c>
      <c r="AE42" s="155">
        <v>1.04</v>
      </c>
      <c r="AF42" s="155">
        <v>1.04</v>
      </c>
      <c r="AG42" s="155">
        <v>1.04</v>
      </c>
      <c r="AH42" s="155">
        <v>1.04</v>
      </c>
      <c r="AI42" s="155">
        <v>1.04</v>
      </c>
      <c r="AJ42" s="152">
        <f t="shared" si="71"/>
        <v>725.92</v>
      </c>
      <c r="AK42" s="152">
        <f t="shared" si="72"/>
        <v>725.92</v>
      </c>
      <c r="AL42" s="152">
        <f t="shared" si="73"/>
        <v>937.76</v>
      </c>
      <c r="AM42" s="133">
        <f t="shared" si="74"/>
        <v>937.76</v>
      </c>
      <c r="AN42" s="133">
        <f t="shared" si="75"/>
        <v>139.36000000000001</v>
      </c>
      <c r="AO42" s="414">
        <f t="shared" si="76"/>
        <v>3466.72</v>
      </c>
      <c r="AP42" s="407">
        <f t="shared" si="77"/>
        <v>0</v>
      </c>
      <c r="AQ42" s="152">
        <f t="shared" si="78"/>
        <v>0</v>
      </c>
      <c r="AR42" s="152">
        <f t="shared" si="79"/>
        <v>0</v>
      </c>
      <c r="AS42" s="133">
        <f t="shared" si="80"/>
        <v>0</v>
      </c>
      <c r="AT42" s="133">
        <f t="shared" si="81"/>
        <v>0</v>
      </c>
      <c r="AU42" s="133">
        <f t="shared" si="82"/>
        <v>0</v>
      </c>
      <c r="AV42" s="312">
        <f t="shared" si="83"/>
        <v>0</v>
      </c>
      <c r="AW42" s="407">
        <f t="shared" si="84"/>
        <v>725.92</v>
      </c>
      <c r="AX42" s="152">
        <f t="shared" si="85"/>
        <v>725.92</v>
      </c>
      <c r="AY42" s="152">
        <f t="shared" si="86"/>
        <v>937.76</v>
      </c>
      <c r="AZ42" s="133">
        <f t="shared" si="87"/>
        <v>937.76</v>
      </c>
      <c r="BA42" s="133">
        <f t="shared" si="88"/>
        <v>139.36000000000001</v>
      </c>
      <c r="BB42" s="133">
        <f t="shared" si="89"/>
        <v>3466.72</v>
      </c>
      <c r="BC42" s="426">
        <f t="shared" si="90"/>
        <v>1</v>
      </c>
      <c r="BD42" s="157"/>
    </row>
    <row r="43" spans="2:56" s="1" customFormat="1" ht="44.25" customHeight="1">
      <c r="B43" s="73"/>
      <c r="C43" s="93" t="s">
        <v>205</v>
      </c>
      <c r="D43" s="93" t="s">
        <v>149</v>
      </c>
      <c r="E43" s="94" t="s">
        <v>206</v>
      </c>
      <c r="F43" s="500" t="s">
        <v>207</v>
      </c>
      <c r="G43" s="501"/>
      <c r="H43" s="501"/>
      <c r="I43" s="502"/>
      <c r="J43" s="95" t="s">
        <v>198</v>
      </c>
      <c r="K43" s="128">
        <v>102</v>
      </c>
      <c r="L43" s="128">
        <v>102</v>
      </c>
      <c r="M43" s="128">
        <v>102</v>
      </c>
      <c r="N43" s="128">
        <v>81</v>
      </c>
      <c r="O43" s="128">
        <v>68.5</v>
      </c>
      <c r="P43" s="403">
        <f t="shared" si="61"/>
        <v>455.5</v>
      </c>
      <c r="Q43" s="400">
        <v>0</v>
      </c>
      <c r="R43" s="128">
        <v>0</v>
      </c>
      <c r="S43" s="128">
        <v>0</v>
      </c>
      <c r="T43" s="128">
        <v>0</v>
      </c>
      <c r="U43" s="128">
        <v>0</v>
      </c>
      <c r="V43" s="165">
        <f t="shared" si="62"/>
        <v>0</v>
      </c>
      <c r="W43" s="289">
        <f t="shared" si="63"/>
        <v>0</v>
      </c>
      <c r="X43" s="400">
        <f t="shared" si="64"/>
        <v>102</v>
      </c>
      <c r="Y43" s="128">
        <f t="shared" si="65"/>
        <v>102</v>
      </c>
      <c r="Z43" s="128">
        <f t="shared" si="66"/>
        <v>102</v>
      </c>
      <c r="AA43" s="128">
        <f t="shared" si="67"/>
        <v>81</v>
      </c>
      <c r="AB43" s="128">
        <f t="shared" si="68"/>
        <v>68.5</v>
      </c>
      <c r="AC43" s="165">
        <f t="shared" si="69"/>
        <v>455.5</v>
      </c>
      <c r="AD43" s="289">
        <f t="shared" si="70"/>
        <v>1</v>
      </c>
      <c r="AE43" s="137">
        <v>1.87</v>
      </c>
      <c r="AF43" s="137">
        <v>1.87</v>
      </c>
      <c r="AG43" s="137">
        <v>1.87</v>
      </c>
      <c r="AH43" s="137">
        <v>1.87</v>
      </c>
      <c r="AI43" s="137">
        <v>1.87</v>
      </c>
      <c r="AJ43" s="153">
        <f t="shared" si="71"/>
        <v>190.74</v>
      </c>
      <c r="AK43" s="128">
        <f t="shared" si="72"/>
        <v>190.74</v>
      </c>
      <c r="AL43" s="128">
        <f t="shared" si="73"/>
        <v>190.74</v>
      </c>
      <c r="AM43" s="128">
        <f t="shared" si="74"/>
        <v>151.47</v>
      </c>
      <c r="AN43" s="128">
        <f t="shared" si="75"/>
        <v>128.095</v>
      </c>
      <c r="AO43" s="411">
        <f t="shared" si="76"/>
        <v>851.78500000000008</v>
      </c>
      <c r="AP43" s="359">
        <f t="shared" si="77"/>
        <v>0</v>
      </c>
      <c r="AQ43" s="128">
        <f t="shared" si="78"/>
        <v>0</v>
      </c>
      <c r="AR43" s="128">
        <f t="shared" si="79"/>
        <v>0</v>
      </c>
      <c r="AS43" s="128">
        <f t="shared" si="80"/>
        <v>0</v>
      </c>
      <c r="AT43" s="128">
        <f t="shared" si="81"/>
        <v>0</v>
      </c>
      <c r="AU43" s="128">
        <f t="shared" si="82"/>
        <v>0</v>
      </c>
      <c r="AV43" s="312">
        <f t="shared" si="83"/>
        <v>0</v>
      </c>
      <c r="AW43" s="359">
        <f t="shared" si="84"/>
        <v>190.74</v>
      </c>
      <c r="AX43" s="128">
        <f t="shared" si="85"/>
        <v>190.74</v>
      </c>
      <c r="AY43" s="128">
        <f t="shared" si="86"/>
        <v>190.74</v>
      </c>
      <c r="AZ43" s="128">
        <f t="shared" si="87"/>
        <v>151.47</v>
      </c>
      <c r="BA43" s="128">
        <f t="shared" si="88"/>
        <v>128.095</v>
      </c>
      <c r="BB43" s="128">
        <f t="shared" si="89"/>
        <v>851.78500000000008</v>
      </c>
      <c r="BC43" s="426">
        <f t="shared" si="90"/>
        <v>1</v>
      </c>
      <c r="BD43" s="74"/>
    </row>
    <row r="44" spans="2:56" s="158" customFormat="1" ht="22.5" customHeight="1">
      <c r="B44" s="156"/>
      <c r="C44" s="102" t="s">
        <v>208</v>
      </c>
      <c r="D44" s="102" t="s">
        <v>171</v>
      </c>
      <c r="E44" s="103" t="s">
        <v>209</v>
      </c>
      <c r="F44" s="507" t="s">
        <v>210</v>
      </c>
      <c r="G44" s="508"/>
      <c r="H44" s="508"/>
      <c r="I44" s="509"/>
      <c r="J44" s="104" t="s">
        <v>184</v>
      </c>
      <c r="K44" s="133">
        <v>816</v>
      </c>
      <c r="L44" s="133">
        <v>816</v>
      </c>
      <c r="M44" s="133">
        <v>816</v>
      </c>
      <c r="N44" s="133">
        <v>816</v>
      </c>
      <c r="O44" s="133">
        <v>516</v>
      </c>
      <c r="P44" s="404">
        <f t="shared" si="61"/>
        <v>3780</v>
      </c>
      <c r="Q44" s="401">
        <v>0</v>
      </c>
      <c r="R44" s="133">
        <v>0</v>
      </c>
      <c r="S44" s="133">
        <v>0</v>
      </c>
      <c r="T44" s="133">
        <v>0</v>
      </c>
      <c r="U44" s="133">
        <v>0</v>
      </c>
      <c r="V44" s="177">
        <f t="shared" si="62"/>
        <v>0</v>
      </c>
      <c r="W44" s="289">
        <f t="shared" si="63"/>
        <v>0</v>
      </c>
      <c r="X44" s="401">
        <f t="shared" si="64"/>
        <v>816</v>
      </c>
      <c r="Y44" s="133">
        <f t="shared" si="65"/>
        <v>816</v>
      </c>
      <c r="Z44" s="133">
        <f t="shared" si="66"/>
        <v>816</v>
      </c>
      <c r="AA44" s="133">
        <f t="shared" si="67"/>
        <v>816</v>
      </c>
      <c r="AB44" s="133">
        <f t="shared" si="68"/>
        <v>516</v>
      </c>
      <c r="AC44" s="177">
        <f t="shared" si="69"/>
        <v>3780</v>
      </c>
      <c r="AD44" s="289">
        <f t="shared" si="70"/>
        <v>1</v>
      </c>
      <c r="AE44" s="155">
        <v>0.26</v>
      </c>
      <c r="AF44" s="155">
        <v>0.26</v>
      </c>
      <c r="AG44" s="155">
        <v>0.26</v>
      </c>
      <c r="AH44" s="155">
        <v>0.26</v>
      </c>
      <c r="AI44" s="155">
        <v>0.26</v>
      </c>
      <c r="AJ44" s="152">
        <f t="shared" si="71"/>
        <v>212.16</v>
      </c>
      <c r="AK44" s="152">
        <f t="shared" si="72"/>
        <v>212.16</v>
      </c>
      <c r="AL44" s="152">
        <f t="shared" si="73"/>
        <v>212.16</v>
      </c>
      <c r="AM44" s="133">
        <f t="shared" si="74"/>
        <v>212.16</v>
      </c>
      <c r="AN44" s="133">
        <f t="shared" si="75"/>
        <v>134.16</v>
      </c>
      <c r="AO44" s="414">
        <f t="shared" si="76"/>
        <v>982.8</v>
      </c>
      <c r="AP44" s="407">
        <f t="shared" si="77"/>
        <v>0</v>
      </c>
      <c r="AQ44" s="152">
        <f t="shared" si="78"/>
        <v>0</v>
      </c>
      <c r="AR44" s="152">
        <f t="shared" si="79"/>
        <v>0</v>
      </c>
      <c r="AS44" s="133">
        <f t="shared" si="80"/>
        <v>0</v>
      </c>
      <c r="AT44" s="133">
        <f t="shared" si="81"/>
        <v>0</v>
      </c>
      <c r="AU44" s="133">
        <f t="shared" si="82"/>
        <v>0</v>
      </c>
      <c r="AV44" s="312">
        <f t="shared" si="83"/>
        <v>0</v>
      </c>
      <c r="AW44" s="407">
        <f t="shared" si="84"/>
        <v>212.16</v>
      </c>
      <c r="AX44" s="152">
        <f t="shared" si="85"/>
        <v>212.16</v>
      </c>
      <c r="AY44" s="152">
        <f t="shared" si="86"/>
        <v>212.16</v>
      </c>
      <c r="AZ44" s="133">
        <f t="shared" si="87"/>
        <v>212.16</v>
      </c>
      <c r="BA44" s="133">
        <f t="shared" si="88"/>
        <v>134.16</v>
      </c>
      <c r="BB44" s="133">
        <f t="shared" si="89"/>
        <v>982.8</v>
      </c>
      <c r="BC44" s="426">
        <f t="shared" si="90"/>
        <v>1</v>
      </c>
      <c r="BD44" s="157"/>
    </row>
    <row r="45" spans="2:56" s="158" customFormat="1" ht="31.5" customHeight="1">
      <c r="B45" s="156"/>
      <c r="C45" s="102" t="s">
        <v>211</v>
      </c>
      <c r="D45" s="102" t="s">
        <v>171</v>
      </c>
      <c r="E45" s="103" t="s">
        <v>212</v>
      </c>
      <c r="F45" s="507" t="s">
        <v>213</v>
      </c>
      <c r="G45" s="508"/>
      <c r="H45" s="508"/>
      <c r="I45" s="509"/>
      <c r="J45" s="104" t="s">
        <v>168</v>
      </c>
      <c r="K45" s="133">
        <v>41.82</v>
      </c>
      <c r="L45" s="133">
        <v>41.82</v>
      </c>
      <c r="M45" s="133">
        <v>40.799999999999997</v>
      </c>
      <c r="N45" s="133">
        <v>32.4</v>
      </c>
      <c r="O45" s="133">
        <v>27.4</v>
      </c>
      <c r="P45" s="404">
        <f t="shared" si="61"/>
        <v>184.24</v>
      </c>
      <c r="Q45" s="401">
        <v>0</v>
      </c>
      <c r="R45" s="133">
        <v>0</v>
      </c>
      <c r="S45" s="133">
        <v>0</v>
      </c>
      <c r="T45" s="133">
        <v>0</v>
      </c>
      <c r="U45" s="133">
        <v>0</v>
      </c>
      <c r="V45" s="177">
        <f t="shared" si="62"/>
        <v>0</v>
      </c>
      <c r="W45" s="289">
        <f t="shared" si="63"/>
        <v>0</v>
      </c>
      <c r="X45" s="401">
        <f t="shared" si="64"/>
        <v>41.82</v>
      </c>
      <c r="Y45" s="133">
        <f t="shared" si="65"/>
        <v>41.82</v>
      </c>
      <c r="Z45" s="133">
        <f t="shared" si="66"/>
        <v>40.799999999999997</v>
      </c>
      <c r="AA45" s="133">
        <f t="shared" si="67"/>
        <v>32.4</v>
      </c>
      <c r="AB45" s="133">
        <f t="shared" si="68"/>
        <v>27.4</v>
      </c>
      <c r="AC45" s="177">
        <f t="shared" si="69"/>
        <v>184.24</v>
      </c>
      <c r="AD45" s="289">
        <f t="shared" si="70"/>
        <v>1</v>
      </c>
      <c r="AE45" s="155">
        <v>7.28</v>
      </c>
      <c r="AF45" s="155">
        <v>7.28</v>
      </c>
      <c r="AG45" s="155">
        <v>7.28</v>
      </c>
      <c r="AH45" s="155">
        <v>7.28</v>
      </c>
      <c r="AI45" s="155">
        <v>7.28</v>
      </c>
      <c r="AJ45" s="152">
        <f t="shared" si="71"/>
        <v>304.45</v>
      </c>
      <c r="AK45" s="152">
        <f t="shared" si="72"/>
        <v>304.45</v>
      </c>
      <c r="AL45" s="152">
        <f t="shared" si="73"/>
        <v>297.024</v>
      </c>
      <c r="AM45" s="133">
        <f t="shared" si="74"/>
        <v>235.87200000000001</v>
      </c>
      <c r="AN45" s="133">
        <f t="shared" si="75"/>
        <v>199.47200000000001</v>
      </c>
      <c r="AO45" s="414">
        <f t="shared" si="76"/>
        <v>1341.268</v>
      </c>
      <c r="AP45" s="407">
        <f t="shared" si="77"/>
        <v>0</v>
      </c>
      <c r="AQ45" s="152">
        <f t="shared" si="78"/>
        <v>0</v>
      </c>
      <c r="AR45" s="152">
        <f t="shared" si="79"/>
        <v>0</v>
      </c>
      <c r="AS45" s="133">
        <f t="shared" si="80"/>
        <v>0</v>
      </c>
      <c r="AT45" s="133">
        <f t="shared" si="81"/>
        <v>0</v>
      </c>
      <c r="AU45" s="133">
        <f t="shared" si="82"/>
        <v>0</v>
      </c>
      <c r="AV45" s="312">
        <f t="shared" si="83"/>
        <v>0</v>
      </c>
      <c r="AW45" s="407">
        <f t="shared" si="84"/>
        <v>304.45</v>
      </c>
      <c r="AX45" s="152">
        <f t="shared" si="85"/>
        <v>304.45</v>
      </c>
      <c r="AY45" s="152">
        <f t="shared" si="86"/>
        <v>297.024</v>
      </c>
      <c r="AZ45" s="133">
        <f t="shared" si="87"/>
        <v>235.87200000000001</v>
      </c>
      <c r="BA45" s="133">
        <f t="shared" si="88"/>
        <v>199.47200000000001</v>
      </c>
      <c r="BB45" s="133">
        <f t="shared" si="89"/>
        <v>1341.268</v>
      </c>
      <c r="BC45" s="426">
        <f t="shared" si="90"/>
        <v>1</v>
      </c>
      <c r="BD45" s="157"/>
    </row>
    <row r="46" spans="2:56" s="1" customFormat="1" ht="31.5" customHeight="1">
      <c r="B46" s="73"/>
      <c r="C46" s="93" t="s">
        <v>214</v>
      </c>
      <c r="D46" s="93" t="s">
        <v>149</v>
      </c>
      <c r="E46" s="94" t="s">
        <v>215</v>
      </c>
      <c r="F46" s="500" t="s">
        <v>216</v>
      </c>
      <c r="G46" s="501"/>
      <c r="H46" s="501"/>
      <c r="I46" s="502"/>
      <c r="J46" s="95" t="s">
        <v>152</v>
      </c>
      <c r="K46" s="128">
        <v>2.4780000000000002</v>
      </c>
      <c r="L46" s="128">
        <v>2.4780000000000002</v>
      </c>
      <c r="M46" s="128">
        <v>2.4780000000000002</v>
      </c>
      <c r="N46" s="128">
        <v>2.4780000000000002</v>
      </c>
      <c r="O46" s="128">
        <v>2.4780000000000002</v>
      </c>
      <c r="P46" s="403">
        <f t="shared" si="61"/>
        <v>12.39</v>
      </c>
      <c r="Q46" s="400">
        <v>0</v>
      </c>
      <c r="R46" s="128">
        <v>0</v>
      </c>
      <c r="S46" s="128">
        <v>0</v>
      </c>
      <c r="T46" s="128">
        <v>0</v>
      </c>
      <c r="U46" s="128">
        <v>0</v>
      </c>
      <c r="V46" s="165">
        <f t="shared" si="62"/>
        <v>0</v>
      </c>
      <c r="W46" s="289">
        <f t="shared" si="63"/>
        <v>0</v>
      </c>
      <c r="X46" s="400">
        <f t="shared" si="64"/>
        <v>2.4780000000000002</v>
      </c>
      <c r="Y46" s="128">
        <f t="shared" si="65"/>
        <v>2.4780000000000002</v>
      </c>
      <c r="Z46" s="128">
        <f t="shared" si="66"/>
        <v>2.4780000000000002</v>
      </c>
      <c r="AA46" s="128">
        <f t="shared" si="67"/>
        <v>2.4780000000000002</v>
      </c>
      <c r="AB46" s="128">
        <f t="shared" si="68"/>
        <v>2.4780000000000002</v>
      </c>
      <c r="AC46" s="165">
        <f t="shared" si="69"/>
        <v>12.39</v>
      </c>
      <c r="AD46" s="289">
        <f t="shared" si="70"/>
        <v>1</v>
      </c>
      <c r="AE46" s="137">
        <v>52</v>
      </c>
      <c r="AF46" s="137">
        <v>52</v>
      </c>
      <c r="AG46" s="137">
        <v>0</v>
      </c>
      <c r="AH46" s="137">
        <v>52</v>
      </c>
      <c r="AI46" s="137">
        <v>52</v>
      </c>
      <c r="AJ46" s="153">
        <f t="shared" si="71"/>
        <v>128.85599999999999</v>
      </c>
      <c r="AK46" s="128">
        <f t="shared" si="72"/>
        <v>128.85599999999999</v>
      </c>
      <c r="AL46" s="128">
        <f t="shared" si="73"/>
        <v>0</v>
      </c>
      <c r="AM46" s="128">
        <f t="shared" si="74"/>
        <v>128.85599999999999</v>
      </c>
      <c r="AN46" s="128">
        <f t="shared" si="75"/>
        <v>128.85599999999999</v>
      </c>
      <c r="AO46" s="411">
        <f t="shared" si="76"/>
        <v>515.42399999999998</v>
      </c>
      <c r="AP46" s="359">
        <f t="shared" si="77"/>
        <v>0</v>
      </c>
      <c r="AQ46" s="128">
        <f t="shared" si="78"/>
        <v>0</v>
      </c>
      <c r="AR46" s="128">
        <f t="shared" si="79"/>
        <v>0</v>
      </c>
      <c r="AS46" s="128">
        <f t="shared" si="80"/>
        <v>0</v>
      </c>
      <c r="AT46" s="128">
        <f t="shared" si="81"/>
        <v>0</v>
      </c>
      <c r="AU46" s="128">
        <f t="shared" si="82"/>
        <v>0</v>
      </c>
      <c r="AV46" s="312">
        <f t="shared" si="83"/>
        <v>0</v>
      </c>
      <c r="AW46" s="359">
        <f t="shared" si="84"/>
        <v>128.85599999999999</v>
      </c>
      <c r="AX46" s="128">
        <f t="shared" si="85"/>
        <v>128.85599999999999</v>
      </c>
      <c r="AY46" s="128">
        <f t="shared" si="86"/>
        <v>0</v>
      </c>
      <c r="AZ46" s="128">
        <f t="shared" si="87"/>
        <v>128.85599999999999</v>
      </c>
      <c r="BA46" s="128">
        <f t="shared" si="88"/>
        <v>128.85599999999999</v>
      </c>
      <c r="BB46" s="128">
        <f t="shared" si="89"/>
        <v>515.42399999999998</v>
      </c>
      <c r="BC46" s="426">
        <f t="shared" si="90"/>
        <v>1</v>
      </c>
      <c r="BD46" s="74"/>
    </row>
    <row r="47" spans="2:56" s="369" customFormat="1" ht="29.85" customHeight="1">
      <c r="B47" s="370"/>
      <c r="C47" s="371"/>
      <c r="D47" s="176" t="s">
        <v>132</v>
      </c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59">
        <f t="shared" ref="AJ47:AO47" si="91">SUM(AJ48:AJ53)</f>
        <v>8517.1370000000006</v>
      </c>
      <c r="AK47" s="159">
        <f t="shared" si="91"/>
        <v>8524.4719999999998</v>
      </c>
      <c r="AL47" s="159">
        <f t="shared" si="91"/>
        <v>8345.0540000000001</v>
      </c>
      <c r="AM47" s="159">
        <f t="shared" si="91"/>
        <v>9659.1970000000001</v>
      </c>
      <c r="AN47" s="159">
        <f t="shared" si="91"/>
        <v>4136.5959999999995</v>
      </c>
      <c r="AO47" s="412">
        <f t="shared" si="91"/>
        <v>39182.455999999998</v>
      </c>
      <c r="AP47" s="159">
        <f t="shared" ref="AP47:AU47" si="92">SUM(AP48:AP53)</f>
        <v>0</v>
      </c>
      <c r="AQ47" s="159">
        <f t="shared" si="92"/>
        <v>0</v>
      </c>
      <c r="AR47" s="159">
        <f t="shared" si="92"/>
        <v>0</v>
      </c>
      <c r="AS47" s="159">
        <f t="shared" si="92"/>
        <v>0</v>
      </c>
      <c r="AT47" s="159">
        <f t="shared" si="92"/>
        <v>0</v>
      </c>
      <c r="AU47" s="159">
        <f t="shared" si="92"/>
        <v>0</v>
      </c>
      <c r="AV47" s="425"/>
      <c r="AW47" s="159">
        <f t="shared" ref="AW47:BB47" si="93">SUM(AW48:AW53)</f>
        <v>8517.1370000000006</v>
      </c>
      <c r="AX47" s="159">
        <f t="shared" si="93"/>
        <v>8524.4719999999998</v>
      </c>
      <c r="AY47" s="159">
        <f t="shared" si="93"/>
        <v>8345.0540000000001</v>
      </c>
      <c r="AZ47" s="159">
        <f t="shared" si="93"/>
        <v>9659.1970000000001</v>
      </c>
      <c r="BA47" s="159">
        <f t="shared" si="93"/>
        <v>4136.5959999999995</v>
      </c>
      <c r="BB47" s="159">
        <f t="shared" si="93"/>
        <v>39182.455999999998</v>
      </c>
      <c r="BC47" s="421"/>
      <c r="BD47" s="372"/>
    </row>
    <row r="48" spans="2:56" s="1" customFormat="1" ht="31.5" customHeight="1">
      <c r="B48" s="73"/>
      <c r="C48" s="93" t="s">
        <v>217</v>
      </c>
      <c r="D48" s="93" t="s">
        <v>149</v>
      </c>
      <c r="E48" s="94" t="s">
        <v>218</v>
      </c>
      <c r="F48" s="500" t="s">
        <v>219</v>
      </c>
      <c r="G48" s="501"/>
      <c r="H48" s="501"/>
      <c r="I48" s="502"/>
      <c r="J48" s="95" t="s">
        <v>168</v>
      </c>
      <c r="K48" s="128">
        <v>320.13</v>
      </c>
      <c r="L48" s="128">
        <v>320.13</v>
      </c>
      <c r="M48" s="128">
        <v>320.13</v>
      </c>
      <c r="N48" s="128">
        <v>353</v>
      </c>
      <c r="O48" s="128">
        <v>115.13</v>
      </c>
      <c r="P48" s="403">
        <f t="shared" ref="P48:P53" si="94">SUM(K48:O48)</f>
        <v>1428.52</v>
      </c>
      <c r="Q48" s="400">
        <v>0</v>
      </c>
      <c r="R48" s="128">
        <v>0</v>
      </c>
      <c r="S48" s="128">
        <v>0</v>
      </c>
      <c r="T48" s="128">
        <v>0</v>
      </c>
      <c r="U48" s="128">
        <v>0</v>
      </c>
      <c r="V48" s="165">
        <f t="shared" ref="V48:V53" si="95">SUM(Q48:U48)</f>
        <v>0</v>
      </c>
      <c r="W48" s="289">
        <f t="shared" ref="W48:W53" si="96">V48/P48</f>
        <v>0</v>
      </c>
      <c r="X48" s="400">
        <f t="shared" ref="X48:X53" si="97">K48-Q48</f>
        <v>320.13</v>
      </c>
      <c r="Y48" s="128">
        <f t="shared" ref="Y48:Y53" si="98">L48-R48</f>
        <v>320.13</v>
      </c>
      <c r="Z48" s="128">
        <f t="shared" ref="Z48:Z53" si="99">M48-S48</f>
        <v>320.13</v>
      </c>
      <c r="AA48" s="128">
        <f t="shared" ref="AA48:AA53" si="100">N48-T48</f>
        <v>353</v>
      </c>
      <c r="AB48" s="128">
        <f t="shared" ref="AB48:AB53" si="101">O48-U48</f>
        <v>115.13</v>
      </c>
      <c r="AC48" s="165">
        <f t="shared" ref="AC48:AC53" si="102">SUM(X48:AB48)</f>
        <v>1428.52</v>
      </c>
      <c r="AD48" s="289">
        <f t="shared" ref="AD48:AD53" si="103">AC48/P48</f>
        <v>1</v>
      </c>
      <c r="AE48" s="137">
        <v>1.46</v>
      </c>
      <c r="AF48" s="137">
        <v>1.46</v>
      </c>
      <c r="AG48" s="137">
        <v>1.46</v>
      </c>
      <c r="AH48" s="137">
        <v>1.46</v>
      </c>
      <c r="AI48" s="137">
        <v>1.46</v>
      </c>
      <c r="AJ48" s="153">
        <f t="shared" ref="AJ48:AN53" si="104">ROUND(AE48*K48,3)</f>
        <v>467.39</v>
      </c>
      <c r="AK48" s="128">
        <f t="shared" si="104"/>
        <v>467.39</v>
      </c>
      <c r="AL48" s="128">
        <f t="shared" si="104"/>
        <v>467.39</v>
      </c>
      <c r="AM48" s="128">
        <f t="shared" si="104"/>
        <v>515.38</v>
      </c>
      <c r="AN48" s="128">
        <f t="shared" si="104"/>
        <v>168.09</v>
      </c>
      <c r="AO48" s="411">
        <f t="shared" ref="AO48:AO53" si="105">SUM(AJ48:AN48)</f>
        <v>2085.6400000000003</v>
      </c>
      <c r="AP48" s="359">
        <f t="shared" ref="AP48:AP53" si="106">ROUND(AE48*Q48,3)</f>
        <v>0</v>
      </c>
      <c r="AQ48" s="128">
        <f t="shared" ref="AQ48:AQ53" si="107">ROUND(AF48*R48,3)</f>
        <v>0</v>
      </c>
      <c r="AR48" s="128">
        <f t="shared" ref="AR48:AR53" si="108">ROUND(AG48*S48,3)</f>
        <v>0</v>
      </c>
      <c r="AS48" s="128">
        <f t="shared" ref="AS48:AS53" si="109">ROUND(AH48*T48,3)</f>
        <v>0</v>
      </c>
      <c r="AT48" s="128">
        <f t="shared" ref="AT48:AT53" si="110">ROUND(AI48*U48,3)</f>
        <v>0</v>
      </c>
      <c r="AU48" s="128">
        <f t="shared" ref="AU48:AU53" si="111">SUM(AP48:AT48)</f>
        <v>0</v>
      </c>
      <c r="AV48" s="312">
        <f t="shared" ref="AV48:AV53" si="112">AU48/AO48</f>
        <v>0</v>
      </c>
      <c r="AW48" s="359">
        <f t="shared" ref="AW48:AW53" si="113">AJ48-AP48</f>
        <v>467.39</v>
      </c>
      <c r="AX48" s="128">
        <f t="shared" ref="AX48:AX53" si="114">AK48-AQ48</f>
        <v>467.39</v>
      </c>
      <c r="AY48" s="128">
        <f t="shared" ref="AY48:AY53" si="115">AL48-AR48</f>
        <v>467.39</v>
      </c>
      <c r="AZ48" s="128">
        <f t="shared" ref="AZ48:AZ53" si="116">AM48-AS48</f>
        <v>515.38</v>
      </c>
      <c r="BA48" s="128">
        <f t="shared" ref="BA48:BA53" si="117">AN48-AT48</f>
        <v>168.09</v>
      </c>
      <c r="BB48" s="128">
        <f t="shared" ref="BB48:BB53" si="118">SUM(AW48:BA48)</f>
        <v>2085.6400000000003</v>
      </c>
      <c r="BC48" s="426">
        <f t="shared" ref="BC48:BC53" si="119">BB48/AO48</f>
        <v>1</v>
      </c>
      <c r="BD48" s="74"/>
    </row>
    <row r="49" spans="2:56" s="158" customFormat="1" ht="24.75" customHeight="1">
      <c r="B49" s="156"/>
      <c r="C49" s="102" t="s">
        <v>220</v>
      </c>
      <c r="D49" s="102" t="s">
        <v>171</v>
      </c>
      <c r="E49" s="103" t="s">
        <v>221</v>
      </c>
      <c r="F49" s="507" t="s">
        <v>222</v>
      </c>
      <c r="G49" s="508"/>
      <c r="H49" s="508"/>
      <c r="I49" s="509"/>
      <c r="J49" s="104" t="s">
        <v>168</v>
      </c>
      <c r="K49" s="133">
        <v>326</v>
      </c>
      <c r="L49" s="133">
        <v>326</v>
      </c>
      <c r="M49" s="133">
        <v>300</v>
      </c>
      <c r="N49" s="133">
        <v>373</v>
      </c>
      <c r="O49" s="133">
        <v>115</v>
      </c>
      <c r="P49" s="404">
        <f t="shared" si="94"/>
        <v>1440</v>
      </c>
      <c r="Q49" s="401">
        <v>0</v>
      </c>
      <c r="R49" s="133">
        <v>0</v>
      </c>
      <c r="S49" s="133">
        <v>0</v>
      </c>
      <c r="T49" s="133">
        <v>0</v>
      </c>
      <c r="U49" s="133">
        <v>0</v>
      </c>
      <c r="V49" s="177">
        <f t="shared" si="95"/>
        <v>0</v>
      </c>
      <c r="W49" s="289">
        <f t="shared" si="96"/>
        <v>0</v>
      </c>
      <c r="X49" s="401">
        <f t="shared" si="97"/>
        <v>326</v>
      </c>
      <c r="Y49" s="133">
        <f t="shared" si="98"/>
        <v>326</v>
      </c>
      <c r="Z49" s="133">
        <f t="shared" si="99"/>
        <v>300</v>
      </c>
      <c r="AA49" s="133">
        <f t="shared" si="100"/>
        <v>373</v>
      </c>
      <c r="AB49" s="133">
        <f t="shared" si="101"/>
        <v>115</v>
      </c>
      <c r="AC49" s="177">
        <f t="shared" si="102"/>
        <v>1440</v>
      </c>
      <c r="AD49" s="289">
        <f t="shared" si="103"/>
        <v>1</v>
      </c>
      <c r="AE49" s="155">
        <v>12.27</v>
      </c>
      <c r="AF49" s="155">
        <v>12.27</v>
      </c>
      <c r="AG49" s="155">
        <v>12.27</v>
      </c>
      <c r="AH49" s="155">
        <v>12.27</v>
      </c>
      <c r="AI49" s="155">
        <v>12.27</v>
      </c>
      <c r="AJ49" s="152">
        <f t="shared" si="104"/>
        <v>4000.02</v>
      </c>
      <c r="AK49" s="152">
        <f t="shared" si="104"/>
        <v>4000.02</v>
      </c>
      <c r="AL49" s="152">
        <f t="shared" si="104"/>
        <v>3681</v>
      </c>
      <c r="AM49" s="133">
        <f t="shared" si="104"/>
        <v>4576.71</v>
      </c>
      <c r="AN49" s="133">
        <f t="shared" si="104"/>
        <v>1411.05</v>
      </c>
      <c r="AO49" s="414">
        <f t="shared" si="105"/>
        <v>17668.8</v>
      </c>
      <c r="AP49" s="407">
        <f t="shared" si="106"/>
        <v>0</v>
      </c>
      <c r="AQ49" s="152">
        <f t="shared" si="107"/>
        <v>0</v>
      </c>
      <c r="AR49" s="152">
        <f t="shared" si="108"/>
        <v>0</v>
      </c>
      <c r="AS49" s="133">
        <f t="shared" si="109"/>
        <v>0</v>
      </c>
      <c r="AT49" s="133">
        <f t="shared" si="110"/>
        <v>0</v>
      </c>
      <c r="AU49" s="133">
        <f t="shared" si="111"/>
        <v>0</v>
      </c>
      <c r="AV49" s="312">
        <f t="shared" si="112"/>
        <v>0</v>
      </c>
      <c r="AW49" s="407">
        <f t="shared" si="113"/>
        <v>4000.02</v>
      </c>
      <c r="AX49" s="152">
        <f t="shared" si="114"/>
        <v>4000.02</v>
      </c>
      <c r="AY49" s="152">
        <f t="shared" si="115"/>
        <v>3681</v>
      </c>
      <c r="AZ49" s="133">
        <f t="shared" si="116"/>
        <v>4576.71</v>
      </c>
      <c r="BA49" s="133">
        <f t="shared" si="117"/>
        <v>1411.05</v>
      </c>
      <c r="BB49" s="133">
        <f t="shared" si="118"/>
        <v>17668.8</v>
      </c>
      <c r="BC49" s="426">
        <f t="shared" si="119"/>
        <v>1</v>
      </c>
      <c r="BD49" s="157"/>
    </row>
    <row r="50" spans="2:56" s="158" customFormat="1" ht="25.5" customHeight="1">
      <c r="B50" s="156"/>
      <c r="C50" s="102" t="s">
        <v>223</v>
      </c>
      <c r="D50" s="102" t="s">
        <v>171</v>
      </c>
      <c r="E50" s="103" t="s">
        <v>224</v>
      </c>
      <c r="F50" s="507" t="s">
        <v>225</v>
      </c>
      <c r="G50" s="508"/>
      <c r="H50" s="508"/>
      <c r="I50" s="509"/>
      <c r="J50" s="104" t="s">
        <v>168</v>
      </c>
      <c r="K50" s="133">
        <v>326</v>
      </c>
      <c r="L50" s="133">
        <v>326</v>
      </c>
      <c r="M50" s="133">
        <v>300</v>
      </c>
      <c r="N50" s="133">
        <v>373</v>
      </c>
      <c r="O50" s="133">
        <v>115</v>
      </c>
      <c r="P50" s="404">
        <f t="shared" si="94"/>
        <v>1440</v>
      </c>
      <c r="Q50" s="401">
        <v>0</v>
      </c>
      <c r="R50" s="133">
        <v>0</v>
      </c>
      <c r="S50" s="133">
        <v>0</v>
      </c>
      <c r="T50" s="133">
        <v>0</v>
      </c>
      <c r="U50" s="133">
        <v>0</v>
      </c>
      <c r="V50" s="177">
        <f t="shared" si="95"/>
        <v>0</v>
      </c>
      <c r="W50" s="289">
        <f t="shared" si="96"/>
        <v>0</v>
      </c>
      <c r="X50" s="401">
        <f t="shared" si="97"/>
        <v>326</v>
      </c>
      <c r="Y50" s="133">
        <f t="shared" si="98"/>
        <v>326</v>
      </c>
      <c r="Z50" s="133">
        <f t="shared" si="99"/>
        <v>300</v>
      </c>
      <c r="AA50" s="133">
        <f t="shared" si="100"/>
        <v>373</v>
      </c>
      <c r="AB50" s="133">
        <f t="shared" si="101"/>
        <v>115</v>
      </c>
      <c r="AC50" s="177">
        <f t="shared" si="102"/>
        <v>1440</v>
      </c>
      <c r="AD50" s="289">
        <f t="shared" si="103"/>
        <v>1</v>
      </c>
      <c r="AE50" s="155">
        <v>9.26</v>
      </c>
      <c r="AF50" s="155">
        <v>9.26</v>
      </c>
      <c r="AG50" s="155">
        <v>9.26</v>
      </c>
      <c r="AH50" s="155">
        <v>9.26</v>
      </c>
      <c r="AI50" s="155">
        <v>9.26</v>
      </c>
      <c r="AJ50" s="152">
        <f t="shared" si="104"/>
        <v>3018.76</v>
      </c>
      <c r="AK50" s="133">
        <f t="shared" si="104"/>
        <v>3018.76</v>
      </c>
      <c r="AL50" s="133">
        <f t="shared" si="104"/>
        <v>2778</v>
      </c>
      <c r="AM50" s="133">
        <f t="shared" si="104"/>
        <v>3453.98</v>
      </c>
      <c r="AN50" s="133">
        <f t="shared" si="104"/>
        <v>1064.9000000000001</v>
      </c>
      <c r="AO50" s="414">
        <f t="shared" si="105"/>
        <v>13334.4</v>
      </c>
      <c r="AP50" s="407">
        <f t="shared" si="106"/>
        <v>0</v>
      </c>
      <c r="AQ50" s="133">
        <f t="shared" si="107"/>
        <v>0</v>
      </c>
      <c r="AR50" s="133">
        <f t="shared" si="108"/>
        <v>0</v>
      </c>
      <c r="AS50" s="133">
        <f t="shared" si="109"/>
        <v>0</v>
      </c>
      <c r="AT50" s="133">
        <f t="shared" si="110"/>
        <v>0</v>
      </c>
      <c r="AU50" s="133">
        <f t="shared" si="111"/>
        <v>0</v>
      </c>
      <c r="AV50" s="312">
        <f t="shared" si="112"/>
        <v>0</v>
      </c>
      <c r="AW50" s="407">
        <f t="shared" si="113"/>
        <v>3018.76</v>
      </c>
      <c r="AX50" s="133">
        <f t="shared" si="114"/>
        <v>3018.76</v>
      </c>
      <c r="AY50" s="133">
        <f t="shared" si="115"/>
        <v>2778</v>
      </c>
      <c r="AZ50" s="133">
        <f t="shared" si="116"/>
        <v>3453.98</v>
      </c>
      <c r="BA50" s="133">
        <f t="shared" si="117"/>
        <v>1064.9000000000001</v>
      </c>
      <c r="BB50" s="133">
        <f t="shared" si="118"/>
        <v>13334.4</v>
      </c>
      <c r="BC50" s="426">
        <f t="shared" si="119"/>
        <v>1</v>
      </c>
      <c r="BD50" s="157"/>
    </row>
    <row r="51" spans="2:56" s="1" customFormat="1" ht="31.5" customHeight="1">
      <c r="B51" s="73"/>
      <c r="C51" s="93" t="s">
        <v>226</v>
      </c>
      <c r="D51" s="93" t="s">
        <v>149</v>
      </c>
      <c r="E51" s="94" t="s">
        <v>227</v>
      </c>
      <c r="F51" s="500" t="s">
        <v>228</v>
      </c>
      <c r="G51" s="501"/>
      <c r="H51" s="501"/>
      <c r="I51" s="502"/>
      <c r="J51" s="95" t="s">
        <v>168</v>
      </c>
      <c r="K51" s="128">
        <v>71.91</v>
      </c>
      <c r="L51" s="128">
        <v>71.91</v>
      </c>
      <c r="M51" s="128">
        <v>108</v>
      </c>
      <c r="N51" s="128">
        <v>78.91</v>
      </c>
      <c r="O51" s="128">
        <v>115</v>
      </c>
      <c r="P51" s="403">
        <f t="shared" si="94"/>
        <v>445.73</v>
      </c>
      <c r="Q51" s="400">
        <v>0</v>
      </c>
      <c r="R51" s="128">
        <v>0</v>
      </c>
      <c r="S51" s="128">
        <v>0</v>
      </c>
      <c r="T51" s="128">
        <v>0</v>
      </c>
      <c r="U51" s="128">
        <v>0</v>
      </c>
      <c r="V51" s="165">
        <f t="shared" si="95"/>
        <v>0</v>
      </c>
      <c r="W51" s="289">
        <f t="shared" si="96"/>
        <v>0</v>
      </c>
      <c r="X51" s="400">
        <f t="shared" si="97"/>
        <v>71.91</v>
      </c>
      <c r="Y51" s="128">
        <f t="shared" si="98"/>
        <v>71.91</v>
      </c>
      <c r="Z51" s="128">
        <f t="shared" si="99"/>
        <v>108</v>
      </c>
      <c r="AA51" s="128">
        <f t="shared" si="100"/>
        <v>78.91</v>
      </c>
      <c r="AB51" s="128">
        <f t="shared" si="101"/>
        <v>115</v>
      </c>
      <c r="AC51" s="165">
        <f t="shared" si="102"/>
        <v>445.73</v>
      </c>
      <c r="AD51" s="289">
        <f t="shared" si="103"/>
        <v>1</v>
      </c>
      <c r="AE51" s="137">
        <v>7.28</v>
      </c>
      <c r="AF51" s="137">
        <v>7.28</v>
      </c>
      <c r="AG51" s="137">
        <v>7.28</v>
      </c>
      <c r="AH51" s="137">
        <v>7.28</v>
      </c>
      <c r="AI51" s="137">
        <v>7.28</v>
      </c>
      <c r="AJ51" s="153">
        <f t="shared" si="104"/>
        <v>523.505</v>
      </c>
      <c r="AK51" s="128">
        <f t="shared" si="104"/>
        <v>523.505</v>
      </c>
      <c r="AL51" s="128">
        <f t="shared" si="104"/>
        <v>786.24</v>
      </c>
      <c r="AM51" s="128">
        <f t="shared" si="104"/>
        <v>574.46500000000003</v>
      </c>
      <c r="AN51" s="128">
        <f t="shared" si="104"/>
        <v>837.2</v>
      </c>
      <c r="AO51" s="411">
        <f t="shared" si="105"/>
        <v>3244.915</v>
      </c>
      <c r="AP51" s="359">
        <f t="shared" si="106"/>
        <v>0</v>
      </c>
      <c r="AQ51" s="128">
        <f t="shared" si="107"/>
        <v>0</v>
      </c>
      <c r="AR51" s="128">
        <f t="shared" si="108"/>
        <v>0</v>
      </c>
      <c r="AS51" s="128">
        <f t="shared" si="109"/>
        <v>0</v>
      </c>
      <c r="AT51" s="128">
        <f t="shared" si="110"/>
        <v>0</v>
      </c>
      <c r="AU51" s="128">
        <f t="shared" si="111"/>
        <v>0</v>
      </c>
      <c r="AV51" s="312">
        <f t="shared" si="112"/>
        <v>0</v>
      </c>
      <c r="AW51" s="359">
        <f t="shared" si="113"/>
        <v>523.505</v>
      </c>
      <c r="AX51" s="128">
        <f t="shared" si="114"/>
        <v>523.505</v>
      </c>
      <c r="AY51" s="128">
        <f t="shared" si="115"/>
        <v>786.24</v>
      </c>
      <c r="AZ51" s="128">
        <f t="shared" si="116"/>
        <v>574.46500000000003</v>
      </c>
      <c r="BA51" s="128">
        <f t="shared" si="117"/>
        <v>837.2</v>
      </c>
      <c r="BB51" s="128">
        <f t="shared" si="118"/>
        <v>3244.915</v>
      </c>
      <c r="BC51" s="426">
        <f t="shared" si="119"/>
        <v>1</v>
      </c>
      <c r="BD51" s="74"/>
    </row>
    <row r="52" spans="2:56" s="158" customFormat="1" ht="22.5" customHeight="1">
      <c r="B52" s="156"/>
      <c r="C52" s="102" t="s">
        <v>229</v>
      </c>
      <c r="D52" s="102" t="s">
        <v>171</v>
      </c>
      <c r="E52" s="103" t="s">
        <v>230</v>
      </c>
      <c r="F52" s="507" t="s">
        <v>231</v>
      </c>
      <c r="G52" s="508"/>
      <c r="H52" s="508"/>
      <c r="I52" s="509"/>
      <c r="J52" s="104" t="s">
        <v>168</v>
      </c>
      <c r="K52" s="133">
        <v>73.347999999999999</v>
      </c>
      <c r="L52" s="133">
        <v>73.347999999999999</v>
      </c>
      <c r="M52" s="133">
        <v>113.4</v>
      </c>
      <c r="N52" s="133">
        <v>83.347999999999999</v>
      </c>
      <c r="O52" s="133">
        <v>120.75</v>
      </c>
      <c r="P52" s="404">
        <f t="shared" si="94"/>
        <v>464.19400000000002</v>
      </c>
      <c r="Q52" s="401">
        <v>0</v>
      </c>
      <c r="R52" s="133">
        <v>0</v>
      </c>
      <c r="S52" s="133">
        <v>0</v>
      </c>
      <c r="T52" s="133">
        <v>0</v>
      </c>
      <c r="U52" s="133">
        <v>0</v>
      </c>
      <c r="V52" s="177">
        <f t="shared" si="95"/>
        <v>0</v>
      </c>
      <c r="W52" s="289">
        <f t="shared" si="96"/>
        <v>0</v>
      </c>
      <c r="X52" s="401">
        <f t="shared" si="97"/>
        <v>73.347999999999999</v>
      </c>
      <c r="Y52" s="133">
        <f t="shared" si="98"/>
        <v>73.347999999999999</v>
      </c>
      <c r="Z52" s="133">
        <f t="shared" si="99"/>
        <v>113.4</v>
      </c>
      <c r="AA52" s="133">
        <f t="shared" si="100"/>
        <v>83.347999999999999</v>
      </c>
      <c r="AB52" s="133">
        <f t="shared" si="101"/>
        <v>120.75</v>
      </c>
      <c r="AC52" s="177">
        <f t="shared" si="102"/>
        <v>464.19400000000002</v>
      </c>
      <c r="AD52" s="289">
        <f t="shared" si="103"/>
        <v>1</v>
      </c>
      <c r="AE52" s="155">
        <v>3.12</v>
      </c>
      <c r="AF52" s="155">
        <v>3.22</v>
      </c>
      <c r="AG52" s="155">
        <v>3.12</v>
      </c>
      <c r="AH52" s="155">
        <v>3.12</v>
      </c>
      <c r="AI52" s="155">
        <v>3.12</v>
      </c>
      <c r="AJ52" s="152">
        <f t="shared" si="104"/>
        <v>228.846</v>
      </c>
      <c r="AK52" s="133">
        <f t="shared" si="104"/>
        <v>236.18100000000001</v>
      </c>
      <c r="AL52" s="133">
        <f t="shared" si="104"/>
        <v>353.80799999999999</v>
      </c>
      <c r="AM52" s="133">
        <f t="shared" si="104"/>
        <v>260.04599999999999</v>
      </c>
      <c r="AN52" s="133">
        <f t="shared" si="104"/>
        <v>376.74</v>
      </c>
      <c r="AO52" s="414">
        <f t="shared" si="105"/>
        <v>1455.6210000000001</v>
      </c>
      <c r="AP52" s="407">
        <f t="shared" si="106"/>
        <v>0</v>
      </c>
      <c r="AQ52" s="133">
        <f t="shared" si="107"/>
        <v>0</v>
      </c>
      <c r="AR52" s="133">
        <f t="shared" si="108"/>
        <v>0</v>
      </c>
      <c r="AS52" s="133">
        <f t="shared" si="109"/>
        <v>0</v>
      </c>
      <c r="AT52" s="133">
        <f t="shared" si="110"/>
        <v>0</v>
      </c>
      <c r="AU52" s="133">
        <f t="shared" si="111"/>
        <v>0</v>
      </c>
      <c r="AV52" s="312">
        <f t="shared" si="112"/>
        <v>0</v>
      </c>
      <c r="AW52" s="407">
        <f t="shared" si="113"/>
        <v>228.846</v>
      </c>
      <c r="AX52" s="133">
        <f t="shared" si="114"/>
        <v>236.18100000000001</v>
      </c>
      <c r="AY52" s="133">
        <f t="shared" si="115"/>
        <v>353.80799999999999</v>
      </c>
      <c r="AZ52" s="133">
        <f t="shared" si="116"/>
        <v>260.04599999999999</v>
      </c>
      <c r="BA52" s="133">
        <f t="shared" si="117"/>
        <v>376.74</v>
      </c>
      <c r="BB52" s="133">
        <f t="shared" si="118"/>
        <v>1455.6210000000001</v>
      </c>
      <c r="BC52" s="426">
        <f t="shared" si="119"/>
        <v>1</v>
      </c>
      <c r="BD52" s="157"/>
    </row>
    <row r="53" spans="2:56" s="1" customFormat="1" ht="31.5" customHeight="1">
      <c r="B53" s="73"/>
      <c r="C53" s="93" t="s">
        <v>232</v>
      </c>
      <c r="D53" s="93" t="s">
        <v>149</v>
      </c>
      <c r="E53" s="94" t="s">
        <v>233</v>
      </c>
      <c r="F53" s="500" t="s">
        <v>234</v>
      </c>
      <c r="G53" s="501"/>
      <c r="H53" s="501"/>
      <c r="I53" s="502"/>
      <c r="J53" s="95" t="s">
        <v>152</v>
      </c>
      <c r="K53" s="128">
        <v>5.3579999999999997</v>
      </c>
      <c r="L53" s="128">
        <v>5.3579999999999997</v>
      </c>
      <c r="M53" s="128">
        <v>5.3579999999999997</v>
      </c>
      <c r="N53" s="128">
        <v>5.3579999999999997</v>
      </c>
      <c r="O53" s="128">
        <v>5.3579999999999997</v>
      </c>
      <c r="P53" s="403">
        <f t="shared" si="94"/>
        <v>26.79</v>
      </c>
      <c r="Q53" s="400">
        <v>0</v>
      </c>
      <c r="R53" s="128">
        <v>0</v>
      </c>
      <c r="S53" s="128">
        <v>0</v>
      </c>
      <c r="T53" s="128">
        <v>0</v>
      </c>
      <c r="U53" s="128">
        <v>0</v>
      </c>
      <c r="V53" s="165">
        <f t="shared" si="95"/>
        <v>0</v>
      </c>
      <c r="W53" s="289">
        <f t="shared" si="96"/>
        <v>0</v>
      </c>
      <c r="X53" s="400">
        <f t="shared" si="97"/>
        <v>5.3579999999999997</v>
      </c>
      <c r="Y53" s="128">
        <f t="shared" si="98"/>
        <v>5.3579999999999997</v>
      </c>
      <c r="Z53" s="128">
        <f t="shared" si="99"/>
        <v>5.3579999999999997</v>
      </c>
      <c r="AA53" s="128">
        <f t="shared" si="100"/>
        <v>5.3579999999999997</v>
      </c>
      <c r="AB53" s="128">
        <f t="shared" si="101"/>
        <v>5.3579999999999997</v>
      </c>
      <c r="AC53" s="165">
        <f t="shared" si="102"/>
        <v>26.79</v>
      </c>
      <c r="AD53" s="289">
        <f t="shared" si="103"/>
        <v>1</v>
      </c>
      <c r="AE53" s="137">
        <v>52</v>
      </c>
      <c r="AF53" s="137">
        <v>52</v>
      </c>
      <c r="AG53" s="137">
        <v>52</v>
      </c>
      <c r="AH53" s="137">
        <v>52</v>
      </c>
      <c r="AI53" s="137">
        <v>52</v>
      </c>
      <c r="AJ53" s="153">
        <f t="shared" si="104"/>
        <v>278.61599999999999</v>
      </c>
      <c r="AK53" s="128">
        <f t="shared" si="104"/>
        <v>278.61599999999999</v>
      </c>
      <c r="AL53" s="128">
        <f t="shared" si="104"/>
        <v>278.61599999999999</v>
      </c>
      <c r="AM53" s="128">
        <f t="shared" si="104"/>
        <v>278.61599999999999</v>
      </c>
      <c r="AN53" s="128">
        <f t="shared" si="104"/>
        <v>278.61599999999999</v>
      </c>
      <c r="AO53" s="411">
        <f t="shared" si="105"/>
        <v>1393.08</v>
      </c>
      <c r="AP53" s="359">
        <f t="shared" si="106"/>
        <v>0</v>
      </c>
      <c r="AQ53" s="128">
        <f t="shared" si="107"/>
        <v>0</v>
      </c>
      <c r="AR53" s="128">
        <f t="shared" si="108"/>
        <v>0</v>
      </c>
      <c r="AS53" s="128">
        <f t="shared" si="109"/>
        <v>0</v>
      </c>
      <c r="AT53" s="128">
        <f t="shared" si="110"/>
        <v>0</v>
      </c>
      <c r="AU53" s="128">
        <f t="shared" si="111"/>
        <v>0</v>
      </c>
      <c r="AV53" s="312">
        <f t="shared" si="112"/>
        <v>0</v>
      </c>
      <c r="AW53" s="359">
        <f t="shared" si="113"/>
        <v>278.61599999999999</v>
      </c>
      <c r="AX53" s="128">
        <f t="shared" si="114"/>
        <v>278.61599999999999</v>
      </c>
      <c r="AY53" s="128">
        <f t="shared" si="115"/>
        <v>278.61599999999999</v>
      </c>
      <c r="AZ53" s="128">
        <f t="shared" si="116"/>
        <v>278.61599999999999</v>
      </c>
      <c r="BA53" s="128">
        <f t="shared" si="117"/>
        <v>278.61599999999999</v>
      </c>
      <c r="BB53" s="128">
        <f t="shared" si="118"/>
        <v>1393.08</v>
      </c>
      <c r="BC53" s="426">
        <f t="shared" si="119"/>
        <v>1</v>
      </c>
      <c r="BD53" s="74"/>
    </row>
    <row r="54" spans="2:56" s="369" customFormat="1" ht="29.85" customHeight="1">
      <c r="B54" s="370"/>
      <c r="C54" s="371"/>
      <c r="D54" s="176" t="s">
        <v>133</v>
      </c>
      <c r="E54" s="176"/>
      <c r="F54" s="176"/>
      <c r="G54" s="176"/>
      <c r="H54" s="176"/>
      <c r="I54" s="176"/>
      <c r="J54" s="176"/>
      <c r="K54" s="176"/>
      <c r="L54" s="175"/>
      <c r="M54" s="176"/>
      <c r="N54" s="176"/>
      <c r="O54" s="176"/>
      <c r="P54" s="176"/>
      <c r="Q54" s="176"/>
      <c r="R54" s="175"/>
      <c r="S54" s="176"/>
      <c r="T54" s="176"/>
      <c r="U54" s="176"/>
      <c r="V54" s="176"/>
      <c r="W54" s="176"/>
      <c r="X54" s="176"/>
      <c r="Y54" s="175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59">
        <f t="shared" ref="AJ54:AO54" si="120">SUM(AJ55:AJ57)</f>
        <v>168.94799999999998</v>
      </c>
      <c r="AK54" s="159">
        <f t="shared" si="120"/>
        <v>168.94799999999998</v>
      </c>
      <c r="AL54" s="159">
        <f t="shared" si="120"/>
        <v>84.707999999999998</v>
      </c>
      <c r="AM54" s="159">
        <f t="shared" si="120"/>
        <v>168.94799999999998</v>
      </c>
      <c r="AN54" s="159">
        <f t="shared" si="120"/>
        <v>0</v>
      </c>
      <c r="AO54" s="412">
        <f t="shared" si="120"/>
        <v>591.55200000000002</v>
      </c>
      <c r="AP54" s="159">
        <f t="shared" ref="AP54:AU54" si="121">SUM(AP55:AP57)</f>
        <v>0</v>
      </c>
      <c r="AQ54" s="159">
        <f t="shared" si="121"/>
        <v>0</v>
      </c>
      <c r="AR54" s="159">
        <f t="shared" si="121"/>
        <v>0</v>
      </c>
      <c r="AS54" s="159">
        <f t="shared" si="121"/>
        <v>0</v>
      </c>
      <c r="AT54" s="159">
        <f t="shared" si="121"/>
        <v>0</v>
      </c>
      <c r="AU54" s="159">
        <f t="shared" si="121"/>
        <v>0</v>
      </c>
      <c r="AV54" s="425"/>
      <c r="AW54" s="159">
        <f t="shared" ref="AW54:BB54" si="122">SUM(AW55:AW57)</f>
        <v>168.94799999999998</v>
      </c>
      <c r="AX54" s="159">
        <f t="shared" si="122"/>
        <v>168.94799999999998</v>
      </c>
      <c r="AY54" s="159">
        <f t="shared" si="122"/>
        <v>84.707999999999998</v>
      </c>
      <c r="AZ54" s="159">
        <f t="shared" si="122"/>
        <v>168.94799999999998</v>
      </c>
      <c r="BA54" s="159">
        <f t="shared" si="122"/>
        <v>0</v>
      </c>
      <c r="BB54" s="159">
        <f t="shared" si="122"/>
        <v>591.55200000000002</v>
      </c>
      <c r="BC54" s="421"/>
      <c r="BD54" s="372"/>
    </row>
    <row r="55" spans="2:56" s="1" customFormat="1" ht="22.5" customHeight="1">
      <c r="B55" s="73"/>
      <c r="C55" s="93" t="s">
        <v>235</v>
      </c>
      <c r="D55" s="93" t="s">
        <v>149</v>
      </c>
      <c r="E55" s="94" t="s">
        <v>236</v>
      </c>
      <c r="F55" s="500" t="s">
        <v>237</v>
      </c>
      <c r="G55" s="501"/>
      <c r="H55" s="501"/>
      <c r="I55" s="502"/>
      <c r="J55" s="95" t="s">
        <v>184</v>
      </c>
      <c r="K55" s="128">
        <v>2</v>
      </c>
      <c r="L55" s="128">
        <v>2</v>
      </c>
      <c r="M55" s="128">
        <v>1</v>
      </c>
      <c r="N55" s="128">
        <v>2</v>
      </c>
      <c r="O55" s="128">
        <v>0</v>
      </c>
      <c r="P55" s="403">
        <f>SUM(K55:O55)</f>
        <v>7</v>
      </c>
      <c r="Q55" s="400">
        <v>0</v>
      </c>
      <c r="R55" s="400">
        <v>0</v>
      </c>
      <c r="S55" s="400">
        <v>0</v>
      </c>
      <c r="T55" s="400">
        <v>0</v>
      </c>
      <c r="U55" s="400">
        <v>0</v>
      </c>
      <c r="V55" s="165">
        <f>SUM(Q55:U55)</f>
        <v>0</v>
      </c>
      <c r="W55" s="289">
        <f>V55/P55</f>
        <v>0</v>
      </c>
      <c r="X55" s="400">
        <f t="shared" ref="X55:X57" si="123">K55-Q55</f>
        <v>2</v>
      </c>
      <c r="Y55" s="400">
        <f t="shared" ref="Y55:Y57" si="124">L55-R55</f>
        <v>2</v>
      </c>
      <c r="Z55" s="400">
        <f t="shared" ref="Z55:Z57" si="125">M55-S55</f>
        <v>1</v>
      </c>
      <c r="AA55" s="400">
        <f t="shared" ref="AA55:AA57" si="126">N55-T55</f>
        <v>2</v>
      </c>
      <c r="AB55" s="400">
        <f t="shared" ref="AB55:AB57" si="127">O55-U55</f>
        <v>0</v>
      </c>
      <c r="AC55" s="165">
        <f>SUM(X55:AB55)</f>
        <v>7</v>
      </c>
      <c r="AD55" s="289">
        <f t="shared" ref="AD55:AD57" si="128">AC55/P55</f>
        <v>1</v>
      </c>
      <c r="AE55" s="137">
        <v>15.6</v>
      </c>
      <c r="AF55" s="137">
        <v>15.6</v>
      </c>
      <c r="AG55" s="137">
        <v>15.6</v>
      </c>
      <c r="AH55" s="137">
        <v>15.6</v>
      </c>
      <c r="AI55" s="137">
        <v>15.6</v>
      </c>
      <c r="AJ55" s="153">
        <f t="shared" ref="AJ55:AN57" si="129">ROUND(AE55*K55,3)</f>
        <v>31.2</v>
      </c>
      <c r="AK55" s="128">
        <f t="shared" si="129"/>
        <v>31.2</v>
      </c>
      <c r="AL55" s="128">
        <f t="shared" si="129"/>
        <v>15.6</v>
      </c>
      <c r="AM55" s="128">
        <f t="shared" si="129"/>
        <v>31.2</v>
      </c>
      <c r="AN55" s="128">
        <f t="shared" si="129"/>
        <v>0</v>
      </c>
      <c r="AO55" s="411">
        <f>SUM(AJ55:AN55)</f>
        <v>109.2</v>
      </c>
      <c r="AP55" s="211">
        <f t="shared" ref="AP55:AP57" si="130">ROUND(AE55*Q55,3)</f>
        <v>0</v>
      </c>
      <c r="AQ55" s="211">
        <f t="shared" ref="AQ55:AQ57" si="131">ROUND(AF55*R55,3)</f>
        <v>0</v>
      </c>
      <c r="AR55" s="211">
        <f t="shared" ref="AR55:AR57" si="132">ROUND(AG55*S55,3)</f>
        <v>0</v>
      </c>
      <c r="AS55" s="211">
        <f t="shared" ref="AS55:AS57" si="133">ROUND(AH55*T55,3)</f>
        <v>0</v>
      </c>
      <c r="AT55" s="211">
        <f t="shared" ref="AT55:AT57" si="134">ROUND(AI55*U55,3)</f>
        <v>0</v>
      </c>
      <c r="AU55" s="128">
        <f>SUM(AP55:AT55)</f>
        <v>0</v>
      </c>
      <c r="AV55" s="312">
        <f t="shared" ref="AV55:AV57" si="135">AU55/AO55</f>
        <v>0</v>
      </c>
      <c r="AW55" s="277">
        <f t="shared" ref="AW55:AW57" si="136">AJ55-AP55</f>
        <v>31.2</v>
      </c>
      <c r="AX55" s="211">
        <f t="shared" ref="AX55:AX57" si="137">AK55-AQ55</f>
        <v>31.2</v>
      </c>
      <c r="AY55" s="211">
        <f t="shared" ref="AY55:AY57" si="138">AL55-AR55</f>
        <v>15.6</v>
      </c>
      <c r="AZ55" s="211">
        <f t="shared" ref="AZ55:AZ57" si="139">AM55-AS55</f>
        <v>31.2</v>
      </c>
      <c r="BA55" s="211">
        <f t="shared" ref="BA55:BA57" si="140">AN55-AT55</f>
        <v>0</v>
      </c>
      <c r="BB55" s="128">
        <f>SUM(AW55:BA55)</f>
        <v>109.2</v>
      </c>
      <c r="BC55" s="426">
        <f t="shared" ref="BC55:BC57" si="141">BB55/AO55</f>
        <v>1</v>
      </c>
      <c r="BD55" s="74"/>
    </row>
    <row r="56" spans="2:56" s="1" customFormat="1" ht="31.5" customHeight="1">
      <c r="B56" s="73"/>
      <c r="C56" s="93" t="s">
        <v>174</v>
      </c>
      <c r="D56" s="93" t="s">
        <v>149</v>
      </c>
      <c r="E56" s="94" t="s">
        <v>238</v>
      </c>
      <c r="F56" s="500" t="s">
        <v>239</v>
      </c>
      <c r="G56" s="501"/>
      <c r="H56" s="501"/>
      <c r="I56" s="502"/>
      <c r="J56" s="95" t="s">
        <v>184</v>
      </c>
      <c r="K56" s="128">
        <v>2</v>
      </c>
      <c r="L56" s="128">
        <v>2</v>
      </c>
      <c r="M56" s="128">
        <v>1</v>
      </c>
      <c r="N56" s="128">
        <v>2</v>
      </c>
      <c r="O56" s="128">
        <v>0</v>
      </c>
      <c r="P56" s="403">
        <f>SUM(K56:O56)</f>
        <v>7</v>
      </c>
      <c r="Q56" s="400">
        <v>0</v>
      </c>
      <c r="R56" s="400">
        <v>0</v>
      </c>
      <c r="S56" s="400">
        <v>0</v>
      </c>
      <c r="T56" s="400">
        <v>0</v>
      </c>
      <c r="U56" s="400">
        <v>0</v>
      </c>
      <c r="V56" s="165">
        <f>SUM(Q56:U56)</f>
        <v>0</v>
      </c>
      <c r="W56" s="289">
        <f>V56/P56</f>
        <v>0</v>
      </c>
      <c r="X56" s="400">
        <f t="shared" si="123"/>
        <v>2</v>
      </c>
      <c r="Y56" s="400">
        <f t="shared" si="124"/>
        <v>2</v>
      </c>
      <c r="Z56" s="400">
        <f t="shared" si="125"/>
        <v>1</v>
      </c>
      <c r="AA56" s="400">
        <f t="shared" si="126"/>
        <v>2</v>
      </c>
      <c r="AB56" s="400">
        <f t="shared" si="127"/>
        <v>0</v>
      </c>
      <c r="AC56" s="165">
        <f>SUM(X56:AB56)</f>
        <v>7</v>
      </c>
      <c r="AD56" s="289">
        <f t="shared" si="128"/>
        <v>1</v>
      </c>
      <c r="AE56" s="137">
        <v>68.64</v>
      </c>
      <c r="AF56" s="137">
        <v>68.64</v>
      </c>
      <c r="AG56" s="137">
        <v>68.64</v>
      </c>
      <c r="AH56" s="137">
        <v>68.64</v>
      </c>
      <c r="AI56" s="137">
        <v>68.64</v>
      </c>
      <c r="AJ56" s="153">
        <f t="shared" si="129"/>
        <v>137.28</v>
      </c>
      <c r="AK56" s="128">
        <f t="shared" si="129"/>
        <v>137.28</v>
      </c>
      <c r="AL56" s="128">
        <f t="shared" si="129"/>
        <v>68.64</v>
      </c>
      <c r="AM56" s="128">
        <f t="shared" si="129"/>
        <v>137.28</v>
      </c>
      <c r="AN56" s="128">
        <f t="shared" si="129"/>
        <v>0</v>
      </c>
      <c r="AO56" s="411">
        <f>SUM(AJ56:AN56)</f>
        <v>480.48</v>
      </c>
      <c r="AP56" s="211">
        <f t="shared" si="130"/>
        <v>0</v>
      </c>
      <c r="AQ56" s="211">
        <f t="shared" si="131"/>
        <v>0</v>
      </c>
      <c r="AR56" s="211">
        <f t="shared" si="132"/>
        <v>0</v>
      </c>
      <c r="AS56" s="211">
        <f t="shared" si="133"/>
        <v>0</v>
      </c>
      <c r="AT56" s="211">
        <f t="shared" si="134"/>
        <v>0</v>
      </c>
      <c r="AU56" s="128">
        <f>SUM(AP56:AT56)</f>
        <v>0</v>
      </c>
      <c r="AV56" s="312">
        <f t="shared" si="135"/>
        <v>0</v>
      </c>
      <c r="AW56" s="277">
        <f t="shared" si="136"/>
        <v>137.28</v>
      </c>
      <c r="AX56" s="211">
        <f t="shared" si="137"/>
        <v>137.28</v>
      </c>
      <c r="AY56" s="211">
        <f t="shared" si="138"/>
        <v>68.64</v>
      </c>
      <c r="AZ56" s="211">
        <f t="shared" si="139"/>
        <v>137.28</v>
      </c>
      <c r="BA56" s="211">
        <f t="shared" si="140"/>
        <v>0</v>
      </c>
      <c r="BB56" s="128">
        <f>SUM(AW56:BA56)</f>
        <v>480.48</v>
      </c>
      <c r="BC56" s="426">
        <f t="shared" si="141"/>
        <v>1</v>
      </c>
      <c r="BD56" s="74"/>
    </row>
    <row r="57" spans="2:56" s="1" customFormat="1" ht="31.5" customHeight="1">
      <c r="B57" s="73"/>
      <c r="C57" s="93" t="s">
        <v>240</v>
      </c>
      <c r="D57" s="93" t="s">
        <v>149</v>
      </c>
      <c r="E57" s="94" t="s">
        <v>241</v>
      </c>
      <c r="F57" s="500" t="s">
        <v>242</v>
      </c>
      <c r="G57" s="501"/>
      <c r="H57" s="501"/>
      <c r="I57" s="502"/>
      <c r="J57" s="95" t="s">
        <v>152</v>
      </c>
      <c r="K57" s="128">
        <v>8.9999999999999993E-3</v>
      </c>
      <c r="L57" s="128">
        <v>8.9999999999999993E-3</v>
      </c>
      <c r="M57" s="128">
        <v>8.9999999999999993E-3</v>
      </c>
      <c r="N57" s="128">
        <v>8.9999999999999993E-3</v>
      </c>
      <c r="O57" s="128">
        <v>0</v>
      </c>
      <c r="P57" s="403">
        <f>SUM(K57:O57)</f>
        <v>3.5999999999999997E-2</v>
      </c>
      <c r="Q57" s="400">
        <v>0</v>
      </c>
      <c r="R57" s="400">
        <v>0</v>
      </c>
      <c r="S57" s="400">
        <v>0</v>
      </c>
      <c r="T57" s="400">
        <v>0</v>
      </c>
      <c r="U57" s="400">
        <v>0</v>
      </c>
      <c r="V57" s="165">
        <f>SUM(Q57:U57)</f>
        <v>0</v>
      </c>
      <c r="W57" s="289">
        <f>V57/P57</f>
        <v>0</v>
      </c>
      <c r="X57" s="400">
        <f t="shared" si="123"/>
        <v>8.9999999999999993E-3</v>
      </c>
      <c r="Y57" s="400">
        <f t="shared" si="124"/>
        <v>8.9999999999999993E-3</v>
      </c>
      <c r="Z57" s="400">
        <f t="shared" si="125"/>
        <v>8.9999999999999993E-3</v>
      </c>
      <c r="AA57" s="400">
        <f t="shared" si="126"/>
        <v>8.9999999999999993E-3</v>
      </c>
      <c r="AB57" s="400">
        <f t="shared" si="127"/>
        <v>0</v>
      </c>
      <c r="AC57" s="165">
        <f>SUM(X57:AB57)</f>
        <v>3.5999999999999997E-2</v>
      </c>
      <c r="AD57" s="289">
        <f t="shared" si="128"/>
        <v>1</v>
      </c>
      <c r="AE57" s="137">
        <v>52</v>
      </c>
      <c r="AF57" s="137">
        <v>52</v>
      </c>
      <c r="AG57" s="137">
        <v>52</v>
      </c>
      <c r="AH57" s="137">
        <v>52</v>
      </c>
      <c r="AI57" s="137">
        <v>52</v>
      </c>
      <c r="AJ57" s="153">
        <f t="shared" si="129"/>
        <v>0.46800000000000003</v>
      </c>
      <c r="AK57" s="128">
        <f t="shared" si="129"/>
        <v>0.46800000000000003</v>
      </c>
      <c r="AL57" s="128">
        <f t="shared" si="129"/>
        <v>0.46800000000000003</v>
      </c>
      <c r="AM57" s="128">
        <f t="shared" si="129"/>
        <v>0.46800000000000003</v>
      </c>
      <c r="AN57" s="128">
        <f t="shared" si="129"/>
        <v>0</v>
      </c>
      <c r="AO57" s="411">
        <f>SUM(AJ57:AN57)</f>
        <v>1.8720000000000001</v>
      </c>
      <c r="AP57" s="211">
        <f t="shared" si="130"/>
        <v>0</v>
      </c>
      <c r="AQ57" s="211">
        <f t="shared" si="131"/>
        <v>0</v>
      </c>
      <c r="AR57" s="211">
        <f t="shared" si="132"/>
        <v>0</v>
      </c>
      <c r="AS57" s="211">
        <f t="shared" si="133"/>
        <v>0</v>
      </c>
      <c r="AT57" s="211">
        <f t="shared" si="134"/>
        <v>0</v>
      </c>
      <c r="AU57" s="128">
        <f>SUM(AP57:AT57)</f>
        <v>0</v>
      </c>
      <c r="AV57" s="312">
        <f t="shared" si="135"/>
        <v>0</v>
      </c>
      <c r="AW57" s="277">
        <f t="shared" si="136"/>
        <v>0.46800000000000003</v>
      </c>
      <c r="AX57" s="211">
        <f t="shared" si="137"/>
        <v>0.46800000000000003</v>
      </c>
      <c r="AY57" s="211">
        <f t="shared" si="138"/>
        <v>0.46800000000000003</v>
      </c>
      <c r="AZ57" s="211">
        <f t="shared" si="139"/>
        <v>0.46800000000000003</v>
      </c>
      <c r="BA57" s="211">
        <f t="shared" si="140"/>
        <v>0</v>
      </c>
      <c r="BB57" s="128">
        <f>SUM(AW57:BA57)</f>
        <v>1.8720000000000001</v>
      </c>
      <c r="BC57" s="426">
        <f t="shared" si="141"/>
        <v>1</v>
      </c>
      <c r="BD57" s="74"/>
    </row>
    <row r="58" spans="2:56" s="373" customFormat="1" ht="31.5" customHeight="1">
      <c r="B58" s="377"/>
      <c r="C58" s="371"/>
      <c r="D58" s="176" t="s">
        <v>541</v>
      </c>
      <c r="E58" s="176"/>
      <c r="F58" s="176"/>
      <c r="G58" s="176"/>
      <c r="H58" s="176"/>
      <c r="I58" s="176"/>
      <c r="J58" s="176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378"/>
      <c r="AF58" s="378"/>
      <c r="AG58" s="378"/>
      <c r="AH58" s="378"/>
      <c r="AI58" s="378"/>
      <c r="AJ58" s="159">
        <f t="shared" ref="AJ58:AO58" si="142">SUM(AJ59:AJ60)</f>
        <v>0</v>
      </c>
      <c r="AK58" s="159">
        <f t="shared" si="142"/>
        <v>0</v>
      </c>
      <c r="AL58" s="159">
        <f t="shared" si="142"/>
        <v>0</v>
      </c>
      <c r="AM58" s="159">
        <f t="shared" si="142"/>
        <v>0</v>
      </c>
      <c r="AN58" s="159">
        <f t="shared" si="142"/>
        <v>921.57100000000003</v>
      </c>
      <c r="AO58" s="412">
        <f t="shared" si="142"/>
        <v>921.57100000000003</v>
      </c>
      <c r="AP58" s="159">
        <f t="shared" ref="AP58:AU58" si="143">SUM(AP59:AP60)</f>
        <v>0</v>
      </c>
      <c r="AQ58" s="159">
        <f t="shared" si="143"/>
        <v>0</v>
      </c>
      <c r="AR58" s="159">
        <f t="shared" si="143"/>
        <v>0</v>
      </c>
      <c r="AS58" s="159">
        <f t="shared" si="143"/>
        <v>0</v>
      </c>
      <c r="AT58" s="159">
        <f t="shared" si="143"/>
        <v>0</v>
      </c>
      <c r="AU58" s="159">
        <f t="shared" si="143"/>
        <v>0</v>
      </c>
      <c r="AV58" s="425"/>
      <c r="AW58" s="159">
        <f t="shared" ref="AW58:BB58" si="144">SUM(AW59:AW60)</f>
        <v>0</v>
      </c>
      <c r="AX58" s="159">
        <f t="shared" si="144"/>
        <v>0</v>
      </c>
      <c r="AY58" s="159">
        <f t="shared" si="144"/>
        <v>0</v>
      </c>
      <c r="AZ58" s="159">
        <f t="shared" si="144"/>
        <v>0</v>
      </c>
      <c r="BA58" s="159">
        <f t="shared" si="144"/>
        <v>921.57100000000003</v>
      </c>
      <c r="BB58" s="159">
        <f t="shared" si="144"/>
        <v>921.57100000000003</v>
      </c>
      <c r="BC58" s="421"/>
      <c r="BD58" s="379"/>
    </row>
    <row r="59" spans="2:56" s="1" customFormat="1" ht="31.5" customHeight="1">
      <c r="B59" s="73"/>
      <c r="C59" s="93" t="s">
        <v>480</v>
      </c>
      <c r="D59" s="93" t="s">
        <v>149</v>
      </c>
      <c r="E59" s="94" t="s">
        <v>542</v>
      </c>
      <c r="F59" s="498" t="s">
        <v>543</v>
      </c>
      <c r="G59" s="498"/>
      <c r="H59" s="498"/>
      <c r="I59" s="498"/>
      <c r="J59" s="95" t="s">
        <v>198</v>
      </c>
      <c r="K59" s="128">
        <v>0</v>
      </c>
      <c r="L59" s="128">
        <v>0</v>
      </c>
      <c r="M59" s="128">
        <v>0</v>
      </c>
      <c r="N59" s="128">
        <v>0</v>
      </c>
      <c r="O59" s="128">
        <v>57</v>
      </c>
      <c r="P59" s="403">
        <f>SUM(K59:O59)</f>
        <v>57</v>
      </c>
      <c r="Q59" s="400">
        <v>0</v>
      </c>
      <c r="R59" s="128">
        <v>0</v>
      </c>
      <c r="S59" s="128">
        <v>0</v>
      </c>
      <c r="T59" s="128">
        <v>0</v>
      </c>
      <c r="U59" s="128">
        <v>0</v>
      </c>
      <c r="V59" s="165">
        <f>SUM(Q59:U59)</f>
        <v>0</v>
      </c>
      <c r="W59" s="289">
        <f>V59/P59</f>
        <v>0</v>
      </c>
      <c r="X59" s="400">
        <f t="shared" ref="X59:X60" si="145">K59-Q59</f>
        <v>0</v>
      </c>
      <c r="Y59" s="128">
        <f t="shared" ref="Y59:Y60" si="146">L59-R59</f>
        <v>0</v>
      </c>
      <c r="Z59" s="128">
        <f t="shared" ref="Z59:Z60" si="147">M59-S59</f>
        <v>0</v>
      </c>
      <c r="AA59" s="128">
        <f t="shared" ref="AA59:AA60" si="148">N59-T59</f>
        <v>0</v>
      </c>
      <c r="AB59" s="128">
        <f t="shared" ref="AB59:AB60" si="149">O59-U59</f>
        <v>57</v>
      </c>
      <c r="AC59" s="165">
        <f>SUM(X59:AB59)</f>
        <v>57</v>
      </c>
      <c r="AD59" s="289">
        <f t="shared" ref="AD59:AD60" si="150">AC59/P59</f>
        <v>1</v>
      </c>
      <c r="AE59" s="137">
        <v>12.27</v>
      </c>
      <c r="AF59" s="137">
        <v>12.27</v>
      </c>
      <c r="AG59" s="137">
        <v>12.27</v>
      </c>
      <c r="AH59" s="137">
        <v>12.27</v>
      </c>
      <c r="AI59" s="137">
        <v>12.27</v>
      </c>
      <c r="AJ59" s="153">
        <f t="shared" ref="AJ59:AN60" si="151">ROUND(AE59*K59,3)</f>
        <v>0</v>
      </c>
      <c r="AK59" s="128">
        <f t="shared" si="151"/>
        <v>0</v>
      </c>
      <c r="AL59" s="128">
        <f t="shared" si="151"/>
        <v>0</v>
      </c>
      <c r="AM59" s="128">
        <f t="shared" si="151"/>
        <v>0</v>
      </c>
      <c r="AN59" s="128">
        <f t="shared" si="151"/>
        <v>699.39</v>
      </c>
      <c r="AO59" s="411">
        <f>SUM(AJ59:AN59)</f>
        <v>699.39</v>
      </c>
      <c r="AP59" s="359">
        <f t="shared" ref="AP59:AP60" si="152">ROUND(AE59*Q59,3)</f>
        <v>0</v>
      </c>
      <c r="AQ59" s="128">
        <f t="shared" ref="AQ59:AQ60" si="153">ROUND(AF59*R59,3)</f>
        <v>0</v>
      </c>
      <c r="AR59" s="128">
        <f t="shared" ref="AR59:AR60" si="154">ROUND(AG59*S59,3)</f>
        <v>0</v>
      </c>
      <c r="AS59" s="128">
        <f t="shared" ref="AS59:AS60" si="155">ROUND(AH59*T59,3)</f>
        <v>0</v>
      </c>
      <c r="AT59" s="128">
        <f t="shared" ref="AT59:AT60" si="156">ROUND(AI59*U59,3)</f>
        <v>0</v>
      </c>
      <c r="AU59" s="128">
        <f>SUM(AP59:AT59)</f>
        <v>0</v>
      </c>
      <c r="AV59" s="312">
        <f t="shared" ref="AV59:AV60" si="157">AU59/AO59</f>
        <v>0</v>
      </c>
      <c r="AW59" s="359">
        <f t="shared" ref="AW59:AW60" si="158">AJ59-AP59</f>
        <v>0</v>
      </c>
      <c r="AX59" s="128">
        <f t="shared" ref="AX59:AX60" si="159">AK59-AQ59</f>
        <v>0</v>
      </c>
      <c r="AY59" s="128">
        <f t="shared" ref="AY59:AY60" si="160">AL59-AR59</f>
        <v>0</v>
      </c>
      <c r="AZ59" s="128">
        <f t="shared" ref="AZ59:AZ60" si="161">AM59-AS59</f>
        <v>0</v>
      </c>
      <c r="BA59" s="128">
        <f t="shared" ref="BA59:BA60" si="162">AN59-AT59</f>
        <v>699.39</v>
      </c>
      <c r="BB59" s="128">
        <f>SUM(AW59:BA59)</f>
        <v>699.39</v>
      </c>
      <c r="BC59" s="426">
        <f t="shared" ref="BC59:BC60" si="163">BB59/AO59</f>
        <v>1</v>
      </c>
      <c r="BD59" s="74"/>
    </row>
    <row r="60" spans="2:56" s="158" customFormat="1" ht="31.5" customHeight="1">
      <c r="B60" s="156"/>
      <c r="C60" s="102" t="s">
        <v>544</v>
      </c>
      <c r="D60" s="102" t="s">
        <v>171</v>
      </c>
      <c r="E60" s="103" t="s">
        <v>545</v>
      </c>
      <c r="F60" s="499" t="s">
        <v>546</v>
      </c>
      <c r="G60" s="499"/>
      <c r="H60" s="499"/>
      <c r="I60" s="499"/>
      <c r="J60" s="104" t="s">
        <v>396</v>
      </c>
      <c r="K60" s="133">
        <v>0</v>
      </c>
      <c r="L60" s="133">
        <v>0</v>
      </c>
      <c r="M60" s="133">
        <v>0</v>
      </c>
      <c r="N60" s="133">
        <v>0</v>
      </c>
      <c r="O60" s="133">
        <v>0.77800000000000002</v>
      </c>
      <c r="P60" s="404">
        <f>SUM(K60:O60)</f>
        <v>0.77800000000000002</v>
      </c>
      <c r="Q60" s="401">
        <v>0</v>
      </c>
      <c r="R60" s="133">
        <v>0</v>
      </c>
      <c r="S60" s="133">
        <v>0</v>
      </c>
      <c r="T60" s="133">
        <v>0</v>
      </c>
      <c r="U60" s="133">
        <v>0</v>
      </c>
      <c r="V60" s="177">
        <f>SUM(Q60:U60)</f>
        <v>0</v>
      </c>
      <c r="W60" s="289">
        <f>V60/P60</f>
        <v>0</v>
      </c>
      <c r="X60" s="401">
        <f t="shared" si="145"/>
        <v>0</v>
      </c>
      <c r="Y60" s="133">
        <f t="shared" si="146"/>
        <v>0</v>
      </c>
      <c r="Z60" s="133">
        <f t="shared" si="147"/>
        <v>0</v>
      </c>
      <c r="AA60" s="133">
        <f t="shared" si="148"/>
        <v>0</v>
      </c>
      <c r="AB60" s="133">
        <f t="shared" si="149"/>
        <v>0.77800000000000002</v>
      </c>
      <c r="AC60" s="177">
        <f>SUM(X60:AB60)</f>
        <v>0.77800000000000002</v>
      </c>
      <c r="AD60" s="289">
        <f t="shared" si="150"/>
        <v>1</v>
      </c>
      <c r="AE60" s="155">
        <v>285.58</v>
      </c>
      <c r="AF60" s="155">
        <v>285.58</v>
      </c>
      <c r="AG60" s="155">
        <v>285.58</v>
      </c>
      <c r="AH60" s="155">
        <v>285.58</v>
      </c>
      <c r="AI60" s="155">
        <v>285.58</v>
      </c>
      <c r="AJ60" s="152">
        <f t="shared" si="151"/>
        <v>0</v>
      </c>
      <c r="AK60" s="133">
        <f t="shared" si="151"/>
        <v>0</v>
      </c>
      <c r="AL60" s="133">
        <f t="shared" si="151"/>
        <v>0</v>
      </c>
      <c r="AM60" s="133">
        <f t="shared" si="151"/>
        <v>0</v>
      </c>
      <c r="AN60" s="133">
        <f t="shared" si="151"/>
        <v>222.18100000000001</v>
      </c>
      <c r="AO60" s="414">
        <f>SUM(AJ60:AN60)</f>
        <v>222.18100000000001</v>
      </c>
      <c r="AP60" s="407">
        <f t="shared" si="152"/>
        <v>0</v>
      </c>
      <c r="AQ60" s="133">
        <f t="shared" si="153"/>
        <v>0</v>
      </c>
      <c r="AR60" s="133">
        <f t="shared" si="154"/>
        <v>0</v>
      </c>
      <c r="AS60" s="133">
        <f t="shared" si="155"/>
        <v>0</v>
      </c>
      <c r="AT60" s="133">
        <f t="shared" si="156"/>
        <v>0</v>
      </c>
      <c r="AU60" s="133">
        <f>SUM(AP60:AT60)</f>
        <v>0</v>
      </c>
      <c r="AV60" s="312">
        <f t="shared" si="157"/>
        <v>0</v>
      </c>
      <c r="AW60" s="407">
        <f t="shared" si="158"/>
        <v>0</v>
      </c>
      <c r="AX60" s="133">
        <f t="shared" si="159"/>
        <v>0</v>
      </c>
      <c r="AY60" s="133">
        <f t="shared" si="160"/>
        <v>0</v>
      </c>
      <c r="AZ60" s="133">
        <f t="shared" si="161"/>
        <v>0</v>
      </c>
      <c r="BA60" s="133">
        <f t="shared" si="162"/>
        <v>222.18100000000001</v>
      </c>
      <c r="BB60" s="133">
        <f>SUM(AW60:BA60)</f>
        <v>222.18100000000001</v>
      </c>
      <c r="BC60" s="426">
        <f t="shared" si="163"/>
        <v>1</v>
      </c>
      <c r="BD60" s="157"/>
    </row>
    <row r="61" spans="2:56" s="373" customFormat="1" ht="49.9" customHeight="1">
      <c r="B61" s="374"/>
      <c r="C61" s="371"/>
      <c r="D61" s="176" t="s">
        <v>335</v>
      </c>
      <c r="E61" s="176"/>
      <c r="F61" s="176"/>
      <c r="G61" s="176"/>
      <c r="H61" s="176"/>
      <c r="I61" s="176"/>
      <c r="J61" s="176"/>
      <c r="K61" s="176"/>
      <c r="L61" s="180"/>
      <c r="M61" s="180"/>
      <c r="N61" s="180"/>
      <c r="O61" s="180"/>
      <c r="P61" s="180"/>
      <c r="Q61" s="176"/>
      <c r="R61" s="180"/>
      <c r="S61" s="180"/>
      <c r="T61" s="180"/>
      <c r="U61" s="180"/>
      <c r="V61" s="180"/>
      <c r="W61" s="180"/>
      <c r="X61" s="176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59">
        <f t="shared" ref="AJ61:AO61" si="164">SUM(AJ62:AJ67)</f>
        <v>0</v>
      </c>
      <c r="AK61" s="159">
        <f t="shared" si="164"/>
        <v>0</v>
      </c>
      <c r="AL61" s="159">
        <f t="shared" si="164"/>
        <v>0</v>
      </c>
      <c r="AM61" s="159">
        <f t="shared" si="164"/>
        <v>4846.6640000000007</v>
      </c>
      <c r="AN61" s="159">
        <f t="shared" si="164"/>
        <v>1161.9000000000001</v>
      </c>
      <c r="AO61" s="412">
        <f t="shared" si="164"/>
        <v>6008.5640000000003</v>
      </c>
      <c r="AP61" s="159">
        <f t="shared" ref="AP61:AU61" si="165">SUM(AP62:AP67)</f>
        <v>0</v>
      </c>
      <c r="AQ61" s="159">
        <f t="shared" si="165"/>
        <v>0</v>
      </c>
      <c r="AR61" s="159">
        <f t="shared" si="165"/>
        <v>0</v>
      </c>
      <c r="AS61" s="159">
        <f t="shared" si="165"/>
        <v>0</v>
      </c>
      <c r="AT61" s="159">
        <f t="shared" si="165"/>
        <v>0</v>
      </c>
      <c r="AU61" s="159">
        <f t="shared" si="165"/>
        <v>0</v>
      </c>
      <c r="AV61" s="425"/>
      <c r="AW61" s="159">
        <f t="shared" ref="AW61:BB61" si="166">SUM(AW62:AW67)</f>
        <v>0</v>
      </c>
      <c r="AX61" s="159">
        <f t="shared" si="166"/>
        <v>0</v>
      </c>
      <c r="AY61" s="159">
        <f t="shared" si="166"/>
        <v>0</v>
      </c>
      <c r="AZ61" s="159">
        <f t="shared" si="166"/>
        <v>4846.6640000000007</v>
      </c>
      <c r="BA61" s="159">
        <f t="shared" si="166"/>
        <v>1161.9000000000001</v>
      </c>
      <c r="BB61" s="159">
        <f t="shared" si="166"/>
        <v>6008.5640000000003</v>
      </c>
      <c r="BC61" s="421"/>
      <c r="BD61" s="376"/>
    </row>
    <row r="62" spans="2:56" s="1" customFormat="1" ht="31.5" customHeight="1">
      <c r="B62" s="15"/>
      <c r="C62" s="93" t="s">
        <v>479</v>
      </c>
      <c r="D62" s="93" t="s">
        <v>149</v>
      </c>
      <c r="E62" s="94" t="s">
        <v>523</v>
      </c>
      <c r="F62" s="500" t="s">
        <v>524</v>
      </c>
      <c r="G62" s="501"/>
      <c r="H62" s="501"/>
      <c r="I62" s="502"/>
      <c r="J62" s="95" t="s">
        <v>184</v>
      </c>
      <c r="K62" s="128">
        <v>0</v>
      </c>
      <c r="L62" s="128">
        <v>0</v>
      </c>
      <c r="M62" s="128">
        <v>0</v>
      </c>
      <c r="N62" s="128">
        <v>2</v>
      </c>
      <c r="O62" s="128">
        <v>0</v>
      </c>
      <c r="P62" s="403">
        <f t="shared" ref="P62:P67" si="167">SUM(K62:O62)</f>
        <v>2</v>
      </c>
      <c r="Q62" s="400">
        <v>0</v>
      </c>
      <c r="R62" s="400">
        <v>0</v>
      </c>
      <c r="S62" s="400">
        <v>0</v>
      </c>
      <c r="T62" s="400">
        <v>0</v>
      </c>
      <c r="U62" s="400">
        <v>0</v>
      </c>
      <c r="V62" s="165">
        <f t="shared" ref="V62:V67" si="168">SUM(Q62:U62)</f>
        <v>0</v>
      </c>
      <c r="W62" s="289">
        <f t="shared" ref="W62:W67" si="169">V62/P62</f>
        <v>0</v>
      </c>
      <c r="X62" s="400">
        <f t="shared" ref="X62:X67" si="170">K62-Q62</f>
        <v>0</v>
      </c>
      <c r="Y62" s="400">
        <f t="shared" ref="Y62:Y67" si="171">L62-R62</f>
        <v>0</v>
      </c>
      <c r="Z62" s="400">
        <f t="shared" ref="Z62:Z67" si="172">M62-S62</f>
        <v>0</v>
      </c>
      <c r="AA62" s="400">
        <f t="shared" ref="AA62:AA67" si="173">N62-T62</f>
        <v>2</v>
      </c>
      <c r="AB62" s="400">
        <f t="shared" ref="AB62:AB67" si="174">O62-U62</f>
        <v>0</v>
      </c>
      <c r="AC62" s="165">
        <f t="shared" ref="AC62:AC67" si="175">SUM(X62:AB62)</f>
        <v>2</v>
      </c>
      <c r="AD62" s="289">
        <f t="shared" ref="AD62:AD67" si="176">AC62/P62</f>
        <v>1</v>
      </c>
      <c r="AE62" s="137">
        <v>102.65</v>
      </c>
      <c r="AF62" s="137">
        <v>102.65</v>
      </c>
      <c r="AG62" s="137">
        <v>102.65</v>
      </c>
      <c r="AH62" s="137">
        <v>102.65</v>
      </c>
      <c r="AI62" s="137">
        <v>102.65</v>
      </c>
      <c r="AJ62" s="153">
        <f t="shared" ref="AJ62:AN67" si="177">ROUND(AE62*K62,3)</f>
        <v>0</v>
      </c>
      <c r="AK62" s="128">
        <f t="shared" si="177"/>
        <v>0</v>
      </c>
      <c r="AL62" s="128">
        <f t="shared" si="177"/>
        <v>0</v>
      </c>
      <c r="AM62" s="128">
        <f t="shared" si="177"/>
        <v>205.3</v>
      </c>
      <c r="AN62" s="128">
        <f t="shared" si="177"/>
        <v>0</v>
      </c>
      <c r="AO62" s="411">
        <f t="shared" ref="AO62:AO67" si="178">SUM(AJ62:AN62)</f>
        <v>205.3</v>
      </c>
      <c r="AP62" s="359">
        <f t="shared" ref="AP62:AP67" si="179">ROUND(AE62*Q62,3)</f>
        <v>0</v>
      </c>
      <c r="AQ62" s="128">
        <f t="shared" ref="AQ62:AQ67" si="180">ROUND(AF62*R62,3)</f>
        <v>0</v>
      </c>
      <c r="AR62" s="128">
        <f t="shared" ref="AR62:AR67" si="181">ROUND(AG62*S62,3)</f>
        <v>0</v>
      </c>
      <c r="AS62" s="128">
        <f t="shared" ref="AS62:AS67" si="182">ROUND(AH62*T62,3)</f>
        <v>0</v>
      </c>
      <c r="AT62" s="128">
        <f t="shared" ref="AT62:AT67" si="183">ROUND(AI62*U62,3)</f>
        <v>0</v>
      </c>
      <c r="AU62" s="128">
        <f t="shared" ref="AU62:AU67" si="184">SUM(AP62:AT62)</f>
        <v>0</v>
      </c>
      <c r="AV62" s="312">
        <f t="shared" ref="AV62:AV68" si="185">AU62/AO62</f>
        <v>0</v>
      </c>
      <c r="AW62" s="277">
        <f t="shared" ref="AW62:AW67" si="186">AJ62-AP62</f>
        <v>0</v>
      </c>
      <c r="AX62" s="211">
        <f t="shared" ref="AX62:AX67" si="187">AK62-AQ62</f>
        <v>0</v>
      </c>
      <c r="AY62" s="211">
        <f t="shared" ref="AY62:AY67" si="188">AL62-AR62</f>
        <v>0</v>
      </c>
      <c r="AZ62" s="211">
        <f t="shared" ref="AZ62:AZ67" si="189">AM62-AS62</f>
        <v>205.3</v>
      </c>
      <c r="BA62" s="211">
        <f t="shared" ref="BA62:BA67" si="190">AN62-AT62</f>
        <v>0</v>
      </c>
      <c r="BB62" s="128">
        <f t="shared" ref="BB62:BB67" si="191">SUM(AW62:BA62)</f>
        <v>205.3</v>
      </c>
      <c r="BC62" s="426">
        <f t="shared" ref="BC62:BC68" si="192">BB62/AO62</f>
        <v>1</v>
      </c>
      <c r="BD62" s="17"/>
    </row>
    <row r="63" spans="2:56" s="1" customFormat="1" ht="41.25" customHeight="1">
      <c r="B63" s="15"/>
      <c r="C63" s="93" t="s">
        <v>478</v>
      </c>
      <c r="D63" s="93" t="s">
        <v>149</v>
      </c>
      <c r="E63" s="94" t="s">
        <v>525</v>
      </c>
      <c r="F63" s="500" t="s">
        <v>526</v>
      </c>
      <c r="G63" s="501"/>
      <c r="H63" s="501"/>
      <c r="I63" s="502"/>
      <c r="J63" s="95" t="s">
        <v>198</v>
      </c>
      <c r="K63" s="128">
        <v>0</v>
      </c>
      <c r="L63" s="128">
        <v>0</v>
      </c>
      <c r="M63" s="128">
        <v>0</v>
      </c>
      <c r="N63" s="128">
        <v>13.6</v>
      </c>
      <c r="O63" s="128">
        <v>0</v>
      </c>
      <c r="P63" s="403">
        <f t="shared" si="167"/>
        <v>13.6</v>
      </c>
      <c r="Q63" s="400">
        <v>0</v>
      </c>
      <c r="R63" s="400">
        <v>0</v>
      </c>
      <c r="S63" s="400">
        <v>0</v>
      </c>
      <c r="T63" s="400">
        <v>0</v>
      </c>
      <c r="U63" s="400">
        <v>0</v>
      </c>
      <c r="V63" s="165">
        <f t="shared" si="168"/>
        <v>0</v>
      </c>
      <c r="W63" s="289">
        <f t="shared" si="169"/>
        <v>0</v>
      </c>
      <c r="X63" s="400">
        <f t="shared" si="170"/>
        <v>0</v>
      </c>
      <c r="Y63" s="400">
        <f t="shared" si="171"/>
        <v>0</v>
      </c>
      <c r="Z63" s="400">
        <f t="shared" si="172"/>
        <v>0</v>
      </c>
      <c r="AA63" s="400">
        <f t="shared" si="173"/>
        <v>13.6</v>
      </c>
      <c r="AB63" s="400">
        <f t="shared" si="174"/>
        <v>0</v>
      </c>
      <c r="AC63" s="165">
        <f t="shared" si="175"/>
        <v>13.6</v>
      </c>
      <c r="AD63" s="289">
        <f t="shared" si="176"/>
        <v>1</v>
      </c>
      <c r="AE63" s="137">
        <v>98.38</v>
      </c>
      <c r="AF63" s="137">
        <v>98.38</v>
      </c>
      <c r="AG63" s="137">
        <v>98.38</v>
      </c>
      <c r="AH63" s="137">
        <v>98.38</v>
      </c>
      <c r="AI63" s="137">
        <v>98.38</v>
      </c>
      <c r="AJ63" s="153">
        <f t="shared" si="177"/>
        <v>0</v>
      </c>
      <c r="AK63" s="128">
        <f t="shared" si="177"/>
        <v>0</v>
      </c>
      <c r="AL63" s="128">
        <f t="shared" si="177"/>
        <v>0</v>
      </c>
      <c r="AM63" s="128">
        <f t="shared" si="177"/>
        <v>1337.9680000000001</v>
      </c>
      <c r="AN63" s="128">
        <f t="shared" si="177"/>
        <v>0</v>
      </c>
      <c r="AO63" s="411">
        <f t="shared" si="178"/>
        <v>1337.9680000000001</v>
      </c>
      <c r="AP63" s="359">
        <f t="shared" si="179"/>
        <v>0</v>
      </c>
      <c r="AQ63" s="128">
        <f t="shared" si="180"/>
        <v>0</v>
      </c>
      <c r="AR63" s="128">
        <f t="shared" si="181"/>
        <v>0</v>
      </c>
      <c r="AS63" s="128">
        <f t="shared" si="182"/>
        <v>0</v>
      </c>
      <c r="AT63" s="128">
        <f t="shared" si="183"/>
        <v>0</v>
      </c>
      <c r="AU63" s="128">
        <f t="shared" si="184"/>
        <v>0</v>
      </c>
      <c r="AV63" s="312">
        <f t="shared" si="185"/>
        <v>0</v>
      </c>
      <c r="AW63" s="277">
        <f t="shared" si="186"/>
        <v>0</v>
      </c>
      <c r="AX63" s="211">
        <f t="shared" si="187"/>
        <v>0</v>
      </c>
      <c r="AY63" s="211">
        <f t="shared" si="188"/>
        <v>0</v>
      </c>
      <c r="AZ63" s="211">
        <f t="shared" si="189"/>
        <v>1337.9680000000001</v>
      </c>
      <c r="BA63" s="211">
        <f t="shared" si="190"/>
        <v>0</v>
      </c>
      <c r="BB63" s="128">
        <f t="shared" si="191"/>
        <v>1337.9680000000001</v>
      </c>
      <c r="BC63" s="426">
        <f t="shared" si="192"/>
        <v>1</v>
      </c>
      <c r="BD63" s="17"/>
    </row>
    <row r="64" spans="2:56" s="1" customFormat="1" ht="34.5" customHeight="1">
      <c r="B64" s="15"/>
      <c r="C64" s="93" t="s">
        <v>480</v>
      </c>
      <c r="D64" s="93" t="s">
        <v>149</v>
      </c>
      <c r="E64" s="94" t="s">
        <v>527</v>
      </c>
      <c r="F64" s="500" t="s">
        <v>528</v>
      </c>
      <c r="G64" s="501"/>
      <c r="H64" s="501"/>
      <c r="I64" s="502"/>
      <c r="J64" s="95" t="s">
        <v>198</v>
      </c>
      <c r="K64" s="128">
        <v>0</v>
      </c>
      <c r="L64" s="128">
        <v>0</v>
      </c>
      <c r="M64" s="128">
        <v>0</v>
      </c>
      <c r="N64" s="128">
        <v>83.8</v>
      </c>
      <c r="O64" s="128">
        <v>0</v>
      </c>
      <c r="P64" s="403">
        <f t="shared" si="167"/>
        <v>83.8</v>
      </c>
      <c r="Q64" s="400">
        <v>0</v>
      </c>
      <c r="R64" s="400">
        <v>0</v>
      </c>
      <c r="S64" s="400">
        <v>0</v>
      </c>
      <c r="T64" s="400">
        <v>0</v>
      </c>
      <c r="U64" s="400">
        <v>0</v>
      </c>
      <c r="V64" s="165">
        <f t="shared" si="168"/>
        <v>0</v>
      </c>
      <c r="W64" s="289">
        <f t="shared" si="169"/>
        <v>0</v>
      </c>
      <c r="X64" s="400">
        <f t="shared" si="170"/>
        <v>0</v>
      </c>
      <c r="Y64" s="400">
        <f t="shared" si="171"/>
        <v>0</v>
      </c>
      <c r="Z64" s="400">
        <f t="shared" si="172"/>
        <v>0</v>
      </c>
      <c r="AA64" s="400">
        <f t="shared" si="173"/>
        <v>83.8</v>
      </c>
      <c r="AB64" s="400">
        <f t="shared" si="174"/>
        <v>0</v>
      </c>
      <c r="AC64" s="165">
        <f t="shared" si="175"/>
        <v>83.8</v>
      </c>
      <c r="AD64" s="289">
        <f t="shared" si="176"/>
        <v>1</v>
      </c>
      <c r="AE64" s="137">
        <v>39.42</v>
      </c>
      <c r="AF64" s="137">
        <v>39.42</v>
      </c>
      <c r="AG64" s="137">
        <v>39.42</v>
      </c>
      <c r="AH64" s="137">
        <v>39.42</v>
      </c>
      <c r="AI64" s="137">
        <v>39.42</v>
      </c>
      <c r="AJ64" s="153">
        <f t="shared" si="177"/>
        <v>0</v>
      </c>
      <c r="AK64" s="128">
        <f t="shared" si="177"/>
        <v>0</v>
      </c>
      <c r="AL64" s="128">
        <f t="shared" si="177"/>
        <v>0</v>
      </c>
      <c r="AM64" s="128">
        <f t="shared" si="177"/>
        <v>3303.3960000000002</v>
      </c>
      <c r="AN64" s="128">
        <f t="shared" si="177"/>
        <v>0</v>
      </c>
      <c r="AO64" s="411">
        <f t="shared" si="178"/>
        <v>3303.3960000000002</v>
      </c>
      <c r="AP64" s="359">
        <f t="shared" si="179"/>
        <v>0</v>
      </c>
      <c r="AQ64" s="128">
        <f t="shared" si="180"/>
        <v>0</v>
      </c>
      <c r="AR64" s="128">
        <f t="shared" si="181"/>
        <v>0</v>
      </c>
      <c r="AS64" s="128">
        <f t="shared" si="182"/>
        <v>0</v>
      </c>
      <c r="AT64" s="128">
        <f t="shared" si="183"/>
        <v>0</v>
      </c>
      <c r="AU64" s="128">
        <f t="shared" si="184"/>
        <v>0</v>
      </c>
      <c r="AV64" s="312">
        <f t="shared" si="185"/>
        <v>0</v>
      </c>
      <c r="AW64" s="277">
        <f t="shared" si="186"/>
        <v>0</v>
      </c>
      <c r="AX64" s="211">
        <f t="shared" si="187"/>
        <v>0</v>
      </c>
      <c r="AY64" s="211">
        <f t="shared" si="188"/>
        <v>0</v>
      </c>
      <c r="AZ64" s="211">
        <f t="shared" si="189"/>
        <v>3303.3960000000002</v>
      </c>
      <c r="BA64" s="211">
        <f t="shared" si="190"/>
        <v>0</v>
      </c>
      <c r="BB64" s="128">
        <f t="shared" si="191"/>
        <v>3303.3960000000002</v>
      </c>
      <c r="BC64" s="426">
        <f t="shared" si="192"/>
        <v>1</v>
      </c>
      <c r="BD64" s="17"/>
    </row>
    <row r="65" spans="2:56" s="1" customFormat="1" ht="46.5" customHeight="1">
      <c r="B65" s="15"/>
      <c r="C65" s="93">
        <v>37</v>
      </c>
      <c r="D65" s="93" t="s">
        <v>149</v>
      </c>
      <c r="E65" s="94" t="s">
        <v>459</v>
      </c>
      <c r="F65" s="498" t="s">
        <v>460</v>
      </c>
      <c r="G65" s="498"/>
      <c r="H65" s="498"/>
      <c r="I65" s="498"/>
      <c r="J65" s="95" t="s">
        <v>198</v>
      </c>
      <c r="K65" s="128">
        <v>0</v>
      </c>
      <c r="L65" s="128">
        <v>0</v>
      </c>
      <c r="M65" s="128">
        <v>0</v>
      </c>
      <c r="N65" s="128">
        <v>0</v>
      </c>
      <c r="O65" s="128">
        <v>56.6</v>
      </c>
      <c r="P65" s="403">
        <f t="shared" si="167"/>
        <v>56.6</v>
      </c>
      <c r="Q65" s="400">
        <v>0</v>
      </c>
      <c r="R65" s="400">
        <v>0</v>
      </c>
      <c r="S65" s="400">
        <v>0</v>
      </c>
      <c r="T65" s="400">
        <v>0</v>
      </c>
      <c r="U65" s="400">
        <v>0</v>
      </c>
      <c r="V65" s="165">
        <f t="shared" si="168"/>
        <v>0</v>
      </c>
      <c r="W65" s="289">
        <f t="shared" si="169"/>
        <v>0</v>
      </c>
      <c r="X65" s="400">
        <f t="shared" si="170"/>
        <v>0</v>
      </c>
      <c r="Y65" s="400">
        <f t="shared" si="171"/>
        <v>0</v>
      </c>
      <c r="Z65" s="400">
        <f t="shared" si="172"/>
        <v>0</v>
      </c>
      <c r="AA65" s="400">
        <f t="shared" si="173"/>
        <v>0</v>
      </c>
      <c r="AB65" s="400">
        <f t="shared" si="174"/>
        <v>56.6</v>
      </c>
      <c r="AC65" s="165">
        <f t="shared" si="175"/>
        <v>56.6</v>
      </c>
      <c r="AD65" s="289">
        <f t="shared" si="176"/>
        <v>1</v>
      </c>
      <c r="AE65" s="137">
        <v>3.12</v>
      </c>
      <c r="AF65" s="137">
        <v>3.12</v>
      </c>
      <c r="AG65" s="137">
        <v>3.12</v>
      </c>
      <c r="AH65" s="137">
        <v>3.12</v>
      </c>
      <c r="AI65" s="137">
        <v>3.12</v>
      </c>
      <c r="AJ65" s="153">
        <f t="shared" si="177"/>
        <v>0</v>
      </c>
      <c r="AK65" s="128">
        <f t="shared" si="177"/>
        <v>0</v>
      </c>
      <c r="AL65" s="128">
        <f t="shared" si="177"/>
        <v>0</v>
      </c>
      <c r="AM65" s="128">
        <f t="shared" si="177"/>
        <v>0</v>
      </c>
      <c r="AN65" s="128">
        <f t="shared" si="177"/>
        <v>176.59200000000001</v>
      </c>
      <c r="AO65" s="411">
        <f t="shared" si="178"/>
        <v>176.59200000000001</v>
      </c>
      <c r="AP65" s="359">
        <f t="shared" si="179"/>
        <v>0</v>
      </c>
      <c r="AQ65" s="128">
        <f t="shared" si="180"/>
        <v>0</v>
      </c>
      <c r="AR65" s="128">
        <f t="shared" si="181"/>
        <v>0</v>
      </c>
      <c r="AS65" s="128">
        <f t="shared" si="182"/>
        <v>0</v>
      </c>
      <c r="AT65" s="128">
        <f t="shared" si="183"/>
        <v>0</v>
      </c>
      <c r="AU65" s="128">
        <f t="shared" si="184"/>
        <v>0</v>
      </c>
      <c r="AV65" s="312">
        <f t="shared" si="185"/>
        <v>0</v>
      </c>
      <c r="AW65" s="277">
        <f t="shared" si="186"/>
        <v>0</v>
      </c>
      <c r="AX65" s="211">
        <f t="shared" si="187"/>
        <v>0</v>
      </c>
      <c r="AY65" s="211">
        <f t="shared" si="188"/>
        <v>0</v>
      </c>
      <c r="AZ65" s="211">
        <f t="shared" si="189"/>
        <v>0</v>
      </c>
      <c r="BA65" s="211">
        <f t="shared" si="190"/>
        <v>176.59200000000001</v>
      </c>
      <c r="BB65" s="128">
        <f t="shared" si="191"/>
        <v>176.59200000000001</v>
      </c>
      <c r="BC65" s="426">
        <f t="shared" si="192"/>
        <v>1</v>
      </c>
      <c r="BD65" s="17"/>
    </row>
    <row r="66" spans="2:56" s="1" customFormat="1" ht="24.75" customHeight="1">
      <c r="B66" s="15"/>
      <c r="C66" s="93">
        <v>38</v>
      </c>
      <c r="D66" s="93" t="s">
        <v>149</v>
      </c>
      <c r="E66" s="94" t="s">
        <v>461</v>
      </c>
      <c r="F66" s="498" t="s">
        <v>462</v>
      </c>
      <c r="G66" s="498"/>
      <c r="H66" s="498"/>
      <c r="I66" s="498"/>
      <c r="J66" s="95" t="s">
        <v>198</v>
      </c>
      <c r="K66" s="128">
        <v>0</v>
      </c>
      <c r="L66" s="128">
        <v>0</v>
      </c>
      <c r="M66" s="128">
        <v>0</v>
      </c>
      <c r="N66" s="128">
        <v>0</v>
      </c>
      <c r="O66" s="128">
        <v>56.6</v>
      </c>
      <c r="P66" s="403">
        <f t="shared" si="167"/>
        <v>56.6</v>
      </c>
      <c r="Q66" s="400">
        <v>0</v>
      </c>
      <c r="R66" s="400">
        <v>0</v>
      </c>
      <c r="S66" s="400">
        <v>0</v>
      </c>
      <c r="T66" s="400">
        <v>0</v>
      </c>
      <c r="U66" s="400">
        <v>0</v>
      </c>
      <c r="V66" s="165">
        <f t="shared" si="168"/>
        <v>0</v>
      </c>
      <c r="W66" s="289">
        <f t="shared" si="169"/>
        <v>0</v>
      </c>
      <c r="X66" s="400">
        <f t="shared" si="170"/>
        <v>0</v>
      </c>
      <c r="Y66" s="400">
        <f t="shared" si="171"/>
        <v>0</v>
      </c>
      <c r="Z66" s="400">
        <f t="shared" si="172"/>
        <v>0</v>
      </c>
      <c r="AA66" s="400">
        <f t="shared" si="173"/>
        <v>0</v>
      </c>
      <c r="AB66" s="400">
        <f t="shared" si="174"/>
        <v>56.6</v>
      </c>
      <c r="AC66" s="165">
        <f t="shared" si="175"/>
        <v>56.6</v>
      </c>
      <c r="AD66" s="289">
        <f t="shared" si="176"/>
        <v>1</v>
      </c>
      <c r="AE66" s="137">
        <v>17.399999999999999</v>
      </c>
      <c r="AF66" s="137">
        <v>17.399999999999999</v>
      </c>
      <c r="AG66" s="137">
        <v>17.399999999999999</v>
      </c>
      <c r="AH66" s="137">
        <v>17.399999999999999</v>
      </c>
      <c r="AI66" s="137">
        <v>17.399999999999999</v>
      </c>
      <c r="AJ66" s="153">
        <f t="shared" si="177"/>
        <v>0</v>
      </c>
      <c r="AK66" s="128">
        <f t="shared" si="177"/>
        <v>0</v>
      </c>
      <c r="AL66" s="128">
        <f t="shared" si="177"/>
        <v>0</v>
      </c>
      <c r="AM66" s="128">
        <f t="shared" si="177"/>
        <v>0</v>
      </c>
      <c r="AN66" s="128">
        <f t="shared" si="177"/>
        <v>984.84</v>
      </c>
      <c r="AO66" s="411">
        <f t="shared" si="178"/>
        <v>984.84</v>
      </c>
      <c r="AP66" s="359">
        <f t="shared" si="179"/>
        <v>0</v>
      </c>
      <c r="AQ66" s="128">
        <f t="shared" si="180"/>
        <v>0</v>
      </c>
      <c r="AR66" s="128">
        <f t="shared" si="181"/>
        <v>0</v>
      </c>
      <c r="AS66" s="128">
        <f t="shared" si="182"/>
        <v>0</v>
      </c>
      <c r="AT66" s="128">
        <f t="shared" si="183"/>
        <v>0</v>
      </c>
      <c r="AU66" s="128">
        <f t="shared" si="184"/>
        <v>0</v>
      </c>
      <c r="AV66" s="312">
        <f t="shared" si="185"/>
        <v>0</v>
      </c>
      <c r="AW66" s="277">
        <f t="shared" si="186"/>
        <v>0</v>
      </c>
      <c r="AX66" s="211">
        <f t="shared" si="187"/>
        <v>0</v>
      </c>
      <c r="AY66" s="211">
        <f t="shared" si="188"/>
        <v>0</v>
      </c>
      <c r="AZ66" s="211">
        <f t="shared" si="189"/>
        <v>0</v>
      </c>
      <c r="BA66" s="211">
        <f t="shared" si="190"/>
        <v>984.84</v>
      </c>
      <c r="BB66" s="128">
        <f t="shared" si="191"/>
        <v>984.84</v>
      </c>
      <c r="BC66" s="426">
        <f t="shared" si="192"/>
        <v>1</v>
      </c>
      <c r="BD66" s="17"/>
    </row>
    <row r="67" spans="2:56" s="1" customFormat="1" ht="28.5" customHeight="1">
      <c r="B67" s="15"/>
      <c r="C67" s="93">
        <v>39</v>
      </c>
      <c r="D67" s="93" t="s">
        <v>149</v>
      </c>
      <c r="E67" s="94" t="s">
        <v>359</v>
      </c>
      <c r="F67" s="498" t="s">
        <v>360</v>
      </c>
      <c r="G67" s="498"/>
      <c r="H67" s="498"/>
      <c r="I67" s="498"/>
      <c r="J67" s="95" t="s">
        <v>152</v>
      </c>
      <c r="K67" s="128">
        <v>0</v>
      </c>
      <c r="L67" s="128">
        <v>0</v>
      </c>
      <c r="M67" s="128">
        <v>0</v>
      </c>
      <c r="N67" s="128">
        <v>0</v>
      </c>
      <c r="O67" s="128">
        <v>8.9999999999999993E-3</v>
      </c>
      <c r="P67" s="403">
        <f t="shared" si="167"/>
        <v>8.9999999999999993E-3</v>
      </c>
      <c r="Q67" s="400">
        <v>0</v>
      </c>
      <c r="R67" s="400">
        <v>0</v>
      </c>
      <c r="S67" s="400">
        <v>0</v>
      </c>
      <c r="T67" s="400">
        <v>0</v>
      </c>
      <c r="U67" s="400">
        <v>0</v>
      </c>
      <c r="V67" s="165">
        <f t="shared" si="168"/>
        <v>0</v>
      </c>
      <c r="W67" s="289">
        <f t="shared" si="169"/>
        <v>0</v>
      </c>
      <c r="X67" s="400">
        <f t="shared" si="170"/>
        <v>0</v>
      </c>
      <c r="Y67" s="400">
        <f t="shared" si="171"/>
        <v>0</v>
      </c>
      <c r="Z67" s="400">
        <f t="shared" si="172"/>
        <v>0</v>
      </c>
      <c r="AA67" s="400">
        <f t="shared" si="173"/>
        <v>0</v>
      </c>
      <c r="AB67" s="400">
        <f t="shared" si="174"/>
        <v>8.9999999999999993E-3</v>
      </c>
      <c r="AC67" s="165">
        <f t="shared" si="175"/>
        <v>8.9999999999999993E-3</v>
      </c>
      <c r="AD67" s="289">
        <f t="shared" si="176"/>
        <v>1</v>
      </c>
      <c r="AE67" s="137">
        <v>52</v>
      </c>
      <c r="AF67" s="137">
        <v>52</v>
      </c>
      <c r="AG67" s="137">
        <v>52</v>
      </c>
      <c r="AH67" s="137">
        <v>52</v>
      </c>
      <c r="AI67" s="137">
        <v>52</v>
      </c>
      <c r="AJ67" s="153">
        <f t="shared" si="177"/>
        <v>0</v>
      </c>
      <c r="AK67" s="128">
        <f t="shared" si="177"/>
        <v>0</v>
      </c>
      <c r="AL67" s="128">
        <f t="shared" si="177"/>
        <v>0</v>
      </c>
      <c r="AM67" s="128">
        <f t="shared" si="177"/>
        <v>0</v>
      </c>
      <c r="AN67" s="128">
        <f t="shared" si="177"/>
        <v>0.46800000000000003</v>
      </c>
      <c r="AO67" s="411">
        <f t="shared" si="178"/>
        <v>0.46800000000000003</v>
      </c>
      <c r="AP67" s="359">
        <f t="shared" si="179"/>
        <v>0</v>
      </c>
      <c r="AQ67" s="128">
        <f t="shared" si="180"/>
        <v>0</v>
      </c>
      <c r="AR67" s="128">
        <f t="shared" si="181"/>
        <v>0</v>
      </c>
      <c r="AS67" s="128">
        <f t="shared" si="182"/>
        <v>0</v>
      </c>
      <c r="AT67" s="128">
        <f t="shared" si="183"/>
        <v>0</v>
      </c>
      <c r="AU67" s="128">
        <f t="shared" si="184"/>
        <v>0</v>
      </c>
      <c r="AV67" s="312">
        <f t="shared" si="185"/>
        <v>0</v>
      </c>
      <c r="AW67" s="277">
        <f t="shared" si="186"/>
        <v>0</v>
      </c>
      <c r="AX67" s="211">
        <f t="shared" si="187"/>
        <v>0</v>
      </c>
      <c r="AY67" s="211">
        <f t="shared" si="188"/>
        <v>0</v>
      </c>
      <c r="AZ67" s="211">
        <f t="shared" si="189"/>
        <v>0</v>
      </c>
      <c r="BA67" s="211">
        <f t="shared" si="190"/>
        <v>0.46800000000000003</v>
      </c>
      <c r="BB67" s="128">
        <f t="shared" si="191"/>
        <v>0.46800000000000003</v>
      </c>
      <c r="BC67" s="426">
        <f t="shared" si="192"/>
        <v>1</v>
      </c>
      <c r="BD67" s="17"/>
    </row>
    <row r="68" spans="2:56" s="1" customFormat="1" ht="28.5" customHeight="1">
      <c r="B68" s="15"/>
      <c r="C68" s="360"/>
      <c r="D68" s="365" t="s">
        <v>243</v>
      </c>
      <c r="E68" s="366"/>
      <c r="F68" s="366"/>
      <c r="G68" s="366"/>
      <c r="H68" s="366"/>
      <c r="I68" s="366"/>
      <c r="J68" s="366"/>
      <c r="K68" s="366"/>
      <c r="L68" s="366"/>
      <c r="M68" s="366"/>
      <c r="N68" s="366"/>
      <c r="O68" s="366"/>
      <c r="P68" s="366"/>
      <c r="Q68" s="366"/>
      <c r="R68" s="366"/>
      <c r="S68" s="366"/>
      <c r="T68" s="366"/>
      <c r="U68" s="366"/>
      <c r="V68" s="366"/>
      <c r="W68" s="366"/>
      <c r="X68" s="366"/>
      <c r="Y68" s="366"/>
      <c r="Z68" s="366"/>
      <c r="AA68" s="366"/>
      <c r="AB68" s="366"/>
      <c r="AC68" s="366"/>
      <c r="AD68" s="366"/>
      <c r="AE68" s="366"/>
      <c r="AF68" s="366"/>
      <c r="AG68" s="366"/>
      <c r="AH68" s="367"/>
      <c r="AI68" s="367"/>
      <c r="AJ68" s="368">
        <f t="shared" ref="AJ68:AU68" si="193">AJ71+AJ74+AJ78+AJ81</f>
        <v>3493.9670000000001</v>
      </c>
      <c r="AK68" s="368">
        <f t="shared" si="193"/>
        <v>1558.9930000000002</v>
      </c>
      <c r="AL68" s="368">
        <f t="shared" si="193"/>
        <v>1539.8140000000008</v>
      </c>
      <c r="AM68" s="368">
        <f t="shared" si="193"/>
        <v>-1988.4590000000001</v>
      </c>
      <c r="AN68" s="368">
        <f t="shared" si="193"/>
        <v>2341.3260000000005</v>
      </c>
      <c r="AO68" s="415">
        <f t="shared" si="193"/>
        <v>6945.6409999999978</v>
      </c>
      <c r="AP68" s="368">
        <f t="shared" si="193"/>
        <v>0</v>
      </c>
      <c r="AQ68" s="368">
        <f t="shared" si="193"/>
        <v>0</v>
      </c>
      <c r="AR68" s="368">
        <f t="shared" si="193"/>
        <v>0</v>
      </c>
      <c r="AS68" s="368">
        <f t="shared" si="193"/>
        <v>0</v>
      </c>
      <c r="AT68" s="368">
        <f t="shared" si="193"/>
        <v>0</v>
      </c>
      <c r="AU68" s="368">
        <f t="shared" si="193"/>
        <v>0</v>
      </c>
      <c r="AV68" s="415">
        <f t="shared" si="185"/>
        <v>0</v>
      </c>
      <c r="AW68" s="368">
        <f t="shared" ref="AW68:BB68" si="194">AW71+AW74+AW78+AW81</f>
        <v>3493.9670000000001</v>
      </c>
      <c r="AX68" s="368">
        <f t="shared" si="194"/>
        <v>1558.9930000000002</v>
      </c>
      <c r="AY68" s="368">
        <f t="shared" si="194"/>
        <v>1539.8140000000008</v>
      </c>
      <c r="AZ68" s="368">
        <f t="shared" si="194"/>
        <v>-1988.4590000000001</v>
      </c>
      <c r="BA68" s="368">
        <f t="shared" si="194"/>
        <v>2341.3260000000005</v>
      </c>
      <c r="BB68" s="368">
        <f t="shared" si="194"/>
        <v>6945.6409999999978</v>
      </c>
      <c r="BC68" s="426">
        <f t="shared" si="192"/>
        <v>1</v>
      </c>
      <c r="BD68" s="17"/>
    </row>
    <row r="69" spans="2:56" s="1" customFormat="1" ht="28.5" hidden="1" customHeight="1" outlineLevel="1">
      <c r="B69" s="15"/>
      <c r="C69" s="360"/>
      <c r="D69" s="365" t="s">
        <v>1435</v>
      </c>
      <c r="E69" s="366"/>
      <c r="F69" s="366"/>
      <c r="G69" s="366"/>
      <c r="H69" s="366"/>
      <c r="I69" s="366"/>
      <c r="J69" s="366"/>
      <c r="K69" s="366"/>
      <c r="L69" s="366"/>
      <c r="M69" s="366"/>
      <c r="N69" s="366"/>
      <c r="O69" s="366"/>
      <c r="P69" s="366"/>
      <c r="Q69" s="366"/>
      <c r="R69" s="366"/>
      <c r="S69" s="366"/>
      <c r="T69" s="366"/>
      <c r="U69" s="366"/>
      <c r="V69" s="366"/>
      <c r="W69" s="366"/>
      <c r="X69" s="366"/>
      <c r="Y69" s="366"/>
      <c r="Z69" s="366"/>
      <c r="AA69" s="366"/>
      <c r="AB69" s="366"/>
      <c r="AC69" s="366"/>
      <c r="AD69" s="366"/>
      <c r="AE69" s="366"/>
      <c r="AF69" s="366"/>
      <c r="AG69" s="366"/>
      <c r="AH69" s="367"/>
      <c r="AI69" s="367"/>
      <c r="AJ69" s="472">
        <f>SUMIF(AJ72:AJ73,"&lt;0")+SUMIF(AJ75:AJ77,"&lt;0")+SUMIF(AJ79:AJ80,"&lt;0")+SUMIF(AJ82:AJ101,"&lt;0")</f>
        <v>0</v>
      </c>
      <c r="AK69" s="472">
        <f>SUMIF(AK72:AK73,"&lt;0")+SUMIF(AK75:AK77,"&lt;0")+SUMIF(AK79:AK80,"&lt;0")+SUMIF(AK82:AK101,"&lt;0")</f>
        <v>-1536.365</v>
      </c>
      <c r="AL69" s="472">
        <f>SUMIF(AL72:AL73,"&lt;0")+SUMIF(AL75:AL77,"&lt;0")+SUMIF(AL79:AL80,"&lt;0")+SUMIF(AL82:AL101,"&lt;0")</f>
        <v>-2329.614</v>
      </c>
      <c r="AM69" s="472">
        <f>SUMIF(AM72:AM73,"&lt;0")+SUMIF(AM75:AM77,"&lt;0")+SUMIF(AM79:AM80,"&lt;0")+SUMIF(AM82:AM101,"&lt;0")</f>
        <v>-2068.3200000000002</v>
      </c>
      <c r="AN69" s="472">
        <f>SUMIF(AN72:AN73,"&lt;0")+SUMIF(AN75:AN77,"&lt;0")+SUMIF(AN79:AN80,"&lt;0")+SUMIF(AN82:AN101,"&lt;0")</f>
        <v>-1401.8320000000001</v>
      </c>
      <c r="AO69" s="472"/>
      <c r="AP69" s="472"/>
      <c r="AQ69" s="472"/>
      <c r="AR69" s="472"/>
      <c r="AS69" s="472"/>
      <c r="AT69" s="472"/>
      <c r="AU69" s="472"/>
      <c r="AV69" s="473"/>
      <c r="AW69" s="472"/>
      <c r="AX69" s="472"/>
      <c r="AY69" s="472"/>
      <c r="AZ69" s="472"/>
      <c r="BA69" s="472"/>
      <c r="BB69" s="472"/>
      <c r="BC69" s="474"/>
      <c r="BD69" s="17"/>
    </row>
    <row r="70" spans="2:56" s="1" customFormat="1" ht="28.5" hidden="1" customHeight="1" outlineLevel="1">
      <c r="B70" s="15"/>
      <c r="C70" s="360"/>
      <c r="D70" s="365" t="s">
        <v>1436</v>
      </c>
      <c r="E70" s="366"/>
      <c r="F70" s="366"/>
      <c r="G70" s="366"/>
      <c r="H70" s="366"/>
      <c r="I70" s="366"/>
      <c r="J70" s="366"/>
      <c r="K70" s="366"/>
      <c r="L70" s="366"/>
      <c r="M70" s="366"/>
      <c r="N70" s="366"/>
      <c r="O70" s="366"/>
      <c r="P70" s="366"/>
      <c r="Q70" s="366"/>
      <c r="R70" s="366"/>
      <c r="S70" s="366"/>
      <c r="T70" s="366"/>
      <c r="U70" s="366"/>
      <c r="V70" s="366"/>
      <c r="W70" s="366"/>
      <c r="X70" s="366"/>
      <c r="Y70" s="366"/>
      <c r="Z70" s="366"/>
      <c r="AA70" s="366"/>
      <c r="AB70" s="366"/>
      <c r="AC70" s="366"/>
      <c r="AD70" s="366"/>
      <c r="AE70" s="366"/>
      <c r="AF70" s="366"/>
      <c r="AG70" s="366"/>
      <c r="AH70" s="367"/>
      <c r="AI70" s="367"/>
      <c r="AJ70" s="472">
        <f>SUMIF(AJ72:AJ73,"&gt;0")+SUMIF(AJ75:AJ77,"&gt;0")+SUMIF(AJ79:AJ80,"&gt;0")+SUMIF(AJ82:AJ101,"&gt;0")</f>
        <v>3493.9670000000001</v>
      </c>
      <c r="AK70" s="472">
        <f>SUMIF(AK72:AK73,"&gt;0")+SUMIF(AK75:AK77,"&gt;0")+SUMIF(AK79:AK80,"&gt;0")+SUMIF(AK82:AK101,"&gt;0")</f>
        <v>3095.3580000000002</v>
      </c>
      <c r="AL70" s="472">
        <f>SUMIF(AL72:AL73,"&gt;0")+SUMIF(AL75:AL77,"&gt;0")+SUMIF(AL79:AL80,"&gt;0")+SUMIF(AL82:AL101,"&gt;0")</f>
        <v>3869.4280000000008</v>
      </c>
      <c r="AM70" s="472">
        <f>SUMIF(AM72:AM73,"&gt;0")+SUMIF(AM75:AM77,"&gt;0")+SUMIF(AM79:AM80,"&gt;0")+SUMIF(AM82:AM101,"&gt;0")</f>
        <v>79.861000000000004</v>
      </c>
      <c r="AN70" s="472">
        <f>SUMIF(AN72:AN73,"&gt;0")+SUMIF(AN75:AN77,"&gt;0")+SUMIF(AN79:AN80,"&gt;0")+SUMIF(AN82:AN101,"&gt;0")</f>
        <v>3743.1580000000004</v>
      </c>
      <c r="AO70" s="473"/>
      <c r="AP70" s="472"/>
      <c r="AQ70" s="472"/>
      <c r="AR70" s="472"/>
      <c r="AS70" s="472"/>
      <c r="AT70" s="472"/>
      <c r="AU70" s="472"/>
      <c r="AV70" s="473"/>
      <c r="AW70" s="472"/>
      <c r="AX70" s="472"/>
      <c r="AY70" s="472"/>
      <c r="AZ70" s="472"/>
      <c r="BA70" s="472"/>
      <c r="BB70" s="472"/>
      <c r="BC70" s="474"/>
      <c r="BD70" s="17"/>
    </row>
    <row r="71" spans="2:56" s="369" customFormat="1" ht="37.35" customHeight="1" collapsed="1">
      <c r="B71" s="370"/>
      <c r="C71" s="371"/>
      <c r="D71" s="176" t="s">
        <v>481</v>
      </c>
      <c r="E71" s="176"/>
      <c r="F71" s="176"/>
      <c r="G71" s="176"/>
      <c r="H71" s="176"/>
      <c r="I71" s="176"/>
      <c r="J71" s="176"/>
      <c r="K71" s="176"/>
      <c r="L71" s="175"/>
      <c r="M71" s="175"/>
      <c r="N71" s="175"/>
      <c r="O71" s="175"/>
      <c r="P71" s="175"/>
      <c r="Q71" s="176"/>
      <c r="R71" s="175"/>
      <c r="S71" s="175"/>
      <c r="T71" s="175"/>
      <c r="U71" s="175"/>
      <c r="V71" s="175"/>
      <c r="W71" s="175"/>
      <c r="X71" s="176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61">
        <f t="shared" ref="AJ71:AO71" si="195">AJ72+AJ73</f>
        <v>0</v>
      </c>
      <c r="AK71" s="161">
        <f t="shared" si="195"/>
        <v>0</v>
      </c>
      <c r="AL71" s="161">
        <f t="shared" si="195"/>
        <v>-261.29399999999998</v>
      </c>
      <c r="AM71" s="161">
        <f t="shared" si="195"/>
        <v>0</v>
      </c>
      <c r="AN71" s="161">
        <f t="shared" si="195"/>
        <v>-761.90700000000004</v>
      </c>
      <c r="AO71" s="410">
        <f t="shared" si="195"/>
        <v>-1023.201</v>
      </c>
      <c r="AP71" s="161">
        <f t="shared" ref="AP71:AU71" si="196">AP72+AP73</f>
        <v>0</v>
      </c>
      <c r="AQ71" s="161">
        <f t="shared" si="196"/>
        <v>0</v>
      </c>
      <c r="AR71" s="161">
        <f t="shared" si="196"/>
        <v>0</v>
      </c>
      <c r="AS71" s="161">
        <f t="shared" si="196"/>
        <v>0</v>
      </c>
      <c r="AT71" s="161">
        <f t="shared" si="196"/>
        <v>0</v>
      </c>
      <c r="AU71" s="161">
        <f t="shared" si="196"/>
        <v>0</v>
      </c>
      <c r="AV71" s="410"/>
      <c r="AW71" s="161">
        <f t="shared" ref="AW71:BB71" si="197">AW72+AW73</f>
        <v>0</v>
      </c>
      <c r="AX71" s="161">
        <f t="shared" si="197"/>
        <v>0</v>
      </c>
      <c r="AY71" s="161">
        <f t="shared" si="197"/>
        <v>-261.29399999999998</v>
      </c>
      <c r="AZ71" s="161">
        <f t="shared" si="197"/>
        <v>0</v>
      </c>
      <c r="BA71" s="161">
        <f t="shared" si="197"/>
        <v>-761.90700000000004</v>
      </c>
      <c r="BB71" s="161">
        <f t="shared" si="197"/>
        <v>-1023.201</v>
      </c>
      <c r="BC71" s="422"/>
      <c r="BD71" s="372"/>
    </row>
    <row r="72" spans="2:56" s="7" customFormat="1" ht="37.35" customHeight="1">
      <c r="B72" s="82"/>
      <c r="C72" s="93">
        <v>1</v>
      </c>
      <c r="D72" s="93" t="s">
        <v>149</v>
      </c>
      <c r="E72" s="94" t="s">
        <v>482</v>
      </c>
      <c r="F72" s="500" t="s">
        <v>483</v>
      </c>
      <c r="G72" s="501"/>
      <c r="H72" s="501"/>
      <c r="I72" s="502"/>
      <c r="J72" s="95" t="s">
        <v>396</v>
      </c>
      <c r="K72" s="128">
        <v>0</v>
      </c>
      <c r="L72" s="128">
        <v>0</v>
      </c>
      <c r="M72" s="128">
        <v>-1.125</v>
      </c>
      <c r="N72" s="128">
        <v>0</v>
      </c>
      <c r="O72" s="128">
        <v>-3.456</v>
      </c>
      <c r="P72" s="403">
        <f>SUM(K72:O72)</f>
        <v>-4.5809999999999995</v>
      </c>
      <c r="Q72" s="400">
        <v>0</v>
      </c>
      <c r="R72" s="400">
        <v>0</v>
      </c>
      <c r="S72" s="400">
        <v>0</v>
      </c>
      <c r="T72" s="400">
        <v>0</v>
      </c>
      <c r="U72" s="400">
        <v>0</v>
      </c>
      <c r="V72" s="165">
        <f>SUM(Q72:U72)</f>
        <v>0</v>
      </c>
      <c r="W72" s="289">
        <f>V72/P72</f>
        <v>0</v>
      </c>
      <c r="X72" s="400">
        <f t="shared" ref="X72:X73" si="198">K72-Q72</f>
        <v>0</v>
      </c>
      <c r="Y72" s="400">
        <f t="shared" ref="Y72:Y73" si="199">L72-R72</f>
        <v>0</v>
      </c>
      <c r="Z72" s="400">
        <f t="shared" ref="Z72:Z73" si="200">M72-S72</f>
        <v>-1.125</v>
      </c>
      <c r="AA72" s="400">
        <f t="shared" ref="AA72:AA73" si="201">N72-T72</f>
        <v>0</v>
      </c>
      <c r="AB72" s="400">
        <f t="shared" ref="AB72:AB73" si="202">O72-U72</f>
        <v>-3.456</v>
      </c>
      <c r="AC72" s="165">
        <f>SUM(X72:AB72)</f>
        <v>-4.5809999999999995</v>
      </c>
      <c r="AD72" s="289">
        <f t="shared" ref="AD72:AD73" si="203">AC72/P72</f>
        <v>1</v>
      </c>
      <c r="AE72" s="137">
        <v>158.36000000000001</v>
      </c>
      <c r="AF72" s="137">
        <v>158.36000000000001</v>
      </c>
      <c r="AG72" s="137">
        <v>158.36000000000001</v>
      </c>
      <c r="AH72" s="137">
        <v>158.36000000000001</v>
      </c>
      <c r="AI72" s="137">
        <v>158.36000000000001</v>
      </c>
      <c r="AJ72" s="153">
        <f t="shared" ref="AJ72:AN73" si="204">ROUND(AE72*K72,3)</f>
        <v>0</v>
      </c>
      <c r="AK72" s="128">
        <f t="shared" si="204"/>
        <v>0</v>
      </c>
      <c r="AL72" s="128">
        <f t="shared" si="204"/>
        <v>-178.155</v>
      </c>
      <c r="AM72" s="128">
        <f t="shared" si="204"/>
        <v>0</v>
      </c>
      <c r="AN72" s="128">
        <f t="shared" si="204"/>
        <v>-547.29200000000003</v>
      </c>
      <c r="AO72" s="411">
        <f>SUM(AJ72:AN72)</f>
        <v>-725.447</v>
      </c>
      <c r="AP72" s="211">
        <f t="shared" ref="AP72:AP73" si="205">ROUND(AE72*Q72,3)</f>
        <v>0</v>
      </c>
      <c r="AQ72" s="211">
        <f t="shared" ref="AQ72:AQ73" si="206">ROUND(AF72*R72,3)</f>
        <v>0</v>
      </c>
      <c r="AR72" s="211">
        <f t="shared" ref="AR72:AR73" si="207">ROUND(AG72*S72,3)</f>
        <v>0</v>
      </c>
      <c r="AS72" s="211">
        <f t="shared" ref="AS72:AS73" si="208">ROUND(AH72*T72,3)</f>
        <v>0</v>
      </c>
      <c r="AT72" s="211">
        <f t="shared" ref="AT72:AT73" si="209">ROUND(AI72*U72,3)</f>
        <v>0</v>
      </c>
      <c r="AU72" s="128">
        <f>SUM(AP72:AT72)</f>
        <v>0</v>
      </c>
      <c r="AV72" s="312">
        <f t="shared" ref="AV72:AV73" si="210">AU72/AO72</f>
        <v>0</v>
      </c>
      <c r="AW72" s="277">
        <f t="shared" ref="AW72:AW73" si="211">AJ72-AP72</f>
        <v>0</v>
      </c>
      <c r="AX72" s="211">
        <f t="shared" ref="AX72:AX73" si="212">AK72-AQ72</f>
        <v>0</v>
      </c>
      <c r="AY72" s="211">
        <f t="shared" ref="AY72:AY73" si="213">AL72-AR72</f>
        <v>-178.155</v>
      </c>
      <c r="AZ72" s="211">
        <f t="shared" ref="AZ72:AZ73" si="214">AM72-AS72</f>
        <v>0</v>
      </c>
      <c r="BA72" s="211">
        <f t="shared" ref="BA72:BA73" si="215">AN72-AT72</f>
        <v>-547.29200000000003</v>
      </c>
      <c r="BB72" s="128">
        <f>SUM(AW72:BA72)</f>
        <v>-725.447</v>
      </c>
      <c r="BC72" s="426">
        <f t="shared" ref="BC72:BC73" si="216">BB72/AO72</f>
        <v>1</v>
      </c>
      <c r="BD72" s="85"/>
    </row>
    <row r="73" spans="2:56" s="7" customFormat="1" ht="37.35" customHeight="1">
      <c r="B73" s="82"/>
      <c r="C73" s="93">
        <v>2</v>
      </c>
      <c r="D73" s="93" t="s">
        <v>149</v>
      </c>
      <c r="E73" s="94" t="s">
        <v>484</v>
      </c>
      <c r="F73" s="500" t="s">
        <v>485</v>
      </c>
      <c r="G73" s="501"/>
      <c r="H73" s="501"/>
      <c r="I73" s="502"/>
      <c r="J73" s="95" t="s">
        <v>152</v>
      </c>
      <c r="K73" s="128">
        <v>0</v>
      </c>
      <c r="L73" s="128">
        <v>0</v>
      </c>
      <c r="M73" s="128">
        <v>-0.129</v>
      </c>
      <c r="N73" s="128">
        <v>0</v>
      </c>
      <c r="O73" s="128">
        <v>-0.33300000000000002</v>
      </c>
      <c r="P73" s="403">
        <f>SUM(K73:O73)</f>
        <v>-0.46200000000000002</v>
      </c>
      <c r="Q73" s="400">
        <v>0</v>
      </c>
      <c r="R73" s="400">
        <v>0</v>
      </c>
      <c r="S73" s="400">
        <v>0</v>
      </c>
      <c r="T73" s="400">
        <v>0</v>
      </c>
      <c r="U73" s="400">
        <v>0</v>
      </c>
      <c r="V73" s="165">
        <f>SUM(Q73:U73)</f>
        <v>0</v>
      </c>
      <c r="W73" s="289">
        <f>V73/P73</f>
        <v>0</v>
      </c>
      <c r="X73" s="400">
        <f t="shared" si="198"/>
        <v>0</v>
      </c>
      <c r="Y73" s="400">
        <f t="shared" si="199"/>
        <v>0</v>
      </c>
      <c r="Z73" s="400">
        <f t="shared" si="200"/>
        <v>-0.129</v>
      </c>
      <c r="AA73" s="400">
        <f t="shared" si="201"/>
        <v>0</v>
      </c>
      <c r="AB73" s="400">
        <f t="shared" si="202"/>
        <v>-0.33300000000000002</v>
      </c>
      <c r="AC73" s="165">
        <f>SUM(X73:AB73)</f>
        <v>-0.46200000000000002</v>
      </c>
      <c r="AD73" s="289">
        <f t="shared" si="203"/>
        <v>1</v>
      </c>
      <c r="AE73" s="137">
        <v>644.49</v>
      </c>
      <c r="AF73" s="137">
        <v>644.49</v>
      </c>
      <c r="AG73" s="137">
        <v>644.49</v>
      </c>
      <c r="AH73" s="137">
        <v>644.49</v>
      </c>
      <c r="AI73" s="137">
        <v>644.49</v>
      </c>
      <c r="AJ73" s="153">
        <f t="shared" si="204"/>
        <v>0</v>
      </c>
      <c r="AK73" s="128">
        <f t="shared" si="204"/>
        <v>0</v>
      </c>
      <c r="AL73" s="128">
        <f t="shared" si="204"/>
        <v>-83.138999999999996</v>
      </c>
      <c r="AM73" s="128">
        <f t="shared" si="204"/>
        <v>0</v>
      </c>
      <c r="AN73" s="128">
        <f t="shared" si="204"/>
        <v>-214.61500000000001</v>
      </c>
      <c r="AO73" s="411">
        <f>SUM(AJ73:AN73)</f>
        <v>-297.75400000000002</v>
      </c>
      <c r="AP73" s="211">
        <f t="shared" si="205"/>
        <v>0</v>
      </c>
      <c r="AQ73" s="211">
        <f t="shared" si="206"/>
        <v>0</v>
      </c>
      <c r="AR73" s="211">
        <f t="shared" si="207"/>
        <v>0</v>
      </c>
      <c r="AS73" s="211">
        <f t="shared" si="208"/>
        <v>0</v>
      </c>
      <c r="AT73" s="211">
        <f t="shared" si="209"/>
        <v>0</v>
      </c>
      <c r="AU73" s="128">
        <f>SUM(AP73:AT73)</f>
        <v>0</v>
      </c>
      <c r="AV73" s="312">
        <f t="shared" si="210"/>
        <v>0</v>
      </c>
      <c r="AW73" s="277">
        <f t="shared" si="211"/>
        <v>0</v>
      </c>
      <c r="AX73" s="211">
        <f t="shared" si="212"/>
        <v>0</v>
      </c>
      <c r="AY73" s="211">
        <f t="shared" si="213"/>
        <v>-83.138999999999996</v>
      </c>
      <c r="AZ73" s="211">
        <f t="shared" si="214"/>
        <v>0</v>
      </c>
      <c r="BA73" s="211">
        <f t="shared" si="215"/>
        <v>-214.61500000000001</v>
      </c>
      <c r="BB73" s="128">
        <f>SUM(AW73:BA73)</f>
        <v>-297.75400000000002</v>
      </c>
      <c r="BC73" s="426">
        <f t="shared" si="216"/>
        <v>1</v>
      </c>
      <c r="BD73" s="85"/>
    </row>
    <row r="74" spans="2:56" s="373" customFormat="1" ht="28.5" customHeight="1">
      <c r="B74" s="374"/>
      <c r="C74" s="375"/>
      <c r="D74" s="176" t="s">
        <v>131</v>
      </c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J74" s="161">
        <f t="shared" ref="AJ74:AO74" si="217">SUM(AJ75:AJ77)</f>
        <v>399.78399999999999</v>
      </c>
      <c r="AK74" s="161">
        <f t="shared" si="217"/>
        <v>-1536.365</v>
      </c>
      <c r="AL74" s="161">
        <f t="shared" si="217"/>
        <v>-2068.3200000000002</v>
      </c>
      <c r="AM74" s="161">
        <f t="shared" si="217"/>
        <v>-2068.3200000000002</v>
      </c>
      <c r="AN74" s="161">
        <f t="shared" si="217"/>
        <v>-639.92500000000007</v>
      </c>
      <c r="AO74" s="410">
        <f t="shared" si="217"/>
        <v>-5913.1459999999997</v>
      </c>
      <c r="AP74" s="161">
        <f t="shared" ref="AP74:AU74" si="218">SUM(AP75:AP77)</f>
        <v>0</v>
      </c>
      <c r="AQ74" s="161">
        <f t="shared" si="218"/>
        <v>0</v>
      </c>
      <c r="AR74" s="161">
        <f t="shared" si="218"/>
        <v>0</v>
      </c>
      <c r="AS74" s="161">
        <f t="shared" si="218"/>
        <v>0</v>
      </c>
      <c r="AT74" s="161">
        <f t="shared" si="218"/>
        <v>0</v>
      </c>
      <c r="AU74" s="161">
        <f t="shared" si="218"/>
        <v>0</v>
      </c>
      <c r="AV74" s="425"/>
      <c r="AW74" s="161">
        <f t="shared" ref="AW74:BB74" si="219">SUM(AW75:AW77)</f>
        <v>399.78399999999999</v>
      </c>
      <c r="AX74" s="161">
        <f t="shared" si="219"/>
        <v>-1536.365</v>
      </c>
      <c r="AY74" s="161">
        <f t="shared" si="219"/>
        <v>-2068.3200000000002</v>
      </c>
      <c r="AZ74" s="161">
        <f t="shared" si="219"/>
        <v>-2068.3200000000002</v>
      </c>
      <c r="BA74" s="161">
        <f t="shared" si="219"/>
        <v>-639.92500000000007</v>
      </c>
      <c r="BB74" s="161">
        <f t="shared" si="219"/>
        <v>-5913.1459999999997</v>
      </c>
      <c r="BC74" s="421"/>
      <c r="BD74" s="376"/>
    </row>
    <row r="75" spans="2:56" s="1" customFormat="1" ht="28.5" customHeight="1">
      <c r="B75" s="15"/>
      <c r="C75" s="93">
        <v>3</v>
      </c>
      <c r="D75" s="93" t="s">
        <v>149</v>
      </c>
      <c r="E75" s="94" t="s">
        <v>166</v>
      </c>
      <c r="F75" s="500" t="s">
        <v>167</v>
      </c>
      <c r="G75" s="501"/>
      <c r="H75" s="501"/>
      <c r="I75" s="502"/>
      <c r="J75" s="95" t="s">
        <v>168</v>
      </c>
      <c r="K75" s="128">
        <f>K33+K36-K30</f>
        <v>71.909999999999968</v>
      </c>
      <c r="L75" s="128">
        <f t="shared" ref="L75:O76" si="220">-L30</f>
        <v>-274</v>
      </c>
      <c r="M75" s="128">
        <f t="shared" si="220"/>
        <v>-372</v>
      </c>
      <c r="N75" s="128">
        <f t="shared" si="220"/>
        <v>-372</v>
      </c>
      <c r="O75" s="128">
        <f t="shared" si="220"/>
        <v>-115</v>
      </c>
      <c r="P75" s="403">
        <f>SUM(K75:O75)</f>
        <v>-1061.0900000000001</v>
      </c>
      <c r="Q75" s="400">
        <v>0</v>
      </c>
      <c r="R75" s="128">
        <v>0</v>
      </c>
      <c r="S75" s="128">
        <v>0</v>
      </c>
      <c r="T75" s="128">
        <v>0</v>
      </c>
      <c r="U75" s="128">
        <v>0</v>
      </c>
      <c r="V75" s="165">
        <f>SUM(Q75:U75)</f>
        <v>0</v>
      </c>
      <c r="W75" s="289">
        <f>V75/P75</f>
        <v>0</v>
      </c>
      <c r="X75" s="400">
        <f t="shared" ref="X75:X77" si="221">K75-Q75</f>
        <v>71.909999999999968</v>
      </c>
      <c r="Y75" s="128">
        <f t="shared" ref="Y75:Y77" si="222">L75-R75</f>
        <v>-274</v>
      </c>
      <c r="Z75" s="128">
        <f t="shared" ref="Z75:Z77" si="223">M75-S75</f>
        <v>-372</v>
      </c>
      <c r="AA75" s="128">
        <f t="shared" ref="AA75:AA77" si="224">N75-T75</f>
        <v>-372</v>
      </c>
      <c r="AB75" s="128">
        <f t="shared" ref="AB75:AB77" si="225">O75-U75</f>
        <v>-115</v>
      </c>
      <c r="AC75" s="165">
        <f>SUM(X75:AB75)</f>
        <v>-1061.0900000000001</v>
      </c>
      <c r="AD75" s="289">
        <f t="shared" ref="AD75:AD77" si="226">AC75/P75</f>
        <v>1</v>
      </c>
      <c r="AE75" s="137">
        <v>0.26</v>
      </c>
      <c r="AF75" s="137">
        <v>0.26</v>
      </c>
      <c r="AG75" s="137">
        <v>0.26</v>
      </c>
      <c r="AH75" s="137">
        <v>0.26</v>
      </c>
      <c r="AI75" s="137">
        <v>0.26</v>
      </c>
      <c r="AJ75" s="153">
        <f t="shared" ref="AJ75:AN77" si="227">ROUND(AE75*K75,3)</f>
        <v>18.696999999999999</v>
      </c>
      <c r="AK75" s="128">
        <f t="shared" si="227"/>
        <v>-71.239999999999995</v>
      </c>
      <c r="AL75" s="128">
        <f t="shared" si="227"/>
        <v>-96.72</v>
      </c>
      <c r="AM75" s="128">
        <f t="shared" si="227"/>
        <v>-96.72</v>
      </c>
      <c r="AN75" s="128">
        <f t="shared" si="227"/>
        <v>-29.9</v>
      </c>
      <c r="AO75" s="411">
        <f>SUM(AJ75:AN75)</f>
        <v>-275.88299999999998</v>
      </c>
      <c r="AP75" s="359">
        <f t="shared" ref="AP75:AP77" si="228">ROUND(AE75*Q75,3)</f>
        <v>0</v>
      </c>
      <c r="AQ75" s="128">
        <f t="shared" ref="AQ75:AQ77" si="229">ROUND(AF75*R75,3)</f>
        <v>0</v>
      </c>
      <c r="AR75" s="128">
        <f t="shared" ref="AR75:AR77" si="230">ROUND(AG75*S75,3)</f>
        <v>0</v>
      </c>
      <c r="AS75" s="128">
        <f t="shared" ref="AS75:AS77" si="231">ROUND(AH75*T75,3)</f>
        <v>0</v>
      </c>
      <c r="AT75" s="128">
        <f t="shared" ref="AT75:AT77" si="232">ROUND(AI75*U75,3)</f>
        <v>0</v>
      </c>
      <c r="AU75" s="128">
        <f>SUM(AP75:AT75)</f>
        <v>0</v>
      </c>
      <c r="AV75" s="312">
        <f t="shared" ref="AV75:AV77" si="233">AU75/AO75</f>
        <v>0</v>
      </c>
      <c r="AW75" s="359">
        <f t="shared" ref="AW75:AW77" si="234">AJ75-AP75</f>
        <v>18.696999999999999</v>
      </c>
      <c r="AX75" s="128">
        <f t="shared" ref="AX75:AX77" si="235">AK75-AQ75</f>
        <v>-71.239999999999995</v>
      </c>
      <c r="AY75" s="128">
        <f t="shared" ref="AY75:AY77" si="236">AL75-AR75</f>
        <v>-96.72</v>
      </c>
      <c r="AZ75" s="128">
        <f t="shared" ref="AZ75:AZ77" si="237">AM75-AS75</f>
        <v>-96.72</v>
      </c>
      <c r="BA75" s="128">
        <f t="shared" ref="BA75:BA77" si="238">AN75-AT75</f>
        <v>-29.9</v>
      </c>
      <c r="BB75" s="128">
        <f>SUM(AW75:BA75)</f>
        <v>-275.88299999999998</v>
      </c>
      <c r="BC75" s="426">
        <f t="shared" ref="BC75:BC77" si="239">BB75/AO75</f>
        <v>1</v>
      </c>
      <c r="BD75" s="17"/>
    </row>
    <row r="76" spans="2:56" s="1" customFormat="1" ht="28.5" customHeight="1">
      <c r="B76" s="15"/>
      <c r="C76" s="102">
        <v>4</v>
      </c>
      <c r="D76" s="102" t="s">
        <v>171</v>
      </c>
      <c r="E76" s="103" t="s">
        <v>172</v>
      </c>
      <c r="F76" s="507" t="s">
        <v>173</v>
      </c>
      <c r="G76" s="508"/>
      <c r="H76" s="508"/>
      <c r="I76" s="509"/>
      <c r="J76" s="104" t="s">
        <v>168</v>
      </c>
      <c r="K76" s="133">
        <f>K35+K38-K31</f>
        <v>71.850999999999999</v>
      </c>
      <c r="L76" s="128">
        <f t="shared" si="220"/>
        <v>-294.846</v>
      </c>
      <c r="M76" s="128">
        <f t="shared" si="220"/>
        <v>-372</v>
      </c>
      <c r="N76" s="128">
        <f t="shared" si="220"/>
        <v>-372</v>
      </c>
      <c r="O76" s="128">
        <f t="shared" si="220"/>
        <v>-115.846</v>
      </c>
      <c r="P76" s="404">
        <f>SUM(K76:O76)</f>
        <v>-1082.8409999999999</v>
      </c>
      <c r="Q76" s="401">
        <v>0</v>
      </c>
      <c r="R76" s="133">
        <v>0</v>
      </c>
      <c r="S76" s="133">
        <v>0</v>
      </c>
      <c r="T76" s="133">
        <v>0</v>
      </c>
      <c r="U76" s="133">
        <v>0</v>
      </c>
      <c r="V76" s="177">
        <f>SUM(Q76:U76)</f>
        <v>0</v>
      </c>
      <c r="W76" s="289">
        <f>V76/P76</f>
        <v>0</v>
      </c>
      <c r="X76" s="401">
        <f t="shared" si="221"/>
        <v>71.850999999999999</v>
      </c>
      <c r="Y76" s="133">
        <f t="shared" si="222"/>
        <v>-294.846</v>
      </c>
      <c r="Z76" s="133">
        <f t="shared" si="223"/>
        <v>-372</v>
      </c>
      <c r="AA76" s="133">
        <f t="shared" si="224"/>
        <v>-372</v>
      </c>
      <c r="AB76" s="133">
        <f t="shared" si="225"/>
        <v>-115.846</v>
      </c>
      <c r="AC76" s="177">
        <f>SUM(X76:AB76)</f>
        <v>-1082.8409999999999</v>
      </c>
      <c r="AD76" s="289">
        <f t="shared" si="226"/>
        <v>1</v>
      </c>
      <c r="AE76" s="155">
        <v>0.62</v>
      </c>
      <c r="AF76" s="155">
        <v>0.62</v>
      </c>
      <c r="AG76" s="155">
        <v>0.62</v>
      </c>
      <c r="AH76" s="155">
        <v>0.62</v>
      </c>
      <c r="AI76" s="155">
        <v>0.62</v>
      </c>
      <c r="AJ76" s="152">
        <f t="shared" si="227"/>
        <v>44.548000000000002</v>
      </c>
      <c r="AK76" s="133">
        <f t="shared" si="227"/>
        <v>-182.80500000000001</v>
      </c>
      <c r="AL76" s="152">
        <f t="shared" si="227"/>
        <v>-230.64</v>
      </c>
      <c r="AM76" s="133">
        <f t="shared" si="227"/>
        <v>-230.64</v>
      </c>
      <c r="AN76" s="133">
        <f t="shared" si="227"/>
        <v>-71.825000000000003</v>
      </c>
      <c r="AO76" s="414">
        <f>SUM(AJ76:AN76)</f>
        <v>-671.36200000000008</v>
      </c>
      <c r="AP76" s="407">
        <f t="shared" si="228"/>
        <v>0</v>
      </c>
      <c r="AQ76" s="133">
        <f t="shared" si="229"/>
        <v>0</v>
      </c>
      <c r="AR76" s="152">
        <f t="shared" si="230"/>
        <v>0</v>
      </c>
      <c r="AS76" s="133">
        <f t="shared" si="231"/>
        <v>0</v>
      </c>
      <c r="AT76" s="133">
        <f t="shared" si="232"/>
        <v>0</v>
      </c>
      <c r="AU76" s="133">
        <f>SUM(AP76:AT76)</f>
        <v>0</v>
      </c>
      <c r="AV76" s="312">
        <f t="shared" si="233"/>
        <v>0</v>
      </c>
      <c r="AW76" s="407">
        <f t="shared" si="234"/>
        <v>44.548000000000002</v>
      </c>
      <c r="AX76" s="133">
        <f t="shared" si="235"/>
        <v>-182.80500000000001</v>
      </c>
      <c r="AY76" s="152">
        <f t="shared" si="236"/>
        <v>-230.64</v>
      </c>
      <c r="AZ76" s="133">
        <f t="shared" si="237"/>
        <v>-230.64</v>
      </c>
      <c r="BA76" s="133">
        <f t="shared" si="238"/>
        <v>-71.825000000000003</v>
      </c>
      <c r="BB76" s="133">
        <f>SUM(AW76:BA76)</f>
        <v>-671.36200000000008</v>
      </c>
      <c r="BC76" s="426">
        <f t="shared" si="239"/>
        <v>1</v>
      </c>
      <c r="BD76" s="17"/>
    </row>
    <row r="77" spans="2:56" s="1" customFormat="1" ht="28.5" customHeight="1">
      <c r="B77" s="15"/>
      <c r="C77" s="93">
        <v>5</v>
      </c>
      <c r="D77" s="93" t="s">
        <v>149</v>
      </c>
      <c r="E77" s="94" t="s">
        <v>176</v>
      </c>
      <c r="F77" s="500" t="s">
        <v>177</v>
      </c>
      <c r="G77" s="501"/>
      <c r="H77" s="501"/>
      <c r="I77" s="502"/>
      <c r="J77" s="95" t="s">
        <v>168</v>
      </c>
      <c r="K77" s="128">
        <f>K75</f>
        <v>71.909999999999968</v>
      </c>
      <c r="L77" s="128">
        <f>L75</f>
        <v>-274</v>
      </c>
      <c r="M77" s="128">
        <f>M75</f>
        <v>-372</v>
      </c>
      <c r="N77" s="128">
        <f>N75</f>
        <v>-372</v>
      </c>
      <c r="O77" s="128">
        <f>O75</f>
        <v>-115</v>
      </c>
      <c r="P77" s="403">
        <f>SUM(K77:O77)</f>
        <v>-1061.0900000000001</v>
      </c>
      <c r="Q77" s="400">
        <v>0</v>
      </c>
      <c r="R77" s="128">
        <v>0</v>
      </c>
      <c r="S77" s="128">
        <v>0</v>
      </c>
      <c r="T77" s="128">
        <v>0</v>
      </c>
      <c r="U77" s="128">
        <v>0</v>
      </c>
      <c r="V77" s="165">
        <f>SUM(Q77:U77)</f>
        <v>0</v>
      </c>
      <c r="W77" s="289">
        <f>V77/P77</f>
        <v>0</v>
      </c>
      <c r="X77" s="400">
        <f t="shared" si="221"/>
        <v>71.909999999999968</v>
      </c>
      <c r="Y77" s="128">
        <f t="shared" si="222"/>
        <v>-274</v>
      </c>
      <c r="Z77" s="128">
        <f t="shared" si="223"/>
        <v>-372</v>
      </c>
      <c r="AA77" s="128">
        <f t="shared" si="224"/>
        <v>-372</v>
      </c>
      <c r="AB77" s="128">
        <f t="shared" si="225"/>
        <v>-115</v>
      </c>
      <c r="AC77" s="165">
        <f>SUM(X77:AB77)</f>
        <v>-1061.0900000000001</v>
      </c>
      <c r="AD77" s="289">
        <f t="shared" si="226"/>
        <v>1</v>
      </c>
      <c r="AE77" s="137">
        <v>4.68</v>
      </c>
      <c r="AF77" s="137">
        <v>4.68</v>
      </c>
      <c r="AG77" s="137">
        <v>4.68</v>
      </c>
      <c r="AH77" s="137">
        <v>4.68</v>
      </c>
      <c r="AI77" s="137">
        <v>4.68</v>
      </c>
      <c r="AJ77" s="153">
        <f t="shared" si="227"/>
        <v>336.53899999999999</v>
      </c>
      <c r="AK77" s="128">
        <f t="shared" si="227"/>
        <v>-1282.32</v>
      </c>
      <c r="AL77" s="128">
        <f t="shared" si="227"/>
        <v>-1740.96</v>
      </c>
      <c r="AM77" s="128">
        <f t="shared" si="227"/>
        <v>-1740.96</v>
      </c>
      <c r="AN77" s="128">
        <f t="shared" si="227"/>
        <v>-538.20000000000005</v>
      </c>
      <c r="AO77" s="411">
        <f>SUM(AJ77:AN77)</f>
        <v>-4965.9009999999998</v>
      </c>
      <c r="AP77" s="359">
        <f t="shared" si="228"/>
        <v>0</v>
      </c>
      <c r="AQ77" s="128">
        <f t="shared" si="229"/>
        <v>0</v>
      </c>
      <c r="AR77" s="128">
        <f t="shared" si="230"/>
        <v>0</v>
      </c>
      <c r="AS77" s="128">
        <f t="shared" si="231"/>
        <v>0</v>
      </c>
      <c r="AT77" s="128">
        <f t="shared" si="232"/>
        <v>0</v>
      </c>
      <c r="AU77" s="128">
        <f>SUM(AP77:AT77)</f>
        <v>0</v>
      </c>
      <c r="AV77" s="312">
        <f t="shared" si="233"/>
        <v>0</v>
      </c>
      <c r="AW77" s="359">
        <f t="shared" si="234"/>
        <v>336.53899999999999</v>
      </c>
      <c r="AX77" s="128">
        <f t="shared" si="235"/>
        <v>-1282.32</v>
      </c>
      <c r="AY77" s="128">
        <f t="shared" si="236"/>
        <v>-1740.96</v>
      </c>
      <c r="AZ77" s="128">
        <f t="shared" si="237"/>
        <v>-1740.96</v>
      </c>
      <c r="BA77" s="128">
        <f t="shared" si="238"/>
        <v>-538.20000000000005</v>
      </c>
      <c r="BB77" s="128">
        <f>SUM(AW77:BA77)</f>
        <v>-4965.9009999999998</v>
      </c>
      <c r="BC77" s="426">
        <f t="shared" si="239"/>
        <v>1</v>
      </c>
      <c r="BD77" s="17"/>
    </row>
    <row r="78" spans="2:56" s="373" customFormat="1" ht="31.5" customHeight="1">
      <c r="B78" s="377"/>
      <c r="C78" s="371"/>
      <c r="D78" s="176" t="s">
        <v>541</v>
      </c>
      <c r="E78" s="176"/>
      <c r="F78" s="176"/>
      <c r="G78" s="176"/>
      <c r="H78" s="176"/>
      <c r="I78" s="176"/>
      <c r="J78" s="176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378"/>
      <c r="AF78" s="378"/>
      <c r="AG78" s="378"/>
      <c r="AH78" s="378"/>
      <c r="AI78" s="378"/>
      <c r="AJ78" s="159">
        <f t="shared" ref="AJ78:AO78" si="240">SUM(AJ79:AJ80)</f>
        <v>0</v>
      </c>
      <c r="AK78" s="159">
        <f t="shared" si="240"/>
        <v>0</v>
      </c>
      <c r="AL78" s="159">
        <f t="shared" si="240"/>
        <v>141.273</v>
      </c>
      <c r="AM78" s="159">
        <f t="shared" si="240"/>
        <v>0</v>
      </c>
      <c r="AN78" s="159">
        <f t="shared" si="240"/>
        <v>847.63600000000008</v>
      </c>
      <c r="AO78" s="412">
        <f t="shared" si="240"/>
        <v>988.90899999999999</v>
      </c>
      <c r="AP78" s="159">
        <f t="shared" ref="AP78:AU78" si="241">SUM(AP79:AP80)</f>
        <v>0</v>
      </c>
      <c r="AQ78" s="159">
        <f t="shared" si="241"/>
        <v>0</v>
      </c>
      <c r="AR78" s="159">
        <f t="shared" si="241"/>
        <v>0</v>
      </c>
      <c r="AS78" s="159">
        <f t="shared" si="241"/>
        <v>0</v>
      </c>
      <c r="AT78" s="159">
        <f t="shared" si="241"/>
        <v>0</v>
      </c>
      <c r="AU78" s="159">
        <f t="shared" si="241"/>
        <v>0</v>
      </c>
      <c r="AV78" s="425"/>
      <c r="AW78" s="159">
        <f t="shared" ref="AW78:BB78" si="242">SUM(AW79:AW80)</f>
        <v>0</v>
      </c>
      <c r="AX78" s="159">
        <f t="shared" si="242"/>
        <v>0</v>
      </c>
      <c r="AY78" s="159">
        <f t="shared" si="242"/>
        <v>141.273</v>
      </c>
      <c r="AZ78" s="159">
        <f t="shared" si="242"/>
        <v>0</v>
      </c>
      <c r="BA78" s="159">
        <f t="shared" si="242"/>
        <v>847.63600000000008</v>
      </c>
      <c r="BB78" s="159">
        <f t="shared" si="242"/>
        <v>988.90899999999999</v>
      </c>
      <c r="BC78" s="421"/>
      <c r="BD78" s="379"/>
    </row>
    <row r="79" spans="2:56" s="1" customFormat="1" ht="40.5" customHeight="1">
      <c r="B79" s="73"/>
      <c r="C79" s="93">
        <v>6</v>
      </c>
      <c r="D79" s="93" t="s">
        <v>149</v>
      </c>
      <c r="E79" s="94" t="s">
        <v>542</v>
      </c>
      <c r="F79" s="498" t="s">
        <v>543</v>
      </c>
      <c r="G79" s="498"/>
      <c r="H79" s="498"/>
      <c r="I79" s="498"/>
      <c r="J79" s="95" t="s">
        <v>198</v>
      </c>
      <c r="K79" s="128">
        <v>0</v>
      </c>
      <c r="L79" s="128">
        <v>0</v>
      </c>
      <c r="M79" s="128">
        <v>9</v>
      </c>
      <c r="N79" s="128">
        <v>0</v>
      </c>
      <c r="O79" s="128">
        <v>54</v>
      </c>
      <c r="P79" s="403">
        <f>SUM(K79:O79)</f>
        <v>63</v>
      </c>
      <c r="Q79" s="400">
        <v>0</v>
      </c>
      <c r="R79" s="400">
        <v>0</v>
      </c>
      <c r="S79" s="400">
        <v>0</v>
      </c>
      <c r="T79" s="400">
        <v>0</v>
      </c>
      <c r="U79" s="400">
        <v>0</v>
      </c>
      <c r="V79" s="165">
        <f>SUM(Q79:U79)</f>
        <v>0</v>
      </c>
      <c r="W79" s="289">
        <f>V79/P79</f>
        <v>0</v>
      </c>
      <c r="X79" s="400">
        <f t="shared" ref="X79:X80" si="243">K79-Q79</f>
        <v>0</v>
      </c>
      <c r="Y79" s="400">
        <f t="shared" ref="Y79:Y80" si="244">L79-R79</f>
        <v>0</v>
      </c>
      <c r="Z79" s="400">
        <f t="shared" ref="Z79:Z80" si="245">M79-S79</f>
        <v>9</v>
      </c>
      <c r="AA79" s="400">
        <f t="shared" ref="AA79:AA80" si="246">N79-T79</f>
        <v>0</v>
      </c>
      <c r="AB79" s="400">
        <f t="shared" ref="AB79:AB80" si="247">O79-U79</f>
        <v>54</v>
      </c>
      <c r="AC79" s="165">
        <f>SUM(X79:AB79)</f>
        <v>63</v>
      </c>
      <c r="AD79" s="289">
        <f t="shared" ref="AD79:AD80" si="248">AC79/P79</f>
        <v>1</v>
      </c>
      <c r="AE79" s="137">
        <v>12.27</v>
      </c>
      <c r="AF79" s="137">
        <v>12.27</v>
      </c>
      <c r="AG79" s="137">
        <v>12.27</v>
      </c>
      <c r="AH79" s="137">
        <v>12.27</v>
      </c>
      <c r="AI79" s="137">
        <v>12.27</v>
      </c>
      <c r="AJ79" s="153">
        <f t="shared" ref="AJ79:AN80" si="249">ROUND(AE79*K79,3)</f>
        <v>0</v>
      </c>
      <c r="AK79" s="128">
        <f t="shared" si="249"/>
        <v>0</v>
      </c>
      <c r="AL79" s="128">
        <f t="shared" si="249"/>
        <v>110.43</v>
      </c>
      <c r="AM79" s="128">
        <f t="shared" si="249"/>
        <v>0</v>
      </c>
      <c r="AN79" s="128">
        <f t="shared" si="249"/>
        <v>662.58</v>
      </c>
      <c r="AO79" s="411">
        <f>SUM(AJ79:AN79)</f>
        <v>773.01</v>
      </c>
      <c r="AP79" s="359">
        <f t="shared" ref="AP79:AP80" si="250">ROUND(AE79*Q79,3)</f>
        <v>0</v>
      </c>
      <c r="AQ79" s="128">
        <f t="shared" ref="AQ79:AQ80" si="251">ROUND(AF79*R79,3)</f>
        <v>0</v>
      </c>
      <c r="AR79" s="128">
        <f t="shared" ref="AR79:AR80" si="252">ROUND(AG79*S79,3)</f>
        <v>0</v>
      </c>
      <c r="AS79" s="128">
        <f t="shared" ref="AS79:AS80" si="253">ROUND(AH79*T79,3)</f>
        <v>0</v>
      </c>
      <c r="AT79" s="128">
        <f t="shared" ref="AT79:AT80" si="254">ROUND(AI79*U79,3)</f>
        <v>0</v>
      </c>
      <c r="AU79" s="128">
        <f>SUM(AP79:AT79)</f>
        <v>0</v>
      </c>
      <c r="AV79" s="312">
        <f t="shared" ref="AV79:AV80" si="255">AU79/AO79</f>
        <v>0</v>
      </c>
      <c r="AW79" s="359">
        <f t="shared" ref="AW79:AW80" si="256">AJ79-AP79</f>
        <v>0</v>
      </c>
      <c r="AX79" s="128">
        <f t="shared" ref="AX79:AX80" si="257">AK79-AQ79</f>
        <v>0</v>
      </c>
      <c r="AY79" s="128">
        <f t="shared" ref="AY79:AY80" si="258">AL79-AR79</f>
        <v>110.43</v>
      </c>
      <c r="AZ79" s="128">
        <f t="shared" ref="AZ79:AZ80" si="259">AM79-AS79</f>
        <v>0</v>
      </c>
      <c r="BA79" s="128">
        <f t="shared" ref="BA79:BA80" si="260">AN79-AT79</f>
        <v>662.58</v>
      </c>
      <c r="BB79" s="128">
        <f>SUM(AW79:BA79)</f>
        <v>773.01</v>
      </c>
      <c r="BC79" s="426">
        <f t="shared" ref="BC79:BC80" si="261">BB79/AO79</f>
        <v>1</v>
      </c>
      <c r="BD79" s="74"/>
    </row>
    <row r="80" spans="2:56" s="158" customFormat="1" ht="31.5" customHeight="1">
      <c r="B80" s="156"/>
      <c r="C80" s="102">
        <v>7</v>
      </c>
      <c r="D80" s="102" t="s">
        <v>171</v>
      </c>
      <c r="E80" s="103" t="s">
        <v>545</v>
      </c>
      <c r="F80" s="499" t="s">
        <v>546</v>
      </c>
      <c r="G80" s="499"/>
      <c r="H80" s="499"/>
      <c r="I80" s="499"/>
      <c r="J80" s="104" t="s">
        <v>396</v>
      </c>
      <c r="K80" s="133">
        <v>0</v>
      </c>
      <c r="L80" s="133">
        <v>0</v>
      </c>
      <c r="M80" s="133">
        <f>M79*0.08*0.15</f>
        <v>0.108</v>
      </c>
      <c r="N80" s="133">
        <v>0</v>
      </c>
      <c r="O80" s="133">
        <f>O79*0.08*0.15</f>
        <v>0.64800000000000002</v>
      </c>
      <c r="P80" s="404">
        <f>SUM(K80:O80)</f>
        <v>0.75600000000000001</v>
      </c>
      <c r="Q80" s="400">
        <v>0</v>
      </c>
      <c r="R80" s="400">
        <v>0</v>
      </c>
      <c r="S80" s="400">
        <v>0</v>
      </c>
      <c r="T80" s="400">
        <v>0</v>
      </c>
      <c r="U80" s="400">
        <v>0</v>
      </c>
      <c r="V80" s="177">
        <f>SUM(Q80:U80)</f>
        <v>0</v>
      </c>
      <c r="W80" s="289">
        <f>V80/P80</f>
        <v>0</v>
      </c>
      <c r="X80" s="400">
        <f t="shared" si="243"/>
        <v>0</v>
      </c>
      <c r="Y80" s="400">
        <f t="shared" si="244"/>
        <v>0</v>
      </c>
      <c r="Z80" s="400">
        <f t="shared" si="245"/>
        <v>0.108</v>
      </c>
      <c r="AA80" s="400">
        <f t="shared" si="246"/>
        <v>0</v>
      </c>
      <c r="AB80" s="400">
        <f t="shared" si="247"/>
        <v>0.64800000000000002</v>
      </c>
      <c r="AC80" s="177">
        <f>SUM(X80:AB80)</f>
        <v>0.75600000000000001</v>
      </c>
      <c r="AD80" s="289">
        <f t="shared" si="248"/>
        <v>1</v>
      </c>
      <c r="AE80" s="155">
        <v>285.58</v>
      </c>
      <c r="AF80" s="155">
        <v>285.58</v>
      </c>
      <c r="AG80" s="155">
        <v>285.58</v>
      </c>
      <c r="AH80" s="155">
        <v>285.58</v>
      </c>
      <c r="AI80" s="155">
        <v>285.58</v>
      </c>
      <c r="AJ80" s="152">
        <f t="shared" si="249"/>
        <v>0</v>
      </c>
      <c r="AK80" s="133">
        <f t="shared" si="249"/>
        <v>0</v>
      </c>
      <c r="AL80" s="133">
        <f t="shared" si="249"/>
        <v>30.843</v>
      </c>
      <c r="AM80" s="133">
        <f t="shared" si="249"/>
        <v>0</v>
      </c>
      <c r="AN80" s="133">
        <f t="shared" si="249"/>
        <v>185.05600000000001</v>
      </c>
      <c r="AO80" s="414">
        <f>SUM(AJ80:AN80)</f>
        <v>215.899</v>
      </c>
      <c r="AP80" s="407">
        <f t="shared" si="250"/>
        <v>0</v>
      </c>
      <c r="AQ80" s="133">
        <f t="shared" si="251"/>
        <v>0</v>
      </c>
      <c r="AR80" s="133">
        <f t="shared" si="252"/>
        <v>0</v>
      </c>
      <c r="AS80" s="133">
        <f t="shared" si="253"/>
        <v>0</v>
      </c>
      <c r="AT80" s="133">
        <f t="shared" si="254"/>
        <v>0</v>
      </c>
      <c r="AU80" s="133">
        <f>SUM(AP80:AT80)</f>
        <v>0</v>
      </c>
      <c r="AV80" s="312">
        <f t="shared" si="255"/>
        <v>0</v>
      </c>
      <c r="AW80" s="407">
        <f t="shared" si="256"/>
        <v>0</v>
      </c>
      <c r="AX80" s="133">
        <f t="shared" si="257"/>
        <v>0</v>
      </c>
      <c r="AY80" s="133">
        <f t="shared" si="258"/>
        <v>30.843</v>
      </c>
      <c r="AZ80" s="133">
        <f t="shared" si="259"/>
        <v>0</v>
      </c>
      <c r="BA80" s="133">
        <f t="shared" si="260"/>
        <v>185.05600000000001</v>
      </c>
      <c r="BB80" s="133">
        <f>SUM(AW80:BA80)</f>
        <v>215.899</v>
      </c>
      <c r="BC80" s="426">
        <f t="shared" si="261"/>
        <v>1</v>
      </c>
      <c r="BD80" s="157"/>
    </row>
    <row r="81" spans="2:56" s="373" customFormat="1" ht="36" customHeight="1">
      <c r="B81" s="374"/>
      <c r="C81" s="371"/>
      <c r="D81" s="176" t="s">
        <v>335</v>
      </c>
      <c r="E81" s="176"/>
      <c r="F81" s="176"/>
      <c r="G81" s="176"/>
      <c r="H81" s="176"/>
      <c r="I81" s="176"/>
      <c r="J81" s="176"/>
      <c r="K81" s="176"/>
      <c r="L81" s="180"/>
      <c r="M81" s="180"/>
      <c r="N81" s="180"/>
      <c r="O81" s="180"/>
      <c r="P81" s="180"/>
      <c r="Q81" s="176"/>
      <c r="R81" s="180"/>
      <c r="S81" s="180"/>
      <c r="T81" s="180"/>
      <c r="U81" s="180"/>
      <c r="V81" s="180"/>
      <c r="W81" s="180"/>
      <c r="X81" s="176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59">
        <f t="shared" ref="AJ81:AO81" si="262">SUM(AJ82:AJ101)</f>
        <v>3094.183</v>
      </c>
      <c r="AK81" s="159">
        <f t="shared" si="262"/>
        <v>3095.3580000000002</v>
      </c>
      <c r="AL81" s="159">
        <f t="shared" si="262"/>
        <v>3728.1550000000007</v>
      </c>
      <c r="AM81" s="159">
        <f t="shared" si="262"/>
        <v>79.861000000000004</v>
      </c>
      <c r="AN81" s="159">
        <f t="shared" si="262"/>
        <v>2895.5220000000004</v>
      </c>
      <c r="AO81" s="412">
        <f t="shared" si="262"/>
        <v>12893.078999999998</v>
      </c>
      <c r="AP81" s="159">
        <f t="shared" ref="AP81:AU81" si="263">SUM(AP82:AP101)</f>
        <v>0</v>
      </c>
      <c r="AQ81" s="159">
        <f t="shared" si="263"/>
        <v>0</v>
      </c>
      <c r="AR81" s="159">
        <f t="shared" si="263"/>
        <v>0</v>
      </c>
      <c r="AS81" s="159">
        <f t="shared" si="263"/>
        <v>0</v>
      </c>
      <c r="AT81" s="159">
        <f t="shared" si="263"/>
        <v>0</v>
      </c>
      <c r="AU81" s="159">
        <f t="shared" si="263"/>
        <v>0</v>
      </c>
      <c r="AV81" s="425"/>
      <c r="AW81" s="159">
        <f t="shared" ref="AW81:BB81" si="264">SUM(AW82:AW101)</f>
        <v>3094.183</v>
      </c>
      <c r="AX81" s="159">
        <f t="shared" si="264"/>
        <v>3095.3580000000002</v>
      </c>
      <c r="AY81" s="159">
        <f t="shared" si="264"/>
        <v>3728.1550000000007</v>
      </c>
      <c r="AZ81" s="159">
        <f t="shared" si="264"/>
        <v>79.861000000000004</v>
      </c>
      <c r="BA81" s="159">
        <f t="shared" si="264"/>
        <v>2895.5220000000004</v>
      </c>
      <c r="BB81" s="159">
        <f t="shared" si="264"/>
        <v>12893.078999999998</v>
      </c>
      <c r="BC81" s="421"/>
      <c r="BD81" s="376"/>
    </row>
    <row r="82" spans="2:56" s="1" customFormat="1" ht="39.75" customHeight="1">
      <c r="B82" s="15"/>
      <c r="C82" s="93">
        <v>8</v>
      </c>
      <c r="D82" s="93" t="s">
        <v>149</v>
      </c>
      <c r="E82" s="94" t="s">
        <v>1110</v>
      </c>
      <c r="F82" s="500" t="s">
        <v>1111</v>
      </c>
      <c r="G82" s="501"/>
      <c r="H82" s="501"/>
      <c r="I82" s="502"/>
      <c r="J82" s="95" t="s">
        <v>198</v>
      </c>
      <c r="K82" s="128">
        <v>64.900000000000006</v>
      </c>
      <c r="L82" s="128">
        <v>64.900000000000006</v>
      </c>
      <c r="M82" s="128">
        <v>75</v>
      </c>
      <c r="N82" s="128">
        <v>83.8</v>
      </c>
      <c r="O82" s="128">
        <v>32.299999999999997</v>
      </c>
      <c r="P82" s="403">
        <f t="shared" ref="P82:P101" si="265">SUM(K82:O82)</f>
        <v>320.90000000000003</v>
      </c>
      <c r="Q82" s="400">
        <v>0</v>
      </c>
      <c r="R82" s="128">
        <v>0</v>
      </c>
      <c r="S82" s="128">
        <v>0</v>
      </c>
      <c r="T82" s="128">
        <v>0</v>
      </c>
      <c r="U82" s="128">
        <v>0</v>
      </c>
      <c r="V82" s="165">
        <f t="shared" ref="V82:V101" si="266">SUM(Q82:U82)</f>
        <v>0</v>
      </c>
      <c r="W82" s="289">
        <f t="shared" ref="W82:W101" si="267">V82/P82</f>
        <v>0</v>
      </c>
      <c r="X82" s="400">
        <f t="shared" ref="X82:X101" si="268">K82-Q82</f>
        <v>64.900000000000006</v>
      </c>
      <c r="Y82" s="128">
        <f t="shared" ref="Y82:Y101" si="269">L82-R82</f>
        <v>64.900000000000006</v>
      </c>
      <c r="Z82" s="128">
        <f t="shared" ref="Z82:Z101" si="270">M82-S82</f>
        <v>75</v>
      </c>
      <c r="AA82" s="128">
        <f t="shared" ref="AA82:AA101" si="271">N82-T82</f>
        <v>83.8</v>
      </c>
      <c r="AB82" s="128">
        <f t="shared" ref="AB82:AB101" si="272">O82-U82</f>
        <v>32.299999999999997</v>
      </c>
      <c r="AC82" s="165">
        <f t="shared" ref="AC82:AC101" si="273">SUM(X82:AB82)</f>
        <v>320.90000000000003</v>
      </c>
      <c r="AD82" s="289">
        <f t="shared" ref="AD82:AD101" si="274">AC82/P82</f>
        <v>1</v>
      </c>
      <c r="AE82" s="137">
        <v>0.95299999999999996</v>
      </c>
      <c r="AF82" s="137">
        <v>0.95299999999999996</v>
      </c>
      <c r="AG82" s="137">
        <v>0.95299999999999996</v>
      </c>
      <c r="AH82" s="137">
        <v>0.95299999999999996</v>
      </c>
      <c r="AI82" s="137">
        <v>0.95299999999999996</v>
      </c>
      <c r="AJ82" s="153">
        <f t="shared" ref="AJ82:AJ101" si="275">ROUND(AE82*K82,3)</f>
        <v>61.85</v>
      </c>
      <c r="AK82" s="128">
        <f t="shared" ref="AK82:AK101" si="276">ROUND(AF82*L82,3)</f>
        <v>61.85</v>
      </c>
      <c r="AL82" s="128">
        <f t="shared" ref="AL82:AL101" si="277">ROUND(AG82*M82,3)</f>
        <v>71.474999999999994</v>
      </c>
      <c r="AM82" s="128">
        <f t="shared" ref="AM82:AM101" si="278">ROUND(AH82*N82,3)</f>
        <v>79.861000000000004</v>
      </c>
      <c r="AN82" s="128">
        <f t="shared" ref="AN82:AN101" si="279">ROUND(AI82*O82,3)</f>
        <v>30.782</v>
      </c>
      <c r="AO82" s="411">
        <f t="shared" ref="AO82:AO101" si="280">SUM(AJ82:AN82)</f>
        <v>305.81799999999998</v>
      </c>
      <c r="AP82" s="359">
        <f t="shared" ref="AP82:AP101" si="281">ROUND(AE82*Q82,3)</f>
        <v>0</v>
      </c>
      <c r="AQ82" s="128">
        <f t="shared" ref="AQ82:AQ101" si="282">ROUND(AF82*R82,3)</f>
        <v>0</v>
      </c>
      <c r="AR82" s="128">
        <f t="shared" ref="AR82:AR101" si="283">ROUND(AG82*S82,3)</f>
        <v>0</v>
      </c>
      <c r="AS82" s="128">
        <f t="shared" ref="AS82:AS101" si="284">ROUND(AH82*T82,3)</f>
        <v>0</v>
      </c>
      <c r="AT82" s="128">
        <f t="shared" ref="AT82:AT101" si="285">ROUND(AI82*U82,3)</f>
        <v>0</v>
      </c>
      <c r="AU82" s="128">
        <f t="shared" ref="AU82:AU101" si="286">SUM(AP82:AT82)</f>
        <v>0</v>
      </c>
      <c r="AV82" s="312">
        <f t="shared" ref="AV82:AV101" si="287">AU82/AO82</f>
        <v>0</v>
      </c>
      <c r="AW82" s="359">
        <f t="shared" ref="AW82:AW101" si="288">AJ82-AP82</f>
        <v>61.85</v>
      </c>
      <c r="AX82" s="128">
        <f t="shared" ref="AX82:AX101" si="289">AK82-AQ82</f>
        <v>61.85</v>
      </c>
      <c r="AY82" s="128">
        <f t="shared" ref="AY82:AY101" si="290">AL82-AR82</f>
        <v>71.474999999999994</v>
      </c>
      <c r="AZ82" s="128">
        <f t="shared" ref="AZ82:AZ101" si="291">AM82-AS82</f>
        <v>79.861000000000004</v>
      </c>
      <c r="BA82" s="128">
        <f t="shared" ref="BA82:BA101" si="292">AN82-AT82</f>
        <v>30.782</v>
      </c>
      <c r="BB82" s="128">
        <f t="shared" ref="BB82:BB101" si="293">SUM(AW82:BA82)</f>
        <v>305.81799999999998</v>
      </c>
      <c r="BC82" s="426">
        <f t="shared" ref="BC82:BC101" si="294">BB82/AO82</f>
        <v>1</v>
      </c>
      <c r="BD82" s="17"/>
    </row>
    <row r="83" spans="2:56" s="1" customFormat="1" ht="34.5" customHeight="1">
      <c r="B83" s="15"/>
      <c r="C83" s="93">
        <v>9</v>
      </c>
      <c r="D83" s="93" t="s">
        <v>149</v>
      </c>
      <c r="E83" s="94" t="s">
        <v>527</v>
      </c>
      <c r="F83" s="500" t="s">
        <v>528</v>
      </c>
      <c r="G83" s="501"/>
      <c r="H83" s="501"/>
      <c r="I83" s="502"/>
      <c r="J83" s="95" t="s">
        <v>198</v>
      </c>
      <c r="K83" s="128">
        <v>64.900000000000006</v>
      </c>
      <c r="L83" s="128">
        <v>64.900000000000006</v>
      </c>
      <c r="M83" s="128">
        <v>75</v>
      </c>
      <c r="N83" s="128">
        <v>0</v>
      </c>
      <c r="O83" s="128">
        <v>32.299999999999997</v>
      </c>
      <c r="P83" s="403">
        <f t="shared" si="265"/>
        <v>237.10000000000002</v>
      </c>
      <c r="Q83" s="400">
        <v>0</v>
      </c>
      <c r="R83" s="128">
        <v>0</v>
      </c>
      <c r="S83" s="128">
        <v>0</v>
      </c>
      <c r="T83" s="128">
        <v>0</v>
      </c>
      <c r="U83" s="128">
        <v>0</v>
      </c>
      <c r="V83" s="165">
        <f t="shared" si="266"/>
        <v>0</v>
      </c>
      <c r="W83" s="289">
        <f t="shared" si="267"/>
        <v>0</v>
      </c>
      <c r="X83" s="400">
        <f t="shared" si="268"/>
        <v>64.900000000000006</v>
      </c>
      <c r="Y83" s="128">
        <f t="shared" si="269"/>
        <v>64.900000000000006</v>
      </c>
      <c r="Z83" s="128">
        <f t="shared" si="270"/>
        <v>75</v>
      </c>
      <c r="AA83" s="128">
        <f t="shared" si="271"/>
        <v>0</v>
      </c>
      <c r="AB83" s="128">
        <f t="shared" si="272"/>
        <v>32.299999999999997</v>
      </c>
      <c r="AC83" s="165">
        <f t="shared" si="273"/>
        <v>237.10000000000002</v>
      </c>
      <c r="AD83" s="289">
        <f t="shared" si="274"/>
        <v>1</v>
      </c>
      <c r="AE83" s="137">
        <v>39.42</v>
      </c>
      <c r="AF83" s="137">
        <v>39.42</v>
      </c>
      <c r="AG83" s="137">
        <v>39.42</v>
      </c>
      <c r="AH83" s="137">
        <v>39.42</v>
      </c>
      <c r="AI83" s="137">
        <v>39.42</v>
      </c>
      <c r="AJ83" s="153">
        <f t="shared" si="275"/>
        <v>2558.3580000000002</v>
      </c>
      <c r="AK83" s="128">
        <f t="shared" si="276"/>
        <v>2558.3580000000002</v>
      </c>
      <c r="AL83" s="128">
        <f t="shared" si="277"/>
        <v>2956.5</v>
      </c>
      <c r="AM83" s="128">
        <f t="shared" si="278"/>
        <v>0</v>
      </c>
      <c r="AN83" s="128">
        <f t="shared" si="279"/>
        <v>1273.2660000000001</v>
      </c>
      <c r="AO83" s="411">
        <f t="shared" si="280"/>
        <v>9346.482</v>
      </c>
      <c r="AP83" s="359">
        <f t="shared" si="281"/>
        <v>0</v>
      </c>
      <c r="AQ83" s="128">
        <f t="shared" si="282"/>
        <v>0</v>
      </c>
      <c r="AR83" s="128">
        <f t="shared" si="283"/>
        <v>0</v>
      </c>
      <c r="AS83" s="128">
        <f t="shared" si="284"/>
        <v>0</v>
      </c>
      <c r="AT83" s="128">
        <f t="shared" si="285"/>
        <v>0</v>
      </c>
      <c r="AU83" s="128">
        <f t="shared" si="286"/>
        <v>0</v>
      </c>
      <c r="AV83" s="312">
        <f t="shared" si="287"/>
        <v>0</v>
      </c>
      <c r="AW83" s="359">
        <f t="shared" si="288"/>
        <v>2558.3580000000002</v>
      </c>
      <c r="AX83" s="128">
        <f t="shared" si="289"/>
        <v>2558.3580000000002</v>
      </c>
      <c r="AY83" s="128">
        <f t="shared" si="290"/>
        <v>2956.5</v>
      </c>
      <c r="AZ83" s="128">
        <f t="shared" si="291"/>
        <v>0</v>
      </c>
      <c r="BA83" s="128">
        <f t="shared" si="292"/>
        <v>1273.2660000000001</v>
      </c>
      <c r="BB83" s="128">
        <f t="shared" si="293"/>
        <v>9346.482</v>
      </c>
      <c r="BC83" s="426">
        <f t="shared" si="294"/>
        <v>1</v>
      </c>
      <c r="BD83" s="17"/>
    </row>
    <row r="84" spans="2:56" s="188" customFormat="1" ht="28.5" customHeight="1">
      <c r="B84" s="184"/>
      <c r="C84" s="229" t="s">
        <v>1417</v>
      </c>
      <c r="D84" s="185" t="s">
        <v>149</v>
      </c>
      <c r="E84" s="181" t="s">
        <v>1112</v>
      </c>
      <c r="F84" s="503" t="s">
        <v>1113</v>
      </c>
      <c r="G84" s="504"/>
      <c r="H84" s="504"/>
      <c r="I84" s="505"/>
      <c r="J84" s="182" t="s">
        <v>198</v>
      </c>
      <c r="K84" s="183">
        <v>8.6999999999999993</v>
      </c>
      <c r="L84" s="183">
        <v>8.6999999999999993</v>
      </c>
      <c r="M84" s="183">
        <v>16.600000000000001</v>
      </c>
      <c r="N84" s="183">
        <v>0</v>
      </c>
      <c r="O84" s="183">
        <v>32.299999999999997</v>
      </c>
      <c r="P84" s="403">
        <f t="shared" si="265"/>
        <v>66.3</v>
      </c>
      <c r="Q84" s="402">
        <v>0</v>
      </c>
      <c r="R84" s="183">
        <v>0</v>
      </c>
      <c r="S84" s="183">
        <v>0</v>
      </c>
      <c r="T84" s="183">
        <v>0</v>
      </c>
      <c r="U84" s="183">
        <v>0</v>
      </c>
      <c r="V84" s="165">
        <f t="shared" si="266"/>
        <v>0</v>
      </c>
      <c r="W84" s="289">
        <f t="shared" si="267"/>
        <v>0</v>
      </c>
      <c r="X84" s="402">
        <f t="shared" si="268"/>
        <v>8.6999999999999993</v>
      </c>
      <c r="Y84" s="183">
        <f t="shared" si="269"/>
        <v>8.6999999999999993</v>
      </c>
      <c r="Z84" s="183">
        <f t="shared" si="270"/>
        <v>16.600000000000001</v>
      </c>
      <c r="AA84" s="183">
        <f t="shared" si="271"/>
        <v>0</v>
      </c>
      <c r="AB84" s="183">
        <f t="shared" si="272"/>
        <v>32.299999999999997</v>
      </c>
      <c r="AC84" s="165">
        <f t="shared" si="273"/>
        <v>66.3</v>
      </c>
      <c r="AD84" s="289">
        <f t="shared" si="274"/>
        <v>1</v>
      </c>
      <c r="AE84" s="186">
        <v>10.83</v>
      </c>
      <c r="AF84" s="186">
        <v>10.83</v>
      </c>
      <c r="AG84" s="186">
        <v>10.83</v>
      </c>
      <c r="AH84" s="186">
        <v>10.83</v>
      </c>
      <c r="AI84" s="186">
        <v>10.83</v>
      </c>
      <c r="AJ84" s="153">
        <f t="shared" si="275"/>
        <v>94.221000000000004</v>
      </c>
      <c r="AK84" s="128">
        <f t="shared" si="276"/>
        <v>94.221000000000004</v>
      </c>
      <c r="AL84" s="128">
        <f t="shared" si="277"/>
        <v>179.77799999999999</v>
      </c>
      <c r="AM84" s="128">
        <f t="shared" si="278"/>
        <v>0</v>
      </c>
      <c r="AN84" s="128">
        <f t="shared" si="279"/>
        <v>349.80900000000003</v>
      </c>
      <c r="AO84" s="411">
        <f t="shared" si="280"/>
        <v>718.029</v>
      </c>
      <c r="AP84" s="359">
        <f t="shared" si="281"/>
        <v>0</v>
      </c>
      <c r="AQ84" s="128">
        <f t="shared" si="282"/>
        <v>0</v>
      </c>
      <c r="AR84" s="128">
        <f t="shared" si="283"/>
        <v>0</v>
      </c>
      <c r="AS84" s="128">
        <f t="shared" si="284"/>
        <v>0</v>
      </c>
      <c r="AT84" s="128">
        <f t="shared" si="285"/>
        <v>0</v>
      </c>
      <c r="AU84" s="128">
        <f t="shared" si="286"/>
        <v>0</v>
      </c>
      <c r="AV84" s="312">
        <f t="shared" si="287"/>
        <v>0</v>
      </c>
      <c r="AW84" s="359">
        <f t="shared" si="288"/>
        <v>94.221000000000004</v>
      </c>
      <c r="AX84" s="128">
        <f t="shared" si="289"/>
        <v>94.221000000000004</v>
      </c>
      <c r="AY84" s="128">
        <f t="shared" si="290"/>
        <v>179.77799999999999</v>
      </c>
      <c r="AZ84" s="128">
        <f t="shared" si="291"/>
        <v>0</v>
      </c>
      <c r="BA84" s="128">
        <f t="shared" si="292"/>
        <v>349.80900000000003</v>
      </c>
      <c r="BB84" s="128">
        <f t="shared" si="293"/>
        <v>718.029</v>
      </c>
      <c r="BC84" s="426">
        <f t="shared" si="294"/>
        <v>1</v>
      </c>
      <c r="BD84" s="187"/>
    </row>
    <row r="85" spans="2:56" s="158" customFormat="1" ht="28.5" customHeight="1">
      <c r="B85" s="189"/>
      <c r="C85" s="229" t="s">
        <v>1418</v>
      </c>
      <c r="D85" s="102" t="s">
        <v>171</v>
      </c>
      <c r="E85" s="103" t="s">
        <v>1120</v>
      </c>
      <c r="F85" s="499" t="s">
        <v>1121</v>
      </c>
      <c r="G85" s="499"/>
      <c r="H85" s="499"/>
      <c r="I85" s="499"/>
      <c r="J85" s="104" t="s">
        <v>198</v>
      </c>
      <c r="K85" s="133">
        <v>9.1349999999999998</v>
      </c>
      <c r="L85" s="133">
        <f>8.7*1.1</f>
        <v>9.57</v>
      </c>
      <c r="M85" s="133">
        <v>17.43</v>
      </c>
      <c r="N85" s="133">
        <v>0</v>
      </c>
      <c r="O85" s="133">
        <v>33.914999999999999</v>
      </c>
      <c r="P85" s="404">
        <f t="shared" si="265"/>
        <v>70.05</v>
      </c>
      <c r="Q85" s="401">
        <v>0</v>
      </c>
      <c r="R85" s="133">
        <v>0</v>
      </c>
      <c r="S85" s="133">
        <v>0</v>
      </c>
      <c r="T85" s="133">
        <v>0</v>
      </c>
      <c r="U85" s="133">
        <v>0</v>
      </c>
      <c r="V85" s="177">
        <f t="shared" si="266"/>
        <v>0</v>
      </c>
      <c r="W85" s="289">
        <f t="shared" si="267"/>
        <v>0</v>
      </c>
      <c r="X85" s="401">
        <f t="shared" si="268"/>
        <v>9.1349999999999998</v>
      </c>
      <c r="Y85" s="133">
        <f t="shared" si="269"/>
        <v>9.57</v>
      </c>
      <c r="Z85" s="133">
        <f t="shared" si="270"/>
        <v>17.43</v>
      </c>
      <c r="AA85" s="133">
        <f t="shared" si="271"/>
        <v>0</v>
      </c>
      <c r="AB85" s="133">
        <f t="shared" si="272"/>
        <v>33.914999999999999</v>
      </c>
      <c r="AC85" s="177">
        <f t="shared" si="273"/>
        <v>70.05</v>
      </c>
      <c r="AD85" s="289">
        <f t="shared" si="274"/>
        <v>1</v>
      </c>
      <c r="AE85" s="155">
        <v>2.7010000000000001</v>
      </c>
      <c r="AF85" s="155">
        <v>2.7010000000000001</v>
      </c>
      <c r="AG85" s="155">
        <v>2.7010000000000001</v>
      </c>
      <c r="AH85" s="155">
        <v>2.7010000000000001</v>
      </c>
      <c r="AI85" s="155">
        <v>2.7010000000000001</v>
      </c>
      <c r="AJ85" s="152">
        <f t="shared" si="275"/>
        <v>24.673999999999999</v>
      </c>
      <c r="AK85" s="133">
        <f t="shared" si="276"/>
        <v>25.849</v>
      </c>
      <c r="AL85" s="152">
        <f t="shared" si="277"/>
        <v>47.078000000000003</v>
      </c>
      <c r="AM85" s="133">
        <f t="shared" si="278"/>
        <v>0</v>
      </c>
      <c r="AN85" s="133">
        <f t="shared" si="279"/>
        <v>91.603999999999999</v>
      </c>
      <c r="AO85" s="414">
        <f t="shared" si="280"/>
        <v>189.20499999999998</v>
      </c>
      <c r="AP85" s="407">
        <f t="shared" si="281"/>
        <v>0</v>
      </c>
      <c r="AQ85" s="133">
        <f t="shared" si="282"/>
        <v>0</v>
      </c>
      <c r="AR85" s="152">
        <f t="shared" si="283"/>
        <v>0</v>
      </c>
      <c r="AS85" s="133">
        <f t="shared" si="284"/>
        <v>0</v>
      </c>
      <c r="AT85" s="133">
        <f t="shared" si="285"/>
        <v>0</v>
      </c>
      <c r="AU85" s="133">
        <f t="shared" si="286"/>
        <v>0</v>
      </c>
      <c r="AV85" s="312">
        <f t="shared" si="287"/>
        <v>0</v>
      </c>
      <c r="AW85" s="407">
        <f t="shared" si="288"/>
        <v>24.673999999999999</v>
      </c>
      <c r="AX85" s="133">
        <f t="shared" si="289"/>
        <v>25.849</v>
      </c>
      <c r="AY85" s="152">
        <f t="shared" si="290"/>
        <v>47.078000000000003</v>
      </c>
      <c r="AZ85" s="133">
        <f t="shared" si="291"/>
        <v>0</v>
      </c>
      <c r="BA85" s="133">
        <f t="shared" si="292"/>
        <v>91.603999999999999</v>
      </c>
      <c r="BB85" s="133">
        <f t="shared" si="293"/>
        <v>189.20499999999998</v>
      </c>
      <c r="BC85" s="426">
        <f t="shared" si="294"/>
        <v>1</v>
      </c>
      <c r="BD85" s="190"/>
    </row>
    <row r="86" spans="2:56" s="188" customFormat="1" ht="28.5" customHeight="1">
      <c r="B86" s="184"/>
      <c r="C86" s="229" t="s">
        <v>1419</v>
      </c>
      <c r="D86" s="185" t="s">
        <v>149</v>
      </c>
      <c r="E86" s="181" t="s">
        <v>1145</v>
      </c>
      <c r="F86" s="506" t="s">
        <v>1144</v>
      </c>
      <c r="G86" s="506"/>
      <c r="H86" s="506"/>
      <c r="I86" s="506"/>
      <c r="J86" s="182" t="s">
        <v>198</v>
      </c>
      <c r="K86" s="183">
        <v>7</v>
      </c>
      <c r="L86" s="183">
        <v>7</v>
      </c>
      <c r="M86" s="183">
        <v>11</v>
      </c>
      <c r="N86" s="183">
        <v>0</v>
      </c>
      <c r="O86" s="183">
        <f>O65-O84</f>
        <v>24.300000000000004</v>
      </c>
      <c r="P86" s="403">
        <f t="shared" si="265"/>
        <v>49.300000000000004</v>
      </c>
      <c r="Q86" s="402">
        <v>0</v>
      </c>
      <c r="R86" s="183">
        <v>0</v>
      </c>
      <c r="S86" s="183">
        <v>0</v>
      </c>
      <c r="T86" s="183">
        <v>0</v>
      </c>
      <c r="U86" s="183">
        <v>0</v>
      </c>
      <c r="V86" s="165">
        <f t="shared" si="266"/>
        <v>0</v>
      </c>
      <c r="W86" s="289">
        <f t="shared" si="267"/>
        <v>0</v>
      </c>
      <c r="X86" s="402">
        <f t="shared" si="268"/>
        <v>7</v>
      </c>
      <c r="Y86" s="183">
        <f t="shared" si="269"/>
        <v>7</v>
      </c>
      <c r="Z86" s="183">
        <f t="shared" si="270"/>
        <v>11</v>
      </c>
      <c r="AA86" s="183">
        <f t="shared" si="271"/>
        <v>0</v>
      </c>
      <c r="AB86" s="183">
        <f t="shared" si="272"/>
        <v>24.300000000000004</v>
      </c>
      <c r="AC86" s="165">
        <f t="shared" si="273"/>
        <v>49.300000000000004</v>
      </c>
      <c r="AD86" s="289">
        <f t="shared" si="274"/>
        <v>1</v>
      </c>
      <c r="AE86" s="186">
        <v>17.888999999999999</v>
      </c>
      <c r="AF86" s="186">
        <v>17.888999999999999</v>
      </c>
      <c r="AG86" s="186">
        <v>17.888999999999999</v>
      </c>
      <c r="AH86" s="186">
        <v>17.888999999999999</v>
      </c>
      <c r="AI86" s="186">
        <v>17.888999999999999</v>
      </c>
      <c r="AJ86" s="153">
        <f t="shared" si="275"/>
        <v>125.223</v>
      </c>
      <c r="AK86" s="128">
        <f t="shared" si="276"/>
        <v>125.223</v>
      </c>
      <c r="AL86" s="128">
        <f t="shared" si="277"/>
        <v>196.779</v>
      </c>
      <c r="AM86" s="128">
        <f t="shared" si="278"/>
        <v>0</v>
      </c>
      <c r="AN86" s="128">
        <f t="shared" si="279"/>
        <v>434.70299999999997</v>
      </c>
      <c r="AO86" s="411">
        <f t="shared" si="280"/>
        <v>881.928</v>
      </c>
      <c r="AP86" s="359">
        <f t="shared" si="281"/>
        <v>0</v>
      </c>
      <c r="AQ86" s="128">
        <f t="shared" si="282"/>
        <v>0</v>
      </c>
      <c r="AR86" s="128">
        <f t="shared" si="283"/>
        <v>0</v>
      </c>
      <c r="AS86" s="128">
        <f t="shared" si="284"/>
        <v>0</v>
      </c>
      <c r="AT86" s="128">
        <f t="shared" si="285"/>
        <v>0</v>
      </c>
      <c r="AU86" s="128">
        <f t="shared" si="286"/>
        <v>0</v>
      </c>
      <c r="AV86" s="312">
        <f t="shared" si="287"/>
        <v>0</v>
      </c>
      <c r="AW86" s="359">
        <f t="shared" si="288"/>
        <v>125.223</v>
      </c>
      <c r="AX86" s="128">
        <f t="shared" si="289"/>
        <v>125.223</v>
      </c>
      <c r="AY86" s="128">
        <f t="shared" si="290"/>
        <v>196.779</v>
      </c>
      <c r="AZ86" s="128">
        <f t="shared" si="291"/>
        <v>0</v>
      </c>
      <c r="BA86" s="128">
        <f t="shared" si="292"/>
        <v>434.70299999999997</v>
      </c>
      <c r="BB86" s="128">
        <f t="shared" si="293"/>
        <v>881.928</v>
      </c>
      <c r="BC86" s="426">
        <f t="shared" si="294"/>
        <v>1</v>
      </c>
      <c r="BD86" s="187"/>
    </row>
    <row r="87" spans="2:56" s="188" customFormat="1" ht="41.25" customHeight="1">
      <c r="B87" s="184"/>
      <c r="C87" s="229" t="s">
        <v>1420</v>
      </c>
      <c r="D87" s="185" t="s">
        <v>149</v>
      </c>
      <c r="E87" s="94" t="s">
        <v>1114</v>
      </c>
      <c r="F87" s="498" t="s">
        <v>1115</v>
      </c>
      <c r="G87" s="498"/>
      <c r="H87" s="498"/>
      <c r="I87" s="498"/>
      <c r="J87" s="95" t="s">
        <v>184</v>
      </c>
      <c r="K87" s="128">
        <v>2</v>
      </c>
      <c r="L87" s="128">
        <v>2</v>
      </c>
      <c r="M87" s="183">
        <v>2</v>
      </c>
      <c r="N87" s="183">
        <v>0</v>
      </c>
      <c r="O87" s="183">
        <v>4</v>
      </c>
      <c r="P87" s="403">
        <f t="shared" si="265"/>
        <v>10</v>
      </c>
      <c r="Q87" s="400">
        <v>0</v>
      </c>
      <c r="R87" s="128">
        <v>0</v>
      </c>
      <c r="S87" s="183">
        <v>0</v>
      </c>
      <c r="T87" s="183">
        <v>0</v>
      </c>
      <c r="U87" s="183">
        <v>0</v>
      </c>
      <c r="V87" s="165">
        <f t="shared" si="266"/>
        <v>0</v>
      </c>
      <c r="W87" s="289">
        <f t="shared" si="267"/>
        <v>0</v>
      </c>
      <c r="X87" s="400">
        <f t="shared" si="268"/>
        <v>2</v>
      </c>
      <c r="Y87" s="128">
        <f t="shared" si="269"/>
        <v>2</v>
      </c>
      <c r="Z87" s="183">
        <f t="shared" si="270"/>
        <v>2</v>
      </c>
      <c r="AA87" s="183">
        <f t="shared" si="271"/>
        <v>0</v>
      </c>
      <c r="AB87" s="183">
        <f t="shared" si="272"/>
        <v>4</v>
      </c>
      <c r="AC87" s="165">
        <f t="shared" si="273"/>
        <v>10</v>
      </c>
      <c r="AD87" s="289">
        <f t="shared" si="274"/>
        <v>1</v>
      </c>
      <c r="AE87" s="186">
        <v>1.9890000000000001</v>
      </c>
      <c r="AF87" s="186">
        <v>1.9890000000000001</v>
      </c>
      <c r="AG87" s="186">
        <v>1.9890000000000001</v>
      </c>
      <c r="AH87" s="186">
        <v>1.9890000000000001</v>
      </c>
      <c r="AI87" s="186">
        <v>1.9890000000000001</v>
      </c>
      <c r="AJ87" s="153">
        <f t="shared" si="275"/>
        <v>3.9780000000000002</v>
      </c>
      <c r="AK87" s="128">
        <f t="shared" si="276"/>
        <v>3.9780000000000002</v>
      </c>
      <c r="AL87" s="128">
        <f t="shared" si="277"/>
        <v>3.9780000000000002</v>
      </c>
      <c r="AM87" s="128">
        <f t="shared" si="278"/>
        <v>0</v>
      </c>
      <c r="AN87" s="128">
        <f t="shared" si="279"/>
        <v>7.9560000000000004</v>
      </c>
      <c r="AO87" s="411">
        <f t="shared" si="280"/>
        <v>19.89</v>
      </c>
      <c r="AP87" s="359">
        <f t="shared" si="281"/>
        <v>0</v>
      </c>
      <c r="AQ87" s="128">
        <f t="shared" si="282"/>
        <v>0</v>
      </c>
      <c r="AR87" s="128">
        <f t="shared" si="283"/>
        <v>0</v>
      </c>
      <c r="AS87" s="128">
        <f t="shared" si="284"/>
        <v>0</v>
      </c>
      <c r="AT87" s="128">
        <f t="shared" si="285"/>
        <v>0</v>
      </c>
      <c r="AU87" s="128">
        <f t="shared" si="286"/>
        <v>0</v>
      </c>
      <c r="AV87" s="312">
        <f t="shared" si="287"/>
        <v>0</v>
      </c>
      <c r="AW87" s="359">
        <f t="shared" si="288"/>
        <v>3.9780000000000002</v>
      </c>
      <c r="AX87" s="128">
        <f t="shared" si="289"/>
        <v>3.9780000000000002</v>
      </c>
      <c r="AY87" s="128">
        <f t="shared" si="290"/>
        <v>3.9780000000000002</v>
      </c>
      <c r="AZ87" s="128">
        <f t="shared" si="291"/>
        <v>0</v>
      </c>
      <c r="BA87" s="128">
        <f t="shared" si="292"/>
        <v>7.9560000000000004</v>
      </c>
      <c r="BB87" s="128">
        <f t="shared" si="293"/>
        <v>19.89</v>
      </c>
      <c r="BC87" s="426">
        <f t="shared" si="294"/>
        <v>1</v>
      </c>
      <c r="BD87" s="187"/>
    </row>
    <row r="88" spans="2:56" s="188" customFormat="1" ht="27" customHeight="1">
      <c r="B88" s="184"/>
      <c r="C88" s="229" t="s">
        <v>1421</v>
      </c>
      <c r="D88" s="102" t="s">
        <v>171</v>
      </c>
      <c r="E88" s="103" t="s">
        <v>1122</v>
      </c>
      <c r="F88" s="499" t="s">
        <v>1123</v>
      </c>
      <c r="G88" s="499"/>
      <c r="H88" s="499"/>
      <c r="I88" s="499"/>
      <c r="J88" s="104" t="s">
        <v>184</v>
      </c>
      <c r="K88" s="133">
        <v>2</v>
      </c>
      <c r="L88" s="133">
        <v>2</v>
      </c>
      <c r="M88" s="133">
        <v>2</v>
      </c>
      <c r="N88" s="133">
        <v>0</v>
      </c>
      <c r="O88" s="133">
        <v>4</v>
      </c>
      <c r="P88" s="404">
        <f t="shared" si="265"/>
        <v>10</v>
      </c>
      <c r="Q88" s="401">
        <v>0</v>
      </c>
      <c r="R88" s="133">
        <v>0</v>
      </c>
      <c r="S88" s="133">
        <v>0</v>
      </c>
      <c r="T88" s="133">
        <v>0</v>
      </c>
      <c r="U88" s="133">
        <v>0</v>
      </c>
      <c r="V88" s="177">
        <f t="shared" si="266"/>
        <v>0</v>
      </c>
      <c r="W88" s="289">
        <f t="shared" si="267"/>
        <v>0</v>
      </c>
      <c r="X88" s="401">
        <f t="shared" si="268"/>
        <v>2</v>
      </c>
      <c r="Y88" s="133">
        <f t="shared" si="269"/>
        <v>2</v>
      </c>
      <c r="Z88" s="133">
        <f t="shared" si="270"/>
        <v>2</v>
      </c>
      <c r="AA88" s="133">
        <f t="shared" si="271"/>
        <v>0</v>
      </c>
      <c r="AB88" s="133">
        <f t="shared" si="272"/>
        <v>4</v>
      </c>
      <c r="AC88" s="177">
        <f t="shared" si="273"/>
        <v>10</v>
      </c>
      <c r="AD88" s="289">
        <f t="shared" si="274"/>
        <v>1</v>
      </c>
      <c r="AE88" s="155">
        <v>0.35499999999999998</v>
      </c>
      <c r="AF88" s="155">
        <v>0.35499999999999998</v>
      </c>
      <c r="AG88" s="155">
        <v>0.35499999999999998</v>
      </c>
      <c r="AH88" s="155">
        <v>0.35499999999999998</v>
      </c>
      <c r="AI88" s="155">
        <v>0.35499999999999998</v>
      </c>
      <c r="AJ88" s="152">
        <f t="shared" si="275"/>
        <v>0.71</v>
      </c>
      <c r="AK88" s="133">
        <f t="shared" si="276"/>
        <v>0.71</v>
      </c>
      <c r="AL88" s="152">
        <f t="shared" si="277"/>
        <v>0.71</v>
      </c>
      <c r="AM88" s="133">
        <f t="shared" si="278"/>
        <v>0</v>
      </c>
      <c r="AN88" s="133">
        <f t="shared" si="279"/>
        <v>1.42</v>
      </c>
      <c r="AO88" s="414">
        <f t="shared" si="280"/>
        <v>3.55</v>
      </c>
      <c r="AP88" s="407">
        <f t="shared" si="281"/>
        <v>0</v>
      </c>
      <c r="AQ88" s="133">
        <f t="shared" si="282"/>
        <v>0</v>
      </c>
      <c r="AR88" s="152">
        <f t="shared" si="283"/>
        <v>0</v>
      </c>
      <c r="AS88" s="133">
        <f t="shared" si="284"/>
        <v>0</v>
      </c>
      <c r="AT88" s="133">
        <f t="shared" si="285"/>
        <v>0</v>
      </c>
      <c r="AU88" s="133">
        <f t="shared" si="286"/>
        <v>0</v>
      </c>
      <c r="AV88" s="312">
        <f t="shared" si="287"/>
        <v>0</v>
      </c>
      <c r="AW88" s="407">
        <f t="shared" si="288"/>
        <v>0.71</v>
      </c>
      <c r="AX88" s="133">
        <f t="shared" si="289"/>
        <v>0.71</v>
      </c>
      <c r="AY88" s="152">
        <f t="shared" si="290"/>
        <v>0.71</v>
      </c>
      <c r="AZ88" s="133">
        <f t="shared" si="291"/>
        <v>0</v>
      </c>
      <c r="BA88" s="133">
        <f t="shared" si="292"/>
        <v>1.42</v>
      </c>
      <c r="BB88" s="133">
        <f t="shared" si="293"/>
        <v>3.55</v>
      </c>
      <c r="BC88" s="426">
        <f t="shared" si="294"/>
        <v>1</v>
      </c>
      <c r="BD88" s="187"/>
    </row>
    <row r="89" spans="2:56" s="188" customFormat="1" ht="36.75" customHeight="1">
      <c r="B89" s="184"/>
      <c r="C89" s="229" t="s">
        <v>1422</v>
      </c>
      <c r="D89" s="185" t="s">
        <v>149</v>
      </c>
      <c r="E89" s="94" t="s">
        <v>1124</v>
      </c>
      <c r="F89" s="498" t="s">
        <v>1125</v>
      </c>
      <c r="G89" s="498"/>
      <c r="H89" s="498"/>
      <c r="I89" s="498"/>
      <c r="J89" s="95" t="s">
        <v>184</v>
      </c>
      <c r="K89" s="128">
        <v>2</v>
      </c>
      <c r="L89" s="128">
        <v>2</v>
      </c>
      <c r="M89" s="128">
        <v>2</v>
      </c>
      <c r="N89" s="183">
        <v>0</v>
      </c>
      <c r="O89" s="128">
        <v>2</v>
      </c>
      <c r="P89" s="403">
        <f t="shared" si="265"/>
        <v>8</v>
      </c>
      <c r="Q89" s="400">
        <v>0</v>
      </c>
      <c r="R89" s="128">
        <v>0</v>
      </c>
      <c r="S89" s="128">
        <v>0</v>
      </c>
      <c r="T89" s="183">
        <v>0</v>
      </c>
      <c r="U89" s="128">
        <v>0</v>
      </c>
      <c r="V89" s="165">
        <f t="shared" si="266"/>
        <v>0</v>
      </c>
      <c r="W89" s="289">
        <f t="shared" si="267"/>
        <v>0</v>
      </c>
      <c r="X89" s="400">
        <f t="shared" si="268"/>
        <v>2</v>
      </c>
      <c r="Y89" s="128">
        <f t="shared" si="269"/>
        <v>2</v>
      </c>
      <c r="Z89" s="128">
        <f t="shared" si="270"/>
        <v>2</v>
      </c>
      <c r="AA89" s="183">
        <f t="shared" si="271"/>
        <v>0</v>
      </c>
      <c r="AB89" s="128">
        <f t="shared" si="272"/>
        <v>2</v>
      </c>
      <c r="AC89" s="165">
        <f t="shared" si="273"/>
        <v>8</v>
      </c>
      <c r="AD89" s="289">
        <f t="shared" si="274"/>
        <v>1</v>
      </c>
      <c r="AE89" s="137">
        <v>2.6560000000000001</v>
      </c>
      <c r="AF89" s="137">
        <v>2.6560000000000001</v>
      </c>
      <c r="AG89" s="137">
        <v>2.6560000000000001</v>
      </c>
      <c r="AH89" s="137">
        <v>2.6560000000000001</v>
      </c>
      <c r="AI89" s="137">
        <v>2.6560000000000001</v>
      </c>
      <c r="AJ89" s="153">
        <f t="shared" si="275"/>
        <v>5.3120000000000003</v>
      </c>
      <c r="AK89" s="128">
        <f t="shared" si="276"/>
        <v>5.3120000000000003</v>
      </c>
      <c r="AL89" s="128">
        <f t="shared" si="277"/>
        <v>5.3120000000000003</v>
      </c>
      <c r="AM89" s="128">
        <f t="shared" si="278"/>
        <v>0</v>
      </c>
      <c r="AN89" s="128">
        <f t="shared" si="279"/>
        <v>5.3120000000000003</v>
      </c>
      <c r="AO89" s="411">
        <f t="shared" si="280"/>
        <v>21.248000000000001</v>
      </c>
      <c r="AP89" s="359">
        <f t="shared" si="281"/>
        <v>0</v>
      </c>
      <c r="AQ89" s="128">
        <f t="shared" si="282"/>
        <v>0</v>
      </c>
      <c r="AR89" s="128">
        <f t="shared" si="283"/>
        <v>0</v>
      </c>
      <c r="AS89" s="128">
        <f t="shared" si="284"/>
        <v>0</v>
      </c>
      <c r="AT89" s="128">
        <f t="shared" si="285"/>
        <v>0</v>
      </c>
      <c r="AU89" s="128">
        <f t="shared" si="286"/>
        <v>0</v>
      </c>
      <c r="AV89" s="312">
        <f t="shared" si="287"/>
        <v>0</v>
      </c>
      <c r="AW89" s="359">
        <f t="shared" si="288"/>
        <v>5.3120000000000003</v>
      </c>
      <c r="AX89" s="128">
        <f t="shared" si="289"/>
        <v>5.3120000000000003</v>
      </c>
      <c r="AY89" s="128">
        <f t="shared" si="290"/>
        <v>5.3120000000000003</v>
      </c>
      <c r="AZ89" s="128">
        <f t="shared" si="291"/>
        <v>0</v>
      </c>
      <c r="BA89" s="128">
        <f t="shared" si="292"/>
        <v>5.3120000000000003</v>
      </c>
      <c r="BB89" s="128">
        <f t="shared" si="293"/>
        <v>21.248000000000001</v>
      </c>
      <c r="BC89" s="426">
        <f t="shared" si="294"/>
        <v>1</v>
      </c>
      <c r="BD89" s="187"/>
    </row>
    <row r="90" spans="2:56" s="188" customFormat="1" ht="30" customHeight="1">
      <c r="B90" s="184"/>
      <c r="C90" s="229" t="s">
        <v>1423</v>
      </c>
      <c r="D90" s="102" t="s">
        <v>171</v>
      </c>
      <c r="E90" s="103" t="s">
        <v>1126</v>
      </c>
      <c r="F90" s="499" t="s">
        <v>1127</v>
      </c>
      <c r="G90" s="499"/>
      <c r="H90" s="499"/>
      <c r="I90" s="499"/>
      <c r="J90" s="104" t="s">
        <v>184</v>
      </c>
      <c r="K90" s="133">
        <v>2</v>
      </c>
      <c r="L90" s="133">
        <v>2</v>
      </c>
      <c r="M90" s="133">
        <v>2</v>
      </c>
      <c r="N90" s="133">
        <v>0</v>
      </c>
      <c r="O90" s="133">
        <v>2</v>
      </c>
      <c r="P90" s="404">
        <f t="shared" si="265"/>
        <v>8</v>
      </c>
      <c r="Q90" s="401">
        <v>0</v>
      </c>
      <c r="R90" s="133">
        <v>0</v>
      </c>
      <c r="S90" s="133">
        <v>0</v>
      </c>
      <c r="T90" s="133">
        <v>0</v>
      </c>
      <c r="U90" s="133">
        <v>0</v>
      </c>
      <c r="V90" s="177">
        <f t="shared" si="266"/>
        <v>0</v>
      </c>
      <c r="W90" s="289">
        <f t="shared" si="267"/>
        <v>0</v>
      </c>
      <c r="X90" s="401">
        <f t="shared" si="268"/>
        <v>2</v>
      </c>
      <c r="Y90" s="133">
        <f t="shared" si="269"/>
        <v>2</v>
      </c>
      <c r="Z90" s="133">
        <f t="shared" si="270"/>
        <v>2</v>
      </c>
      <c r="AA90" s="133">
        <f t="shared" si="271"/>
        <v>0</v>
      </c>
      <c r="AB90" s="133">
        <f t="shared" si="272"/>
        <v>2</v>
      </c>
      <c r="AC90" s="177">
        <f t="shared" si="273"/>
        <v>8</v>
      </c>
      <c r="AD90" s="289">
        <f t="shared" si="274"/>
        <v>1</v>
      </c>
      <c r="AE90" s="155">
        <v>6.1440000000000001</v>
      </c>
      <c r="AF90" s="155">
        <v>6.1440000000000001</v>
      </c>
      <c r="AG90" s="155">
        <v>6.1440000000000001</v>
      </c>
      <c r="AH90" s="155">
        <v>6.1440000000000001</v>
      </c>
      <c r="AI90" s="155">
        <v>6.1440000000000001</v>
      </c>
      <c r="AJ90" s="152">
        <f t="shared" si="275"/>
        <v>12.288</v>
      </c>
      <c r="AK90" s="133">
        <f t="shared" si="276"/>
        <v>12.288</v>
      </c>
      <c r="AL90" s="152">
        <f t="shared" si="277"/>
        <v>12.288</v>
      </c>
      <c r="AM90" s="133">
        <f t="shared" si="278"/>
        <v>0</v>
      </c>
      <c r="AN90" s="133">
        <f t="shared" si="279"/>
        <v>12.288</v>
      </c>
      <c r="AO90" s="414">
        <f t="shared" si="280"/>
        <v>49.152000000000001</v>
      </c>
      <c r="AP90" s="407">
        <f t="shared" si="281"/>
        <v>0</v>
      </c>
      <c r="AQ90" s="133">
        <f t="shared" si="282"/>
        <v>0</v>
      </c>
      <c r="AR90" s="152">
        <f t="shared" si="283"/>
        <v>0</v>
      </c>
      <c r="AS90" s="133">
        <f t="shared" si="284"/>
        <v>0</v>
      </c>
      <c r="AT90" s="133">
        <f t="shared" si="285"/>
        <v>0</v>
      </c>
      <c r="AU90" s="133">
        <f t="shared" si="286"/>
        <v>0</v>
      </c>
      <c r="AV90" s="312">
        <f t="shared" si="287"/>
        <v>0</v>
      </c>
      <c r="AW90" s="407">
        <f t="shared" si="288"/>
        <v>12.288</v>
      </c>
      <c r="AX90" s="133">
        <f t="shared" si="289"/>
        <v>12.288</v>
      </c>
      <c r="AY90" s="152">
        <f t="shared" si="290"/>
        <v>12.288</v>
      </c>
      <c r="AZ90" s="133">
        <f t="shared" si="291"/>
        <v>0</v>
      </c>
      <c r="BA90" s="133">
        <f t="shared" si="292"/>
        <v>12.288</v>
      </c>
      <c r="BB90" s="133">
        <f t="shared" si="293"/>
        <v>49.152000000000001</v>
      </c>
      <c r="BC90" s="426">
        <f t="shared" si="294"/>
        <v>1</v>
      </c>
      <c r="BD90" s="187"/>
    </row>
    <row r="91" spans="2:56" s="188" customFormat="1" ht="39" customHeight="1">
      <c r="B91" s="184"/>
      <c r="C91" s="229" t="s">
        <v>1412</v>
      </c>
      <c r="D91" s="185" t="s">
        <v>149</v>
      </c>
      <c r="E91" s="94" t="s">
        <v>1116</v>
      </c>
      <c r="F91" s="498" t="s">
        <v>1117</v>
      </c>
      <c r="G91" s="498"/>
      <c r="H91" s="498"/>
      <c r="I91" s="498"/>
      <c r="J91" s="95" t="s">
        <v>184</v>
      </c>
      <c r="K91" s="128">
        <v>9</v>
      </c>
      <c r="L91" s="128">
        <v>9</v>
      </c>
      <c r="M91" s="128">
        <v>17</v>
      </c>
      <c r="N91" s="183">
        <v>0</v>
      </c>
      <c r="O91" s="128">
        <v>33</v>
      </c>
      <c r="P91" s="403">
        <f t="shared" si="265"/>
        <v>68</v>
      </c>
      <c r="Q91" s="400">
        <v>0</v>
      </c>
      <c r="R91" s="128">
        <v>0</v>
      </c>
      <c r="S91" s="128">
        <v>0</v>
      </c>
      <c r="T91" s="183">
        <v>0</v>
      </c>
      <c r="U91" s="128">
        <v>0</v>
      </c>
      <c r="V91" s="165">
        <f t="shared" si="266"/>
        <v>0</v>
      </c>
      <c r="W91" s="289">
        <f t="shared" si="267"/>
        <v>0</v>
      </c>
      <c r="X91" s="400">
        <f t="shared" si="268"/>
        <v>9</v>
      </c>
      <c r="Y91" s="128">
        <f t="shared" si="269"/>
        <v>9</v>
      </c>
      <c r="Z91" s="128">
        <f t="shared" si="270"/>
        <v>17</v>
      </c>
      <c r="AA91" s="183">
        <f t="shared" si="271"/>
        <v>0</v>
      </c>
      <c r="AB91" s="128">
        <f t="shared" si="272"/>
        <v>33</v>
      </c>
      <c r="AC91" s="165">
        <f t="shared" si="273"/>
        <v>68</v>
      </c>
      <c r="AD91" s="289">
        <f t="shared" si="274"/>
        <v>1</v>
      </c>
      <c r="AE91" s="137">
        <v>2.8929999999999998</v>
      </c>
      <c r="AF91" s="137">
        <v>2.8929999999999998</v>
      </c>
      <c r="AG91" s="137">
        <v>2.8929999999999998</v>
      </c>
      <c r="AH91" s="137">
        <v>2.8929999999999998</v>
      </c>
      <c r="AI91" s="137">
        <v>2.8929999999999998</v>
      </c>
      <c r="AJ91" s="153">
        <f t="shared" si="275"/>
        <v>26.036999999999999</v>
      </c>
      <c r="AK91" s="128">
        <f t="shared" si="276"/>
        <v>26.036999999999999</v>
      </c>
      <c r="AL91" s="128">
        <f t="shared" si="277"/>
        <v>49.180999999999997</v>
      </c>
      <c r="AM91" s="128">
        <f t="shared" si="278"/>
        <v>0</v>
      </c>
      <c r="AN91" s="128">
        <f t="shared" si="279"/>
        <v>95.468999999999994</v>
      </c>
      <c r="AO91" s="411">
        <f t="shared" si="280"/>
        <v>196.72399999999999</v>
      </c>
      <c r="AP91" s="359">
        <f t="shared" si="281"/>
        <v>0</v>
      </c>
      <c r="AQ91" s="128">
        <f t="shared" si="282"/>
        <v>0</v>
      </c>
      <c r="AR91" s="128">
        <f t="shared" si="283"/>
        <v>0</v>
      </c>
      <c r="AS91" s="128">
        <f t="shared" si="284"/>
        <v>0</v>
      </c>
      <c r="AT91" s="128">
        <f t="shared" si="285"/>
        <v>0</v>
      </c>
      <c r="AU91" s="128">
        <f t="shared" si="286"/>
        <v>0</v>
      </c>
      <c r="AV91" s="312">
        <f t="shared" si="287"/>
        <v>0</v>
      </c>
      <c r="AW91" s="359">
        <f t="shared" si="288"/>
        <v>26.036999999999999</v>
      </c>
      <c r="AX91" s="128">
        <f t="shared" si="289"/>
        <v>26.036999999999999</v>
      </c>
      <c r="AY91" s="128">
        <f t="shared" si="290"/>
        <v>49.180999999999997</v>
      </c>
      <c r="AZ91" s="128">
        <f t="shared" si="291"/>
        <v>0</v>
      </c>
      <c r="BA91" s="128">
        <f t="shared" si="292"/>
        <v>95.468999999999994</v>
      </c>
      <c r="BB91" s="128">
        <f t="shared" si="293"/>
        <v>196.72399999999999</v>
      </c>
      <c r="BC91" s="426">
        <f t="shared" si="294"/>
        <v>1</v>
      </c>
      <c r="BD91" s="187"/>
    </row>
    <row r="92" spans="2:56" s="188" customFormat="1" ht="32.25" customHeight="1">
      <c r="B92" s="184"/>
      <c r="C92" s="229" t="s">
        <v>1413</v>
      </c>
      <c r="D92" s="102" t="s">
        <v>171</v>
      </c>
      <c r="E92" s="103" t="s">
        <v>1128</v>
      </c>
      <c r="F92" s="499" t="s">
        <v>1129</v>
      </c>
      <c r="G92" s="499"/>
      <c r="H92" s="499"/>
      <c r="I92" s="499"/>
      <c r="J92" s="104" t="s">
        <v>198</v>
      </c>
      <c r="K92" s="133">
        <v>9</v>
      </c>
      <c r="L92" s="133">
        <v>9</v>
      </c>
      <c r="M92" s="133">
        <v>17</v>
      </c>
      <c r="N92" s="133">
        <v>0</v>
      </c>
      <c r="O92" s="133">
        <v>33</v>
      </c>
      <c r="P92" s="404">
        <f t="shared" si="265"/>
        <v>68</v>
      </c>
      <c r="Q92" s="401">
        <v>0</v>
      </c>
      <c r="R92" s="133">
        <v>0</v>
      </c>
      <c r="S92" s="133">
        <v>0</v>
      </c>
      <c r="T92" s="133">
        <v>0</v>
      </c>
      <c r="U92" s="133">
        <v>0</v>
      </c>
      <c r="V92" s="177">
        <f t="shared" si="266"/>
        <v>0</v>
      </c>
      <c r="W92" s="289">
        <f t="shared" si="267"/>
        <v>0</v>
      </c>
      <c r="X92" s="401">
        <f t="shared" si="268"/>
        <v>9</v>
      </c>
      <c r="Y92" s="133">
        <f t="shared" si="269"/>
        <v>9</v>
      </c>
      <c r="Z92" s="133">
        <f t="shared" si="270"/>
        <v>17</v>
      </c>
      <c r="AA92" s="133">
        <f t="shared" si="271"/>
        <v>0</v>
      </c>
      <c r="AB92" s="133">
        <f t="shared" si="272"/>
        <v>33</v>
      </c>
      <c r="AC92" s="177">
        <f t="shared" si="273"/>
        <v>68</v>
      </c>
      <c r="AD92" s="289">
        <f t="shared" si="274"/>
        <v>1</v>
      </c>
      <c r="AE92" s="155">
        <v>1.476</v>
      </c>
      <c r="AF92" s="155">
        <v>1.476</v>
      </c>
      <c r="AG92" s="155">
        <v>1.476</v>
      </c>
      <c r="AH92" s="155">
        <v>1.476</v>
      </c>
      <c r="AI92" s="155">
        <v>1.476</v>
      </c>
      <c r="AJ92" s="152">
        <f t="shared" si="275"/>
        <v>13.284000000000001</v>
      </c>
      <c r="AK92" s="133">
        <f t="shared" si="276"/>
        <v>13.284000000000001</v>
      </c>
      <c r="AL92" s="152">
        <f t="shared" si="277"/>
        <v>25.091999999999999</v>
      </c>
      <c r="AM92" s="133">
        <f t="shared" si="278"/>
        <v>0</v>
      </c>
      <c r="AN92" s="133">
        <f t="shared" si="279"/>
        <v>48.707999999999998</v>
      </c>
      <c r="AO92" s="414">
        <f t="shared" si="280"/>
        <v>100.36799999999999</v>
      </c>
      <c r="AP92" s="407">
        <f t="shared" si="281"/>
        <v>0</v>
      </c>
      <c r="AQ92" s="133">
        <f t="shared" si="282"/>
        <v>0</v>
      </c>
      <c r="AR92" s="152">
        <f t="shared" si="283"/>
        <v>0</v>
      </c>
      <c r="AS92" s="133">
        <f t="shared" si="284"/>
        <v>0</v>
      </c>
      <c r="AT92" s="133">
        <f t="shared" si="285"/>
        <v>0</v>
      </c>
      <c r="AU92" s="133">
        <f t="shared" si="286"/>
        <v>0</v>
      </c>
      <c r="AV92" s="312">
        <f t="shared" si="287"/>
        <v>0</v>
      </c>
      <c r="AW92" s="407">
        <f t="shared" si="288"/>
        <v>13.284000000000001</v>
      </c>
      <c r="AX92" s="133">
        <f t="shared" si="289"/>
        <v>13.284000000000001</v>
      </c>
      <c r="AY92" s="152">
        <f t="shared" si="290"/>
        <v>25.091999999999999</v>
      </c>
      <c r="AZ92" s="133">
        <f t="shared" si="291"/>
        <v>0</v>
      </c>
      <c r="BA92" s="133">
        <f t="shared" si="292"/>
        <v>48.707999999999998</v>
      </c>
      <c r="BB92" s="133">
        <f t="shared" si="293"/>
        <v>100.36799999999999</v>
      </c>
      <c r="BC92" s="426">
        <f t="shared" si="294"/>
        <v>1</v>
      </c>
      <c r="BD92" s="187"/>
    </row>
    <row r="93" spans="2:56" s="188" customFormat="1" ht="30.75" customHeight="1">
      <c r="B93" s="184"/>
      <c r="C93" s="229" t="s">
        <v>1424</v>
      </c>
      <c r="D93" s="185" t="s">
        <v>149</v>
      </c>
      <c r="E93" s="94" t="s">
        <v>1118</v>
      </c>
      <c r="F93" s="498" t="s">
        <v>1119</v>
      </c>
      <c r="G93" s="498"/>
      <c r="H93" s="498"/>
      <c r="I93" s="498"/>
      <c r="J93" s="95" t="s">
        <v>184</v>
      </c>
      <c r="K93" s="128">
        <v>2</v>
      </c>
      <c r="L93" s="128">
        <v>2</v>
      </c>
      <c r="M93" s="128">
        <v>2</v>
      </c>
      <c r="N93" s="183">
        <v>0</v>
      </c>
      <c r="O93" s="128">
        <v>4</v>
      </c>
      <c r="P93" s="403">
        <f t="shared" si="265"/>
        <v>10</v>
      </c>
      <c r="Q93" s="400">
        <v>0</v>
      </c>
      <c r="R93" s="128">
        <v>0</v>
      </c>
      <c r="S93" s="128">
        <v>0</v>
      </c>
      <c r="T93" s="183">
        <v>0</v>
      </c>
      <c r="U93" s="128">
        <v>0</v>
      </c>
      <c r="V93" s="165">
        <f t="shared" si="266"/>
        <v>0</v>
      </c>
      <c r="W93" s="289">
        <f t="shared" si="267"/>
        <v>0</v>
      </c>
      <c r="X93" s="400">
        <f t="shared" si="268"/>
        <v>2</v>
      </c>
      <c r="Y93" s="128">
        <f t="shared" si="269"/>
        <v>2</v>
      </c>
      <c r="Z93" s="128">
        <f t="shared" si="270"/>
        <v>2</v>
      </c>
      <c r="AA93" s="183">
        <f t="shared" si="271"/>
        <v>0</v>
      </c>
      <c r="AB93" s="128">
        <f t="shared" si="272"/>
        <v>4</v>
      </c>
      <c r="AC93" s="165">
        <f t="shared" si="273"/>
        <v>10</v>
      </c>
      <c r="AD93" s="289">
        <f t="shared" si="274"/>
        <v>1</v>
      </c>
      <c r="AE93" s="137">
        <v>9.3829999999999991</v>
      </c>
      <c r="AF93" s="137">
        <v>9.3829999999999991</v>
      </c>
      <c r="AG93" s="137">
        <v>9.3829999999999991</v>
      </c>
      <c r="AH93" s="137">
        <v>9.3829999999999991</v>
      </c>
      <c r="AI93" s="137">
        <v>9.3829999999999991</v>
      </c>
      <c r="AJ93" s="153">
        <f t="shared" si="275"/>
        <v>18.765999999999998</v>
      </c>
      <c r="AK93" s="128">
        <f t="shared" si="276"/>
        <v>18.765999999999998</v>
      </c>
      <c r="AL93" s="128">
        <f t="shared" si="277"/>
        <v>18.765999999999998</v>
      </c>
      <c r="AM93" s="128">
        <f t="shared" si="278"/>
        <v>0</v>
      </c>
      <c r="AN93" s="128">
        <f t="shared" si="279"/>
        <v>37.531999999999996</v>
      </c>
      <c r="AO93" s="411">
        <f t="shared" si="280"/>
        <v>93.829999999999984</v>
      </c>
      <c r="AP93" s="359">
        <f t="shared" si="281"/>
        <v>0</v>
      </c>
      <c r="AQ93" s="128">
        <f t="shared" si="282"/>
        <v>0</v>
      </c>
      <c r="AR93" s="128">
        <f t="shared" si="283"/>
        <v>0</v>
      </c>
      <c r="AS93" s="128">
        <f t="shared" si="284"/>
        <v>0</v>
      </c>
      <c r="AT93" s="128">
        <f t="shared" si="285"/>
        <v>0</v>
      </c>
      <c r="AU93" s="128">
        <f t="shared" si="286"/>
        <v>0</v>
      </c>
      <c r="AV93" s="312">
        <f t="shared" si="287"/>
        <v>0</v>
      </c>
      <c r="AW93" s="359">
        <f t="shared" si="288"/>
        <v>18.765999999999998</v>
      </c>
      <c r="AX93" s="128">
        <f t="shared" si="289"/>
        <v>18.765999999999998</v>
      </c>
      <c r="AY93" s="128">
        <f t="shared" si="290"/>
        <v>18.765999999999998</v>
      </c>
      <c r="AZ93" s="128">
        <f t="shared" si="291"/>
        <v>0</v>
      </c>
      <c r="BA93" s="128">
        <f t="shared" si="292"/>
        <v>37.531999999999996</v>
      </c>
      <c r="BB93" s="128">
        <f t="shared" si="293"/>
        <v>93.829999999999984</v>
      </c>
      <c r="BC93" s="426">
        <f t="shared" si="294"/>
        <v>1</v>
      </c>
      <c r="BD93" s="187"/>
    </row>
    <row r="94" spans="2:56" s="188" customFormat="1" ht="27" customHeight="1">
      <c r="B94" s="184"/>
      <c r="C94" s="229" t="s">
        <v>1425</v>
      </c>
      <c r="D94" s="102" t="s">
        <v>171</v>
      </c>
      <c r="E94" s="103" t="s">
        <v>1130</v>
      </c>
      <c r="F94" s="499" t="s">
        <v>1131</v>
      </c>
      <c r="G94" s="499"/>
      <c r="H94" s="499"/>
      <c r="I94" s="499"/>
      <c r="J94" s="104" t="s">
        <v>198</v>
      </c>
      <c r="K94" s="133">
        <v>2</v>
      </c>
      <c r="L94" s="133">
        <v>2</v>
      </c>
      <c r="M94" s="133">
        <v>2</v>
      </c>
      <c r="N94" s="133">
        <v>0</v>
      </c>
      <c r="O94" s="133">
        <v>4</v>
      </c>
      <c r="P94" s="404">
        <f t="shared" si="265"/>
        <v>10</v>
      </c>
      <c r="Q94" s="401">
        <v>0</v>
      </c>
      <c r="R94" s="133">
        <v>0</v>
      </c>
      <c r="S94" s="133">
        <v>0</v>
      </c>
      <c r="T94" s="133">
        <v>0</v>
      </c>
      <c r="U94" s="133">
        <v>0</v>
      </c>
      <c r="V94" s="177">
        <f t="shared" si="266"/>
        <v>0</v>
      </c>
      <c r="W94" s="289">
        <f t="shared" si="267"/>
        <v>0</v>
      </c>
      <c r="X94" s="401">
        <f t="shared" si="268"/>
        <v>2</v>
      </c>
      <c r="Y94" s="133">
        <f t="shared" si="269"/>
        <v>2</v>
      </c>
      <c r="Z94" s="133">
        <f t="shared" si="270"/>
        <v>2</v>
      </c>
      <c r="AA94" s="133">
        <f t="shared" si="271"/>
        <v>0</v>
      </c>
      <c r="AB94" s="133">
        <f t="shared" si="272"/>
        <v>4</v>
      </c>
      <c r="AC94" s="177">
        <f t="shared" si="273"/>
        <v>10</v>
      </c>
      <c r="AD94" s="289">
        <f t="shared" si="274"/>
        <v>1</v>
      </c>
      <c r="AE94" s="155">
        <v>50.124000000000002</v>
      </c>
      <c r="AF94" s="155">
        <v>50.124000000000002</v>
      </c>
      <c r="AG94" s="155">
        <v>50.124000000000002</v>
      </c>
      <c r="AH94" s="155">
        <v>50.124000000000002</v>
      </c>
      <c r="AI94" s="155">
        <v>50.124000000000002</v>
      </c>
      <c r="AJ94" s="152">
        <f t="shared" si="275"/>
        <v>100.248</v>
      </c>
      <c r="AK94" s="133">
        <f t="shared" si="276"/>
        <v>100.248</v>
      </c>
      <c r="AL94" s="152">
        <f t="shared" si="277"/>
        <v>100.248</v>
      </c>
      <c r="AM94" s="133">
        <f t="shared" si="278"/>
        <v>0</v>
      </c>
      <c r="AN94" s="133">
        <f t="shared" si="279"/>
        <v>200.49600000000001</v>
      </c>
      <c r="AO94" s="414">
        <f t="shared" si="280"/>
        <v>501.24</v>
      </c>
      <c r="AP94" s="407">
        <f t="shared" si="281"/>
        <v>0</v>
      </c>
      <c r="AQ94" s="133">
        <f t="shared" si="282"/>
        <v>0</v>
      </c>
      <c r="AR94" s="152">
        <f t="shared" si="283"/>
        <v>0</v>
      </c>
      <c r="AS94" s="133">
        <f t="shared" si="284"/>
        <v>0</v>
      </c>
      <c r="AT94" s="133">
        <f t="shared" si="285"/>
        <v>0</v>
      </c>
      <c r="AU94" s="133">
        <f t="shared" si="286"/>
        <v>0</v>
      </c>
      <c r="AV94" s="312">
        <f t="shared" si="287"/>
        <v>0</v>
      </c>
      <c r="AW94" s="407">
        <f t="shared" si="288"/>
        <v>100.248</v>
      </c>
      <c r="AX94" s="133">
        <f t="shared" si="289"/>
        <v>100.248</v>
      </c>
      <c r="AY94" s="152">
        <f t="shared" si="290"/>
        <v>100.248</v>
      </c>
      <c r="AZ94" s="133">
        <f t="shared" si="291"/>
        <v>0</v>
      </c>
      <c r="BA94" s="133">
        <f t="shared" si="292"/>
        <v>200.49600000000001</v>
      </c>
      <c r="BB94" s="133">
        <f t="shared" si="293"/>
        <v>501.24</v>
      </c>
      <c r="BC94" s="426">
        <f t="shared" si="294"/>
        <v>1</v>
      </c>
      <c r="BD94" s="187"/>
    </row>
    <row r="95" spans="2:56" s="188" customFormat="1" ht="39" customHeight="1">
      <c r="B95" s="184"/>
      <c r="C95" s="229" t="s">
        <v>1426</v>
      </c>
      <c r="D95" s="93" t="s">
        <v>149</v>
      </c>
      <c r="E95" s="94" t="s">
        <v>1132</v>
      </c>
      <c r="F95" s="498" t="s">
        <v>1133</v>
      </c>
      <c r="G95" s="498"/>
      <c r="H95" s="498"/>
      <c r="I95" s="498"/>
      <c r="J95" s="95" t="s">
        <v>184</v>
      </c>
      <c r="K95" s="128">
        <v>2</v>
      </c>
      <c r="L95" s="128">
        <v>2</v>
      </c>
      <c r="M95" s="128">
        <v>2</v>
      </c>
      <c r="N95" s="183">
        <v>0</v>
      </c>
      <c r="O95" s="128">
        <v>4</v>
      </c>
      <c r="P95" s="403">
        <f t="shared" si="265"/>
        <v>10</v>
      </c>
      <c r="Q95" s="400">
        <v>0</v>
      </c>
      <c r="R95" s="128">
        <v>0</v>
      </c>
      <c r="S95" s="128">
        <v>0</v>
      </c>
      <c r="T95" s="183">
        <v>0</v>
      </c>
      <c r="U95" s="128">
        <v>0</v>
      </c>
      <c r="V95" s="165">
        <f t="shared" si="266"/>
        <v>0</v>
      </c>
      <c r="W95" s="289">
        <f t="shared" si="267"/>
        <v>0</v>
      </c>
      <c r="X95" s="400">
        <f t="shared" si="268"/>
        <v>2</v>
      </c>
      <c r="Y95" s="128">
        <f t="shared" si="269"/>
        <v>2</v>
      </c>
      <c r="Z95" s="128">
        <f t="shared" si="270"/>
        <v>2</v>
      </c>
      <c r="AA95" s="183">
        <f t="shared" si="271"/>
        <v>0</v>
      </c>
      <c r="AB95" s="128">
        <f t="shared" si="272"/>
        <v>4</v>
      </c>
      <c r="AC95" s="165">
        <f t="shared" si="273"/>
        <v>10</v>
      </c>
      <c r="AD95" s="289">
        <f t="shared" si="274"/>
        <v>1</v>
      </c>
      <c r="AE95" s="137">
        <v>2.1219999999999999</v>
      </c>
      <c r="AF95" s="137">
        <v>2.1219999999999999</v>
      </c>
      <c r="AG95" s="137">
        <v>2.1219999999999999</v>
      </c>
      <c r="AH95" s="137">
        <v>2.1219999999999999</v>
      </c>
      <c r="AI95" s="137">
        <v>2.1219999999999999</v>
      </c>
      <c r="AJ95" s="153">
        <f t="shared" si="275"/>
        <v>4.2439999999999998</v>
      </c>
      <c r="AK95" s="128">
        <f t="shared" si="276"/>
        <v>4.2439999999999998</v>
      </c>
      <c r="AL95" s="128">
        <f t="shared" si="277"/>
        <v>4.2439999999999998</v>
      </c>
      <c r="AM95" s="128">
        <f t="shared" si="278"/>
        <v>0</v>
      </c>
      <c r="AN95" s="128">
        <f t="shared" si="279"/>
        <v>8.4879999999999995</v>
      </c>
      <c r="AO95" s="411">
        <f t="shared" si="280"/>
        <v>21.22</v>
      </c>
      <c r="AP95" s="359">
        <f t="shared" si="281"/>
        <v>0</v>
      </c>
      <c r="AQ95" s="128">
        <f t="shared" si="282"/>
        <v>0</v>
      </c>
      <c r="AR95" s="128">
        <f t="shared" si="283"/>
        <v>0</v>
      </c>
      <c r="AS95" s="128">
        <f t="shared" si="284"/>
        <v>0</v>
      </c>
      <c r="AT95" s="128">
        <f t="shared" si="285"/>
        <v>0</v>
      </c>
      <c r="AU95" s="128">
        <f t="shared" si="286"/>
        <v>0</v>
      </c>
      <c r="AV95" s="312">
        <f t="shared" si="287"/>
        <v>0</v>
      </c>
      <c r="AW95" s="359">
        <f t="shared" si="288"/>
        <v>4.2439999999999998</v>
      </c>
      <c r="AX95" s="128">
        <f t="shared" si="289"/>
        <v>4.2439999999999998</v>
      </c>
      <c r="AY95" s="128">
        <f t="shared" si="290"/>
        <v>4.2439999999999998</v>
      </c>
      <c r="AZ95" s="128">
        <f t="shared" si="291"/>
        <v>0</v>
      </c>
      <c r="BA95" s="128">
        <f t="shared" si="292"/>
        <v>8.4879999999999995</v>
      </c>
      <c r="BB95" s="128">
        <f t="shared" si="293"/>
        <v>21.22</v>
      </c>
      <c r="BC95" s="426">
        <f t="shared" si="294"/>
        <v>1</v>
      </c>
      <c r="BD95" s="187"/>
    </row>
    <row r="96" spans="2:56" s="188" customFormat="1" ht="32.25" customHeight="1">
      <c r="B96" s="184"/>
      <c r="C96" s="229" t="s">
        <v>1427</v>
      </c>
      <c r="D96" s="102" t="s">
        <v>171</v>
      </c>
      <c r="E96" s="103" t="s">
        <v>1134</v>
      </c>
      <c r="F96" s="499" t="s">
        <v>1135</v>
      </c>
      <c r="G96" s="499"/>
      <c r="H96" s="499"/>
      <c r="I96" s="499"/>
      <c r="J96" s="104" t="s">
        <v>198</v>
      </c>
      <c r="K96" s="133">
        <v>2</v>
      </c>
      <c r="L96" s="133">
        <v>2</v>
      </c>
      <c r="M96" s="133">
        <v>2</v>
      </c>
      <c r="N96" s="133">
        <v>0</v>
      </c>
      <c r="O96" s="133">
        <v>4</v>
      </c>
      <c r="P96" s="404">
        <f t="shared" si="265"/>
        <v>10</v>
      </c>
      <c r="Q96" s="401">
        <v>0</v>
      </c>
      <c r="R96" s="133">
        <v>0</v>
      </c>
      <c r="S96" s="133">
        <v>0</v>
      </c>
      <c r="T96" s="133">
        <v>0</v>
      </c>
      <c r="U96" s="133">
        <v>0</v>
      </c>
      <c r="V96" s="177">
        <f t="shared" si="266"/>
        <v>0</v>
      </c>
      <c r="W96" s="289">
        <f t="shared" si="267"/>
        <v>0</v>
      </c>
      <c r="X96" s="401">
        <f t="shared" si="268"/>
        <v>2</v>
      </c>
      <c r="Y96" s="133">
        <f t="shared" si="269"/>
        <v>2</v>
      </c>
      <c r="Z96" s="133">
        <f t="shared" si="270"/>
        <v>2</v>
      </c>
      <c r="AA96" s="133">
        <f t="shared" si="271"/>
        <v>0</v>
      </c>
      <c r="AB96" s="133">
        <f t="shared" si="272"/>
        <v>4</v>
      </c>
      <c r="AC96" s="177">
        <f t="shared" si="273"/>
        <v>10</v>
      </c>
      <c r="AD96" s="289">
        <f t="shared" si="274"/>
        <v>1</v>
      </c>
      <c r="AE96" s="155">
        <v>3.6619999999999999</v>
      </c>
      <c r="AF96" s="155">
        <v>3.6619999999999999</v>
      </c>
      <c r="AG96" s="155">
        <v>3.6619999999999999</v>
      </c>
      <c r="AH96" s="155">
        <v>3.6619999999999999</v>
      </c>
      <c r="AI96" s="155">
        <v>3.6619999999999999</v>
      </c>
      <c r="AJ96" s="152">
        <f t="shared" si="275"/>
        <v>7.3239999999999998</v>
      </c>
      <c r="AK96" s="133">
        <f t="shared" si="276"/>
        <v>7.3239999999999998</v>
      </c>
      <c r="AL96" s="152">
        <f t="shared" si="277"/>
        <v>7.3239999999999998</v>
      </c>
      <c r="AM96" s="133">
        <f t="shared" si="278"/>
        <v>0</v>
      </c>
      <c r="AN96" s="133">
        <f t="shared" si="279"/>
        <v>14.648</v>
      </c>
      <c r="AO96" s="414">
        <f t="shared" si="280"/>
        <v>36.620000000000005</v>
      </c>
      <c r="AP96" s="407">
        <f t="shared" si="281"/>
        <v>0</v>
      </c>
      <c r="AQ96" s="133">
        <f t="shared" si="282"/>
        <v>0</v>
      </c>
      <c r="AR96" s="152">
        <f t="shared" si="283"/>
        <v>0</v>
      </c>
      <c r="AS96" s="133">
        <f t="shared" si="284"/>
        <v>0</v>
      </c>
      <c r="AT96" s="133">
        <f t="shared" si="285"/>
        <v>0</v>
      </c>
      <c r="AU96" s="133">
        <f t="shared" si="286"/>
        <v>0</v>
      </c>
      <c r="AV96" s="312">
        <f t="shared" si="287"/>
        <v>0</v>
      </c>
      <c r="AW96" s="407">
        <f t="shared" si="288"/>
        <v>7.3239999999999998</v>
      </c>
      <c r="AX96" s="133">
        <f t="shared" si="289"/>
        <v>7.3239999999999998</v>
      </c>
      <c r="AY96" s="152">
        <f t="shared" si="290"/>
        <v>7.3239999999999998</v>
      </c>
      <c r="AZ96" s="133">
        <f t="shared" si="291"/>
        <v>0</v>
      </c>
      <c r="BA96" s="133">
        <f t="shared" si="292"/>
        <v>14.648</v>
      </c>
      <c r="BB96" s="133">
        <f t="shared" si="293"/>
        <v>36.620000000000005</v>
      </c>
      <c r="BC96" s="426">
        <f t="shared" si="294"/>
        <v>1</v>
      </c>
      <c r="BD96" s="187"/>
    </row>
    <row r="97" spans="2:56" s="188" customFormat="1" ht="39.75" customHeight="1">
      <c r="B97" s="184"/>
      <c r="C97" s="229" t="s">
        <v>1428</v>
      </c>
      <c r="D97" s="185" t="s">
        <v>149</v>
      </c>
      <c r="E97" s="94" t="s">
        <v>1136</v>
      </c>
      <c r="F97" s="498" t="s">
        <v>1137</v>
      </c>
      <c r="G97" s="498"/>
      <c r="H97" s="498"/>
      <c r="I97" s="498"/>
      <c r="J97" s="95" t="s">
        <v>184</v>
      </c>
      <c r="K97" s="128">
        <v>2</v>
      </c>
      <c r="L97" s="128">
        <v>2</v>
      </c>
      <c r="M97" s="128">
        <v>2</v>
      </c>
      <c r="N97" s="183">
        <v>0</v>
      </c>
      <c r="O97" s="128">
        <v>4</v>
      </c>
      <c r="P97" s="403">
        <f t="shared" si="265"/>
        <v>10</v>
      </c>
      <c r="Q97" s="400">
        <v>0</v>
      </c>
      <c r="R97" s="128">
        <v>0</v>
      </c>
      <c r="S97" s="128">
        <v>0</v>
      </c>
      <c r="T97" s="183">
        <v>0</v>
      </c>
      <c r="U97" s="128">
        <v>0</v>
      </c>
      <c r="V97" s="165">
        <f t="shared" si="266"/>
        <v>0</v>
      </c>
      <c r="W97" s="289">
        <f t="shared" si="267"/>
        <v>0</v>
      </c>
      <c r="X97" s="400">
        <f t="shared" si="268"/>
        <v>2</v>
      </c>
      <c r="Y97" s="128">
        <f t="shared" si="269"/>
        <v>2</v>
      </c>
      <c r="Z97" s="128">
        <f t="shared" si="270"/>
        <v>2</v>
      </c>
      <c r="AA97" s="183">
        <f t="shared" si="271"/>
        <v>0</v>
      </c>
      <c r="AB97" s="128">
        <f t="shared" si="272"/>
        <v>4</v>
      </c>
      <c r="AC97" s="165">
        <f t="shared" si="273"/>
        <v>10</v>
      </c>
      <c r="AD97" s="289">
        <f t="shared" si="274"/>
        <v>1</v>
      </c>
      <c r="AE97" s="137">
        <v>5.39</v>
      </c>
      <c r="AF97" s="137">
        <v>5.39</v>
      </c>
      <c r="AG97" s="137">
        <v>5.39</v>
      </c>
      <c r="AH97" s="137">
        <v>5.39</v>
      </c>
      <c r="AI97" s="137">
        <v>5.39</v>
      </c>
      <c r="AJ97" s="153">
        <f t="shared" si="275"/>
        <v>10.78</v>
      </c>
      <c r="AK97" s="128">
        <f t="shared" si="276"/>
        <v>10.78</v>
      </c>
      <c r="AL97" s="128">
        <f t="shared" si="277"/>
        <v>10.78</v>
      </c>
      <c r="AM97" s="128">
        <f t="shared" si="278"/>
        <v>0</v>
      </c>
      <c r="AN97" s="128">
        <f t="shared" si="279"/>
        <v>21.56</v>
      </c>
      <c r="AO97" s="411">
        <f t="shared" si="280"/>
        <v>53.899999999999991</v>
      </c>
      <c r="AP97" s="359">
        <f t="shared" si="281"/>
        <v>0</v>
      </c>
      <c r="AQ97" s="128">
        <f t="shared" si="282"/>
        <v>0</v>
      </c>
      <c r="AR97" s="128">
        <f t="shared" si="283"/>
        <v>0</v>
      </c>
      <c r="AS97" s="128">
        <f t="shared" si="284"/>
        <v>0</v>
      </c>
      <c r="AT97" s="128">
        <f t="shared" si="285"/>
        <v>0</v>
      </c>
      <c r="AU97" s="128">
        <f t="shared" si="286"/>
        <v>0</v>
      </c>
      <c r="AV97" s="312">
        <f t="shared" si="287"/>
        <v>0</v>
      </c>
      <c r="AW97" s="359">
        <f t="shared" si="288"/>
        <v>10.78</v>
      </c>
      <c r="AX97" s="128">
        <f t="shared" si="289"/>
        <v>10.78</v>
      </c>
      <c r="AY97" s="128">
        <f t="shared" si="290"/>
        <v>10.78</v>
      </c>
      <c r="AZ97" s="128">
        <f t="shared" si="291"/>
        <v>0</v>
      </c>
      <c r="BA97" s="128">
        <f t="shared" si="292"/>
        <v>21.56</v>
      </c>
      <c r="BB97" s="128">
        <f t="shared" si="293"/>
        <v>53.899999999999991</v>
      </c>
      <c r="BC97" s="426">
        <f t="shared" si="294"/>
        <v>1</v>
      </c>
      <c r="BD97" s="187"/>
    </row>
    <row r="98" spans="2:56" s="188" customFormat="1" ht="32.25" customHeight="1">
      <c r="B98" s="184"/>
      <c r="C98" s="229" t="s">
        <v>1429</v>
      </c>
      <c r="D98" s="102" t="s">
        <v>171</v>
      </c>
      <c r="E98" s="103" t="s">
        <v>1138</v>
      </c>
      <c r="F98" s="499" t="s">
        <v>1139</v>
      </c>
      <c r="G98" s="499"/>
      <c r="H98" s="499"/>
      <c r="I98" s="499"/>
      <c r="J98" s="104" t="s">
        <v>184</v>
      </c>
      <c r="K98" s="133">
        <v>2</v>
      </c>
      <c r="L98" s="133">
        <v>2</v>
      </c>
      <c r="M98" s="133">
        <v>2</v>
      </c>
      <c r="N98" s="133">
        <v>0</v>
      </c>
      <c r="O98" s="133">
        <v>4</v>
      </c>
      <c r="P98" s="404">
        <f t="shared" si="265"/>
        <v>10</v>
      </c>
      <c r="Q98" s="401">
        <v>0</v>
      </c>
      <c r="R98" s="133">
        <v>0</v>
      </c>
      <c r="S98" s="133">
        <v>0</v>
      </c>
      <c r="T98" s="133">
        <v>0</v>
      </c>
      <c r="U98" s="133">
        <v>0</v>
      </c>
      <c r="V98" s="177">
        <f t="shared" si="266"/>
        <v>0</v>
      </c>
      <c r="W98" s="289">
        <f t="shared" si="267"/>
        <v>0</v>
      </c>
      <c r="X98" s="401">
        <f t="shared" si="268"/>
        <v>2</v>
      </c>
      <c r="Y98" s="133">
        <f t="shared" si="269"/>
        <v>2</v>
      </c>
      <c r="Z98" s="133">
        <f t="shared" si="270"/>
        <v>2</v>
      </c>
      <c r="AA98" s="133">
        <f t="shared" si="271"/>
        <v>0</v>
      </c>
      <c r="AB98" s="133">
        <f t="shared" si="272"/>
        <v>4</v>
      </c>
      <c r="AC98" s="177">
        <f t="shared" si="273"/>
        <v>10</v>
      </c>
      <c r="AD98" s="289">
        <f t="shared" si="274"/>
        <v>1</v>
      </c>
      <c r="AE98" s="155">
        <v>3.1739999999999999</v>
      </c>
      <c r="AF98" s="155">
        <v>3.1739999999999999</v>
      </c>
      <c r="AG98" s="155">
        <v>3.1739999999999999</v>
      </c>
      <c r="AH98" s="155">
        <v>3.1739999999999999</v>
      </c>
      <c r="AI98" s="155">
        <v>3.1739999999999999</v>
      </c>
      <c r="AJ98" s="152">
        <f t="shared" si="275"/>
        <v>6.3479999999999999</v>
      </c>
      <c r="AK98" s="133">
        <f t="shared" si="276"/>
        <v>6.3479999999999999</v>
      </c>
      <c r="AL98" s="152">
        <f t="shared" si="277"/>
        <v>6.3479999999999999</v>
      </c>
      <c r="AM98" s="133">
        <f t="shared" si="278"/>
        <v>0</v>
      </c>
      <c r="AN98" s="133">
        <f t="shared" si="279"/>
        <v>12.696</v>
      </c>
      <c r="AO98" s="414">
        <f t="shared" si="280"/>
        <v>31.740000000000002</v>
      </c>
      <c r="AP98" s="407">
        <f t="shared" si="281"/>
        <v>0</v>
      </c>
      <c r="AQ98" s="133">
        <f t="shared" si="282"/>
        <v>0</v>
      </c>
      <c r="AR98" s="152">
        <f t="shared" si="283"/>
        <v>0</v>
      </c>
      <c r="AS98" s="133">
        <f t="shared" si="284"/>
        <v>0</v>
      </c>
      <c r="AT98" s="133">
        <f t="shared" si="285"/>
        <v>0</v>
      </c>
      <c r="AU98" s="133">
        <f t="shared" si="286"/>
        <v>0</v>
      </c>
      <c r="AV98" s="312">
        <f t="shared" si="287"/>
        <v>0</v>
      </c>
      <c r="AW98" s="407">
        <f t="shared" si="288"/>
        <v>6.3479999999999999</v>
      </c>
      <c r="AX98" s="133">
        <f t="shared" si="289"/>
        <v>6.3479999999999999</v>
      </c>
      <c r="AY98" s="152">
        <f t="shared" si="290"/>
        <v>6.3479999999999999</v>
      </c>
      <c r="AZ98" s="133">
        <f t="shared" si="291"/>
        <v>0</v>
      </c>
      <c r="BA98" s="133">
        <f t="shared" si="292"/>
        <v>12.696</v>
      </c>
      <c r="BB98" s="133">
        <f t="shared" si="293"/>
        <v>31.740000000000002</v>
      </c>
      <c r="BC98" s="426">
        <f t="shared" si="294"/>
        <v>1</v>
      </c>
      <c r="BD98" s="187"/>
    </row>
    <row r="99" spans="2:56" s="188" customFormat="1" ht="40.5" customHeight="1">
      <c r="B99" s="184"/>
      <c r="C99" s="229" t="s">
        <v>1430</v>
      </c>
      <c r="D99" s="93" t="s">
        <v>149</v>
      </c>
      <c r="E99" s="94" t="s">
        <v>1140</v>
      </c>
      <c r="F99" s="498" t="s">
        <v>1141</v>
      </c>
      <c r="G99" s="498"/>
      <c r="H99" s="498"/>
      <c r="I99" s="498"/>
      <c r="J99" s="95" t="s">
        <v>184</v>
      </c>
      <c r="K99" s="128">
        <v>7</v>
      </c>
      <c r="L99" s="128">
        <v>7</v>
      </c>
      <c r="M99" s="128">
        <v>11</v>
      </c>
      <c r="N99" s="183">
        <v>0</v>
      </c>
      <c r="O99" s="128">
        <v>25</v>
      </c>
      <c r="P99" s="403">
        <f t="shared" si="265"/>
        <v>50</v>
      </c>
      <c r="Q99" s="400">
        <v>0</v>
      </c>
      <c r="R99" s="128">
        <v>0</v>
      </c>
      <c r="S99" s="128">
        <v>0</v>
      </c>
      <c r="T99" s="183">
        <v>0</v>
      </c>
      <c r="U99" s="128">
        <v>0</v>
      </c>
      <c r="V99" s="165">
        <f t="shared" si="266"/>
        <v>0</v>
      </c>
      <c r="W99" s="289">
        <f t="shared" si="267"/>
        <v>0</v>
      </c>
      <c r="X99" s="400">
        <f t="shared" si="268"/>
        <v>7</v>
      </c>
      <c r="Y99" s="128">
        <f t="shared" si="269"/>
        <v>7</v>
      </c>
      <c r="Z99" s="128">
        <f t="shared" si="270"/>
        <v>11</v>
      </c>
      <c r="AA99" s="183">
        <f t="shared" si="271"/>
        <v>0</v>
      </c>
      <c r="AB99" s="128">
        <f t="shared" si="272"/>
        <v>25</v>
      </c>
      <c r="AC99" s="165">
        <f t="shared" si="273"/>
        <v>50</v>
      </c>
      <c r="AD99" s="289">
        <f t="shared" si="274"/>
        <v>1</v>
      </c>
      <c r="AE99" s="137">
        <v>1.7170000000000001</v>
      </c>
      <c r="AF99" s="137">
        <v>1.7170000000000001</v>
      </c>
      <c r="AG99" s="137">
        <v>1.7170000000000001</v>
      </c>
      <c r="AH99" s="137">
        <v>1.7170000000000001</v>
      </c>
      <c r="AI99" s="137">
        <v>1.7170000000000001</v>
      </c>
      <c r="AJ99" s="153">
        <f t="shared" si="275"/>
        <v>12.019</v>
      </c>
      <c r="AK99" s="128">
        <f t="shared" si="276"/>
        <v>12.019</v>
      </c>
      <c r="AL99" s="128">
        <f t="shared" si="277"/>
        <v>18.887</v>
      </c>
      <c r="AM99" s="128">
        <f t="shared" si="278"/>
        <v>0</v>
      </c>
      <c r="AN99" s="128">
        <f t="shared" si="279"/>
        <v>42.924999999999997</v>
      </c>
      <c r="AO99" s="411">
        <f t="shared" si="280"/>
        <v>85.85</v>
      </c>
      <c r="AP99" s="359">
        <f t="shared" si="281"/>
        <v>0</v>
      </c>
      <c r="AQ99" s="128">
        <f t="shared" si="282"/>
        <v>0</v>
      </c>
      <c r="AR99" s="128">
        <f t="shared" si="283"/>
        <v>0</v>
      </c>
      <c r="AS99" s="128">
        <f t="shared" si="284"/>
        <v>0</v>
      </c>
      <c r="AT99" s="128">
        <f t="shared" si="285"/>
        <v>0</v>
      </c>
      <c r="AU99" s="128">
        <f t="shared" si="286"/>
        <v>0</v>
      </c>
      <c r="AV99" s="312">
        <f t="shared" si="287"/>
        <v>0</v>
      </c>
      <c r="AW99" s="359">
        <f t="shared" si="288"/>
        <v>12.019</v>
      </c>
      <c r="AX99" s="128">
        <f t="shared" si="289"/>
        <v>12.019</v>
      </c>
      <c r="AY99" s="128">
        <f t="shared" si="290"/>
        <v>18.887</v>
      </c>
      <c r="AZ99" s="128">
        <f t="shared" si="291"/>
        <v>0</v>
      </c>
      <c r="BA99" s="128">
        <f t="shared" si="292"/>
        <v>42.924999999999997</v>
      </c>
      <c r="BB99" s="128">
        <f t="shared" si="293"/>
        <v>85.85</v>
      </c>
      <c r="BC99" s="426">
        <f t="shared" si="294"/>
        <v>1</v>
      </c>
      <c r="BD99" s="187"/>
    </row>
    <row r="100" spans="2:56" s="188" customFormat="1" ht="32.25" customHeight="1">
      <c r="B100" s="184"/>
      <c r="C100" s="229" t="s">
        <v>1431</v>
      </c>
      <c r="D100" s="102" t="s">
        <v>171</v>
      </c>
      <c r="E100" s="103" t="s">
        <v>1142</v>
      </c>
      <c r="F100" s="499" t="s">
        <v>1143</v>
      </c>
      <c r="G100" s="499"/>
      <c r="H100" s="499"/>
      <c r="I100" s="499"/>
      <c r="J100" s="104" t="s">
        <v>184</v>
      </c>
      <c r="K100" s="133">
        <v>7</v>
      </c>
      <c r="L100" s="133">
        <v>7</v>
      </c>
      <c r="M100" s="133">
        <v>11</v>
      </c>
      <c r="N100" s="133">
        <v>0</v>
      </c>
      <c r="O100" s="133">
        <v>25</v>
      </c>
      <c r="P100" s="404">
        <f t="shared" si="265"/>
        <v>50</v>
      </c>
      <c r="Q100" s="401">
        <v>0</v>
      </c>
      <c r="R100" s="133">
        <v>0</v>
      </c>
      <c r="S100" s="133">
        <v>0</v>
      </c>
      <c r="T100" s="133">
        <v>0</v>
      </c>
      <c r="U100" s="133">
        <v>0</v>
      </c>
      <c r="V100" s="177">
        <f t="shared" si="266"/>
        <v>0</v>
      </c>
      <c r="W100" s="289">
        <f t="shared" si="267"/>
        <v>0</v>
      </c>
      <c r="X100" s="401">
        <f t="shared" si="268"/>
        <v>7</v>
      </c>
      <c r="Y100" s="133">
        <f t="shared" si="269"/>
        <v>7</v>
      </c>
      <c r="Z100" s="133">
        <f t="shared" si="270"/>
        <v>11</v>
      </c>
      <c r="AA100" s="133">
        <f t="shared" si="271"/>
        <v>0</v>
      </c>
      <c r="AB100" s="133">
        <f t="shared" si="272"/>
        <v>25</v>
      </c>
      <c r="AC100" s="177">
        <f t="shared" si="273"/>
        <v>50</v>
      </c>
      <c r="AD100" s="289">
        <f t="shared" si="274"/>
        <v>1</v>
      </c>
      <c r="AE100" s="155">
        <v>1.2170000000000001</v>
      </c>
      <c r="AF100" s="155">
        <v>1.2170000000000001</v>
      </c>
      <c r="AG100" s="155">
        <v>1.2170000000000001</v>
      </c>
      <c r="AH100" s="155">
        <v>1.2170000000000001</v>
      </c>
      <c r="AI100" s="155">
        <v>1.2170000000000001</v>
      </c>
      <c r="AJ100" s="152">
        <f t="shared" si="275"/>
        <v>8.5190000000000001</v>
      </c>
      <c r="AK100" s="133">
        <f t="shared" si="276"/>
        <v>8.5190000000000001</v>
      </c>
      <c r="AL100" s="152">
        <f t="shared" si="277"/>
        <v>13.387</v>
      </c>
      <c r="AM100" s="133">
        <f t="shared" si="278"/>
        <v>0</v>
      </c>
      <c r="AN100" s="133">
        <f t="shared" si="279"/>
        <v>30.425000000000001</v>
      </c>
      <c r="AO100" s="414">
        <f t="shared" si="280"/>
        <v>60.85</v>
      </c>
      <c r="AP100" s="407">
        <f t="shared" si="281"/>
        <v>0</v>
      </c>
      <c r="AQ100" s="133">
        <f t="shared" si="282"/>
        <v>0</v>
      </c>
      <c r="AR100" s="152">
        <f t="shared" si="283"/>
        <v>0</v>
      </c>
      <c r="AS100" s="133">
        <f t="shared" si="284"/>
        <v>0</v>
      </c>
      <c r="AT100" s="133">
        <f t="shared" si="285"/>
        <v>0</v>
      </c>
      <c r="AU100" s="133">
        <f t="shared" si="286"/>
        <v>0</v>
      </c>
      <c r="AV100" s="312">
        <f t="shared" si="287"/>
        <v>0</v>
      </c>
      <c r="AW100" s="407">
        <f t="shared" si="288"/>
        <v>8.5190000000000001</v>
      </c>
      <c r="AX100" s="133">
        <f t="shared" si="289"/>
        <v>8.5190000000000001</v>
      </c>
      <c r="AY100" s="152">
        <f t="shared" si="290"/>
        <v>13.387</v>
      </c>
      <c r="AZ100" s="133">
        <f t="shared" si="291"/>
        <v>0</v>
      </c>
      <c r="BA100" s="133">
        <f t="shared" si="292"/>
        <v>30.425000000000001</v>
      </c>
      <c r="BB100" s="133">
        <f t="shared" si="293"/>
        <v>60.85</v>
      </c>
      <c r="BC100" s="426">
        <f t="shared" si="294"/>
        <v>1</v>
      </c>
      <c r="BD100" s="187"/>
    </row>
    <row r="101" spans="2:56" s="188" customFormat="1" ht="32.25" customHeight="1">
      <c r="B101" s="184"/>
      <c r="C101" s="229" t="s">
        <v>1432</v>
      </c>
      <c r="D101" s="93" t="s">
        <v>149</v>
      </c>
      <c r="E101" s="94" t="s">
        <v>1146</v>
      </c>
      <c r="F101" s="498" t="s">
        <v>1147</v>
      </c>
      <c r="G101" s="498"/>
      <c r="H101" s="498"/>
      <c r="I101" s="498"/>
      <c r="J101" s="95" t="s">
        <v>198</v>
      </c>
      <c r="K101" s="128">
        <v>0</v>
      </c>
      <c r="L101" s="128">
        <v>0</v>
      </c>
      <c r="M101" s="128">
        <v>0</v>
      </c>
      <c r="N101" s="128">
        <v>0</v>
      </c>
      <c r="O101" s="128">
        <v>13.1</v>
      </c>
      <c r="P101" s="403">
        <f t="shared" si="265"/>
        <v>13.1</v>
      </c>
      <c r="Q101" s="400">
        <v>0</v>
      </c>
      <c r="R101" s="128">
        <v>0</v>
      </c>
      <c r="S101" s="128">
        <v>0</v>
      </c>
      <c r="T101" s="128">
        <v>0</v>
      </c>
      <c r="U101" s="128">
        <v>0</v>
      </c>
      <c r="V101" s="165">
        <f t="shared" si="266"/>
        <v>0</v>
      </c>
      <c r="W101" s="289">
        <f t="shared" si="267"/>
        <v>0</v>
      </c>
      <c r="X101" s="400">
        <f t="shared" si="268"/>
        <v>0</v>
      </c>
      <c r="Y101" s="128">
        <f t="shared" si="269"/>
        <v>0</v>
      </c>
      <c r="Z101" s="128">
        <f t="shared" si="270"/>
        <v>0</v>
      </c>
      <c r="AA101" s="128">
        <f t="shared" si="271"/>
        <v>0</v>
      </c>
      <c r="AB101" s="128">
        <f t="shared" si="272"/>
        <v>13.1</v>
      </c>
      <c r="AC101" s="165">
        <f t="shared" si="273"/>
        <v>13.1</v>
      </c>
      <c r="AD101" s="289">
        <f t="shared" si="274"/>
        <v>1</v>
      </c>
      <c r="AE101" s="137">
        <v>13.391999999999999</v>
      </c>
      <c r="AF101" s="137">
        <v>13.391999999999999</v>
      </c>
      <c r="AG101" s="137">
        <v>13.391999999999999</v>
      </c>
      <c r="AH101" s="137">
        <v>13.391999999999999</v>
      </c>
      <c r="AI101" s="137">
        <v>13.391999999999999</v>
      </c>
      <c r="AJ101" s="153">
        <f t="shared" si="275"/>
        <v>0</v>
      </c>
      <c r="AK101" s="128">
        <f t="shared" si="276"/>
        <v>0</v>
      </c>
      <c r="AL101" s="128">
        <f t="shared" si="277"/>
        <v>0</v>
      </c>
      <c r="AM101" s="128">
        <f t="shared" si="278"/>
        <v>0</v>
      </c>
      <c r="AN101" s="128">
        <f t="shared" si="279"/>
        <v>175.435</v>
      </c>
      <c r="AO101" s="411">
        <f t="shared" si="280"/>
        <v>175.435</v>
      </c>
      <c r="AP101" s="359">
        <f t="shared" si="281"/>
        <v>0</v>
      </c>
      <c r="AQ101" s="128">
        <f t="shared" si="282"/>
        <v>0</v>
      </c>
      <c r="AR101" s="128">
        <f t="shared" si="283"/>
        <v>0</v>
      </c>
      <c r="AS101" s="128">
        <f t="shared" si="284"/>
        <v>0</v>
      </c>
      <c r="AT101" s="128">
        <f t="shared" si="285"/>
        <v>0</v>
      </c>
      <c r="AU101" s="128">
        <f t="shared" si="286"/>
        <v>0</v>
      </c>
      <c r="AV101" s="312">
        <f t="shared" si="287"/>
        <v>0</v>
      </c>
      <c r="AW101" s="359">
        <f t="shared" si="288"/>
        <v>0</v>
      </c>
      <c r="AX101" s="128">
        <f t="shared" si="289"/>
        <v>0</v>
      </c>
      <c r="AY101" s="128">
        <f t="shared" si="290"/>
        <v>0</v>
      </c>
      <c r="AZ101" s="128">
        <f t="shared" si="291"/>
        <v>0</v>
      </c>
      <c r="BA101" s="128">
        <f t="shared" si="292"/>
        <v>175.435</v>
      </c>
      <c r="BB101" s="128">
        <f t="shared" si="293"/>
        <v>175.435</v>
      </c>
      <c r="BC101" s="426">
        <f t="shared" si="294"/>
        <v>1</v>
      </c>
      <c r="BD101" s="187"/>
    </row>
    <row r="102" spans="2:56" s="1" customFormat="1" ht="6.95" customHeight="1">
      <c r="B102" s="23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87"/>
      <c r="BD102" s="25"/>
    </row>
    <row r="107" spans="2:56" ht="13.5" customHeight="1"/>
    <row r="108" spans="2:56" ht="13.5" customHeight="1"/>
    <row r="109" spans="2:56" ht="13.5" customHeight="1"/>
    <row r="110" spans="2:56" ht="13.5" customHeight="1"/>
    <row r="111" spans="2:56" ht="13.5" customHeight="1"/>
    <row r="124" ht="13.5" customHeight="1"/>
    <row r="125" ht="13.5" customHeight="1"/>
    <row r="126" ht="13.5" customHeight="1"/>
    <row r="139" ht="13.5" customHeight="1"/>
    <row r="152" ht="13.5" customHeight="1"/>
    <row r="153" ht="13.5" customHeight="1"/>
    <row r="167" ht="13.5" customHeight="1"/>
    <row r="168" ht="13.5" customHeight="1"/>
    <row r="173" ht="13.5" customHeight="1"/>
    <row r="182" ht="13.5" customHeight="1"/>
    <row r="183" ht="13.5" customHeight="1"/>
    <row r="184" ht="13.5" customHeight="1"/>
    <row r="185" ht="13.5" customHeight="1"/>
    <row r="186" ht="13.5" customHeight="1"/>
    <row r="188" ht="13.5" customHeight="1"/>
    <row r="201" ht="13.5" customHeight="1"/>
  </sheetData>
  <autoFilter ref="C15:BC15">
    <filterColumn colId="3" showButton="0"/>
    <filterColumn colId="4" showButton="0"/>
    <filterColumn colId="5" showButton="0"/>
  </autoFilter>
  <mergeCells count="82">
    <mergeCell ref="F37:I37"/>
    <mergeCell ref="F59:I59"/>
    <mergeCell ref="F60:I60"/>
    <mergeCell ref="F75:I75"/>
    <mergeCell ref="F76:I76"/>
    <mergeCell ref="F67:I67"/>
    <mergeCell ref="F65:I65"/>
    <mergeCell ref="F66:I66"/>
    <mergeCell ref="F53:I53"/>
    <mergeCell ref="F48:I48"/>
    <mergeCell ref="F49:I49"/>
    <mergeCell ref="F50:I50"/>
    <mergeCell ref="F38:I38"/>
    <mergeCell ref="F39:I39"/>
    <mergeCell ref="F40:I40"/>
    <mergeCell ref="F41:I41"/>
    <mergeCell ref="F32:I32"/>
    <mergeCell ref="F33:I33"/>
    <mergeCell ref="F34:I34"/>
    <mergeCell ref="F35:I35"/>
    <mergeCell ref="F36:I36"/>
    <mergeCell ref="F24:I24"/>
    <mergeCell ref="F25:I25"/>
    <mergeCell ref="F27:I27"/>
    <mergeCell ref="F30:I30"/>
    <mergeCell ref="F31:I31"/>
    <mergeCell ref="C3:AJ3"/>
    <mergeCell ref="F5:AJ5"/>
    <mergeCell ref="F6:AJ6"/>
    <mergeCell ref="F7:AJ7"/>
    <mergeCell ref="AF9:AJ9"/>
    <mergeCell ref="AF11:AJ11"/>
    <mergeCell ref="AF12:AJ12"/>
    <mergeCell ref="F15:I15"/>
    <mergeCell ref="F22:I22"/>
    <mergeCell ref="F23:I23"/>
    <mergeCell ref="F19:I19"/>
    <mergeCell ref="F20:I20"/>
    <mergeCell ref="K14:P14"/>
    <mergeCell ref="Q14:W14"/>
    <mergeCell ref="X14:AD14"/>
    <mergeCell ref="AJ14:AO14"/>
    <mergeCell ref="F42:I42"/>
    <mergeCell ref="F51:I51"/>
    <mergeCell ref="F52:I52"/>
    <mergeCell ref="F43:I43"/>
    <mergeCell ref="F44:I44"/>
    <mergeCell ref="F45:I45"/>
    <mergeCell ref="F46:I46"/>
    <mergeCell ref="F82:I82"/>
    <mergeCell ref="F77:I77"/>
    <mergeCell ref="F55:I55"/>
    <mergeCell ref="F56:I56"/>
    <mergeCell ref="F57:I57"/>
    <mergeCell ref="F62:I62"/>
    <mergeCell ref="F63:I63"/>
    <mergeCell ref="F64:I64"/>
    <mergeCell ref="F72:I72"/>
    <mergeCell ref="F73:I73"/>
    <mergeCell ref="F79:I79"/>
    <mergeCell ref="F80:I80"/>
    <mergeCell ref="F85:I85"/>
    <mergeCell ref="F86:I86"/>
    <mergeCell ref="F88:I88"/>
    <mergeCell ref="F92:I92"/>
    <mergeCell ref="F90:I90"/>
    <mergeCell ref="AW14:BC14"/>
    <mergeCell ref="AP14:AV14"/>
    <mergeCell ref="F101:I101"/>
    <mergeCell ref="F89:I89"/>
    <mergeCell ref="F97:I97"/>
    <mergeCell ref="F98:I98"/>
    <mergeCell ref="F99:I99"/>
    <mergeCell ref="F100:I100"/>
    <mergeCell ref="F83:I83"/>
    <mergeCell ref="F84:I84"/>
    <mergeCell ref="F91:I91"/>
    <mergeCell ref="F87:I87"/>
    <mergeCell ref="F96:I96"/>
    <mergeCell ref="F95:I95"/>
    <mergeCell ref="F94:I94"/>
    <mergeCell ref="F93:I93"/>
  </mergeCells>
  <conditionalFormatting sqref="K81:P101 AE81:AO101 K16:P77 AE16:AO77">
    <cfRule type="cellIs" dxfId="216" priority="210" operator="lessThan">
      <formula>0</formula>
    </cfRule>
  </conditionalFormatting>
  <conditionalFormatting sqref="K78:P80 AE78:AO80">
    <cfRule type="cellIs" dxfId="215" priority="209" operator="lessThan">
      <formula>0</formula>
    </cfRule>
  </conditionalFormatting>
  <conditionalFormatting sqref="Q81:W81 Q16:W18 Q21:W21 Q26:W26 Q28:W29 Q47:W47 Q30:V46 Q54:W54 Q48:V53 Q58:W58 Q61:W61 Q59:V60 Q68:W71 Q74:W74 Q75:V77 Q82:V101 Q19:V20 Q22:V25 Q27:V27 Q55:V57 Q62:V67 Q72:V73">
    <cfRule type="cellIs" dxfId="214" priority="208" operator="lessThan">
      <formula>0</formula>
    </cfRule>
  </conditionalFormatting>
  <conditionalFormatting sqref="Q78:W78 V79:V80">
    <cfRule type="cellIs" dxfId="213" priority="207" operator="lessThan">
      <formula>0</formula>
    </cfRule>
  </conditionalFormatting>
  <conditionalFormatting sqref="AE14">
    <cfRule type="dataBar" priority="20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{92B4F2A2-4007-455F-8F3B-E8004C39652B}</x14:id>
        </ext>
      </extLst>
    </cfRule>
  </conditionalFormatting>
  <conditionalFormatting sqref="W19">
    <cfRule type="dataBar" priority="20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{7B7F5673-7BC1-415B-9E77-D6D4B89C3C08}</x14:id>
        </ext>
      </extLst>
    </cfRule>
  </conditionalFormatting>
  <conditionalFormatting sqref="W19">
    <cfRule type="cellIs" dxfId="212" priority="204" operator="lessThan">
      <formula>0</formula>
    </cfRule>
  </conditionalFormatting>
  <conditionalFormatting sqref="W20">
    <cfRule type="dataBar" priority="20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{D2B0AEF8-D33C-4F8F-B87A-42BA97472154}</x14:id>
        </ext>
      </extLst>
    </cfRule>
  </conditionalFormatting>
  <conditionalFormatting sqref="W20">
    <cfRule type="cellIs" dxfId="211" priority="202" operator="lessThan">
      <formula>0</formula>
    </cfRule>
  </conditionalFormatting>
  <conditionalFormatting sqref="W22:W25">
    <cfRule type="dataBar" priority="20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{1EC2D14D-7CAD-44FB-8840-FD6A6B782D95}</x14:id>
        </ext>
      </extLst>
    </cfRule>
  </conditionalFormatting>
  <conditionalFormatting sqref="W22:W25">
    <cfRule type="cellIs" dxfId="210" priority="200" operator="lessThan">
      <formula>0</formula>
    </cfRule>
  </conditionalFormatting>
  <conditionalFormatting sqref="W27">
    <cfRule type="dataBar" priority="19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{988B5DD2-CA32-4650-846A-44AF068A1DA2}</x14:id>
        </ext>
      </extLst>
    </cfRule>
  </conditionalFormatting>
  <conditionalFormatting sqref="W27">
    <cfRule type="cellIs" dxfId="209" priority="198" operator="lessThan">
      <formula>0</formula>
    </cfRule>
  </conditionalFormatting>
  <conditionalFormatting sqref="W30:W46">
    <cfRule type="dataBar" priority="19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{87017A88-23A8-4836-A379-679E91803E8D}</x14:id>
        </ext>
      </extLst>
    </cfRule>
  </conditionalFormatting>
  <conditionalFormatting sqref="W30:W46">
    <cfRule type="cellIs" dxfId="208" priority="196" operator="lessThan">
      <formula>0</formula>
    </cfRule>
  </conditionalFormatting>
  <conditionalFormatting sqref="W48:W53">
    <cfRule type="dataBar" priority="19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{1C4DA4F8-D8A1-4C43-98F3-42B8B8CE13AF}</x14:id>
        </ext>
      </extLst>
    </cfRule>
  </conditionalFormatting>
  <conditionalFormatting sqref="W48:W53">
    <cfRule type="cellIs" dxfId="207" priority="194" operator="lessThan">
      <formula>0</formula>
    </cfRule>
  </conditionalFormatting>
  <conditionalFormatting sqref="W55:W57">
    <cfRule type="dataBar" priority="19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{34A1D2FF-E5C4-493F-81D9-4E055DCEF487}</x14:id>
        </ext>
      </extLst>
    </cfRule>
  </conditionalFormatting>
  <conditionalFormatting sqref="W55:W57">
    <cfRule type="cellIs" dxfId="206" priority="192" operator="lessThan">
      <formula>0</formula>
    </cfRule>
  </conditionalFormatting>
  <conditionalFormatting sqref="W59:W60">
    <cfRule type="dataBar" priority="19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{CE8EF236-1D4D-4D0C-95E2-860DAE53869F}</x14:id>
        </ext>
      </extLst>
    </cfRule>
  </conditionalFormatting>
  <conditionalFormatting sqref="W59:W60">
    <cfRule type="cellIs" dxfId="205" priority="190" operator="lessThan">
      <formula>0</formula>
    </cfRule>
  </conditionalFormatting>
  <conditionalFormatting sqref="W62:W67">
    <cfRule type="dataBar" priority="18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{6A656F1F-8795-4BB2-99A4-B55D75C707E1}</x14:id>
        </ext>
      </extLst>
    </cfRule>
  </conditionalFormatting>
  <conditionalFormatting sqref="W62:W67">
    <cfRule type="cellIs" dxfId="204" priority="188" operator="lessThan">
      <formula>0</formula>
    </cfRule>
  </conditionalFormatting>
  <conditionalFormatting sqref="Q79:U80">
    <cfRule type="cellIs" dxfId="203" priority="179" operator="lessThan">
      <formula>0</formula>
    </cfRule>
  </conditionalFormatting>
  <conditionalFormatting sqref="W72:W73">
    <cfRule type="dataBar" priority="18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{96D02C69-FB1E-4638-8A98-DD81599C5C85}</x14:id>
        </ext>
      </extLst>
    </cfRule>
  </conditionalFormatting>
  <conditionalFormatting sqref="W72:W73">
    <cfRule type="cellIs" dxfId="202" priority="186" operator="lessThan">
      <formula>0</formula>
    </cfRule>
  </conditionalFormatting>
  <conditionalFormatting sqref="W75:W77">
    <cfRule type="dataBar" priority="18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{BEBB23FC-E11E-4941-B55D-6986A7F21F9A}</x14:id>
        </ext>
      </extLst>
    </cfRule>
  </conditionalFormatting>
  <conditionalFormatting sqref="W75:W77">
    <cfRule type="cellIs" dxfId="201" priority="184" operator="lessThan">
      <formula>0</formula>
    </cfRule>
  </conditionalFormatting>
  <conditionalFormatting sqref="W79:W80">
    <cfRule type="dataBar" priority="18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{D8EEB11D-8E09-4E73-9ACF-CA198BA19700}</x14:id>
        </ext>
      </extLst>
    </cfRule>
  </conditionalFormatting>
  <conditionalFormatting sqref="W79:W80">
    <cfRule type="cellIs" dxfId="200" priority="182" operator="lessThan">
      <formula>0</formula>
    </cfRule>
  </conditionalFormatting>
  <conditionalFormatting sqref="W82:W101">
    <cfRule type="dataBar" priority="18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{87B3729D-F118-42F7-B560-74E7D0D92AE7}</x14:id>
        </ext>
      </extLst>
    </cfRule>
  </conditionalFormatting>
  <conditionalFormatting sqref="W82:W101">
    <cfRule type="cellIs" dxfId="199" priority="180" operator="lessThan">
      <formula>0</formula>
    </cfRule>
  </conditionalFormatting>
  <conditionalFormatting sqref="X81:AD81 X16:AD18 X21:AD21 X26:AD26 X28:AD29 X47:AD47 X30:AC46 X54:AD54 X48:AC53 X58:AD58 X61:AD61 X59:AC60 X68:AD71 X74:AD74 X75:AC77 X82:AC101 X55:AC57 X19:AC20 X22:AC25 X27:AC27 X72:AC73 X62:AC67">
    <cfRule type="cellIs" dxfId="198" priority="178" operator="lessThan">
      <formula>0</formula>
    </cfRule>
  </conditionalFormatting>
  <conditionalFormatting sqref="X78:AD78 AC79:AC80">
    <cfRule type="cellIs" dxfId="197" priority="177" operator="lessThan">
      <formula>0</formula>
    </cfRule>
  </conditionalFormatting>
  <conditionalFormatting sqref="AD19">
    <cfRule type="dataBar" priority="17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{13085DC4-5545-49E0-904E-5E83CAA934C7}</x14:id>
        </ext>
      </extLst>
    </cfRule>
  </conditionalFormatting>
  <conditionalFormatting sqref="AD19">
    <cfRule type="cellIs" dxfId="196" priority="175" operator="lessThan">
      <formula>0</formula>
    </cfRule>
  </conditionalFormatting>
  <conditionalFormatting sqref="AD20">
    <cfRule type="dataBar" priority="14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{7C2A7D6E-DEA6-4BDE-99D9-A37D59EF5F92}</x14:id>
        </ext>
      </extLst>
    </cfRule>
  </conditionalFormatting>
  <conditionalFormatting sqref="AD20">
    <cfRule type="cellIs" dxfId="195" priority="148" operator="lessThan">
      <formula>0</formula>
    </cfRule>
  </conditionalFormatting>
  <conditionalFormatting sqref="AD22:AD25">
    <cfRule type="dataBar" priority="14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{D256759A-ACA4-4BC8-9FCC-7DF096413EBB}</x14:id>
        </ext>
      </extLst>
    </cfRule>
  </conditionalFormatting>
  <conditionalFormatting sqref="AD22:AD25">
    <cfRule type="cellIs" dxfId="194" priority="146" operator="lessThan">
      <formula>0</formula>
    </cfRule>
  </conditionalFormatting>
  <conditionalFormatting sqref="AD27">
    <cfRule type="dataBar" priority="14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{A2C2D0D4-F4AD-4462-82DC-96E0E14AF60D}</x14:id>
        </ext>
      </extLst>
    </cfRule>
  </conditionalFormatting>
  <conditionalFormatting sqref="AD27">
    <cfRule type="cellIs" dxfId="193" priority="144" operator="lessThan">
      <formula>0</formula>
    </cfRule>
  </conditionalFormatting>
  <conditionalFormatting sqref="AD30:AD46">
    <cfRule type="dataBar" priority="14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{65F22AB0-1D32-4371-A2DD-C7D4A64EE48E}</x14:id>
        </ext>
      </extLst>
    </cfRule>
  </conditionalFormatting>
  <conditionalFormatting sqref="AD30:AD46">
    <cfRule type="cellIs" dxfId="192" priority="142" operator="lessThan">
      <formula>0</formula>
    </cfRule>
  </conditionalFormatting>
  <conditionalFormatting sqref="AD48:AD53">
    <cfRule type="dataBar" priority="14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{C864057F-8E1B-459B-A4ED-B3E3E44CBA4D}</x14:id>
        </ext>
      </extLst>
    </cfRule>
  </conditionalFormatting>
  <conditionalFormatting sqref="AD48:AD53">
    <cfRule type="cellIs" dxfId="191" priority="140" operator="lessThan">
      <formula>0</formula>
    </cfRule>
  </conditionalFormatting>
  <conditionalFormatting sqref="AD55:AD57">
    <cfRule type="dataBar" priority="13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{B73759C4-4046-4847-AAC1-4DA5E988EADC}</x14:id>
        </ext>
      </extLst>
    </cfRule>
  </conditionalFormatting>
  <conditionalFormatting sqref="AD55:AD57">
    <cfRule type="cellIs" dxfId="190" priority="138" operator="lessThan">
      <formula>0</formula>
    </cfRule>
  </conditionalFormatting>
  <conditionalFormatting sqref="AD59:AD60">
    <cfRule type="dataBar" priority="13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{407094E4-F134-4F7C-B02A-C73E68402449}</x14:id>
        </ext>
      </extLst>
    </cfRule>
  </conditionalFormatting>
  <conditionalFormatting sqref="AD59:AD60">
    <cfRule type="cellIs" dxfId="189" priority="136" operator="lessThan">
      <formula>0</formula>
    </cfRule>
  </conditionalFormatting>
  <conditionalFormatting sqref="AD62:AD67">
    <cfRule type="dataBar" priority="13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{6274C879-4C76-4C43-A10D-B31E1DC8B764}</x14:id>
        </ext>
      </extLst>
    </cfRule>
  </conditionalFormatting>
  <conditionalFormatting sqref="AD62:AD67">
    <cfRule type="cellIs" dxfId="188" priority="134" operator="lessThan">
      <formula>0</formula>
    </cfRule>
  </conditionalFormatting>
  <conditionalFormatting sqref="AD72:AD73">
    <cfRule type="dataBar" priority="13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{4A546A8D-1C02-4634-814E-4FD8B95A9FB8}</x14:id>
        </ext>
      </extLst>
    </cfRule>
  </conditionalFormatting>
  <conditionalFormatting sqref="AD72:AD73">
    <cfRule type="cellIs" dxfId="187" priority="132" operator="lessThan">
      <formula>0</formula>
    </cfRule>
  </conditionalFormatting>
  <conditionalFormatting sqref="AD75:AD77">
    <cfRule type="dataBar" priority="13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{662A5085-5E0B-4B93-A8BE-012C4A587010}</x14:id>
        </ext>
      </extLst>
    </cfRule>
  </conditionalFormatting>
  <conditionalFormatting sqref="AD75:AD77">
    <cfRule type="cellIs" dxfId="186" priority="130" operator="lessThan">
      <formula>0</formula>
    </cfRule>
  </conditionalFormatting>
  <conditionalFormatting sqref="AD79:AD80">
    <cfRule type="dataBar" priority="12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{B3D380F7-A4CA-4AA4-B9BC-261976E361DF}</x14:id>
        </ext>
      </extLst>
    </cfRule>
  </conditionalFormatting>
  <conditionalFormatting sqref="AD79:AD80">
    <cfRule type="cellIs" dxfId="185" priority="128" operator="lessThan">
      <formula>0</formula>
    </cfRule>
  </conditionalFormatting>
  <conditionalFormatting sqref="AD82:AD101">
    <cfRule type="dataBar" priority="12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{D6687C5C-74D5-475F-8F6A-6F1FF8289B0E}</x14:id>
        </ext>
      </extLst>
    </cfRule>
  </conditionalFormatting>
  <conditionalFormatting sqref="AD82:AD101">
    <cfRule type="cellIs" dxfId="184" priority="126" operator="lessThan">
      <formula>0</formula>
    </cfRule>
  </conditionalFormatting>
  <conditionalFormatting sqref="X79:AB80">
    <cfRule type="cellIs" dxfId="183" priority="125" operator="lessThan">
      <formula>0</formula>
    </cfRule>
  </conditionalFormatting>
  <conditionalFormatting sqref="Q19:V101">
    <cfRule type="cellIs" dxfId="182" priority="124" operator="greaterThan">
      <formula>0</formula>
    </cfRule>
  </conditionalFormatting>
  <conditionalFormatting sqref="AP78:AV78 AP79:AU80">
    <cfRule type="cellIs" dxfId="181" priority="122" operator="lessThan">
      <formula>0</formula>
    </cfRule>
  </conditionalFormatting>
  <conditionalFormatting sqref="AP81:AV81 AP16:AV18 AP21:AV21 AU19:AU20 AP26:AV26 AU22:AU25 AP28:AV29 AU27 AP47:AV47 AP30:AU46 AP54:AV54 AP48:AU53 AP58:AV58 AU55:AU57 AP61:AV61 AP59:AU60 AP71:AV71 AP62:AU70 AP74:AV74 AU72:AU73 AP75:AU77 AP82:AU101">
    <cfRule type="cellIs" dxfId="180" priority="123" operator="lessThan">
      <formula>0</formula>
    </cfRule>
  </conditionalFormatting>
  <conditionalFormatting sqref="AV19">
    <cfRule type="dataBar" priority="12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{8EE410F9-D91A-4374-AAC9-5EED30F0460C}</x14:id>
        </ext>
      </extLst>
    </cfRule>
  </conditionalFormatting>
  <conditionalFormatting sqref="AV19">
    <cfRule type="cellIs" dxfId="179" priority="120" operator="lessThan">
      <formula>0</formula>
    </cfRule>
  </conditionalFormatting>
  <conditionalFormatting sqref="AV20">
    <cfRule type="dataBar" priority="1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{25B74C16-661D-48AB-B33B-371A0CAA6838}</x14:id>
        </ext>
      </extLst>
    </cfRule>
  </conditionalFormatting>
  <conditionalFormatting sqref="AV20">
    <cfRule type="cellIs" dxfId="178" priority="118" operator="lessThan">
      <formula>0</formula>
    </cfRule>
  </conditionalFormatting>
  <conditionalFormatting sqref="AV22:AV25">
    <cfRule type="dataBar" priority="11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{7051D514-B23D-4D3B-B1BB-EACC335B3D64}</x14:id>
        </ext>
      </extLst>
    </cfRule>
  </conditionalFormatting>
  <conditionalFormatting sqref="AV22:AV25">
    <cfRule type="cellIs" dxfId="177" priority="116" operator="lessThan">
      <formula>0</formula>
    </cfRule>
  </conditionalFormatting>
  <conditionalFormatting sqref="AV27">
    <cfRule type="dataBar" priority="11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{895152E1-43C7-4845-A6E7-ED8DCF704BED}</x14:id>
        </ext>
      </extLst>
    </cfRule>
  </conditionalFormatting>
  <conditionalFormatting sqref="AV27">
    <cfRule type="cellIs" dxfId="176" priority="114" operator="lessThan">
      <formula>0</formula>
    </cfRule>
  </conditionalFormatting>
  <conditionalFormatting sqref="AV30:AV46">
    <cfRule type="dataBar" priority="1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{1E952E5F-C51A-4BB7-8498-FE553EF738E9}</x14:id>
        </ext>
      </extLst>
    </cfRule>
  </conditionalFormatting>
  <conditionalFormatting sqref="AV30:AV46">
    <cfRule type="cellIs" dxfId="175" priority="112" operator="lessThan">
      <formula>0</formula>
    </cfRule>
  </conditionalFormatting>
  <conditionalFormatting sqref="AV48:AV53">
    <cfRule type="dataBar" priority="1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{235898CA-A300-4583-8F85-D0F68AEE131C}</x14:id>
        </ext>
      </extLst>
    </cfRule>
  </conditionalFormatting>
  <conditionalFormatting sqref="AV48:AV53">
    <cfRule type="cellIs" dxfId="174" priority="110" operator="lessThan">
      <formula>0</formula>
    </cfRule>
  </conditionalFormatting>
  <conditionalFormatting sqref="AV55:AV57">
    <cfRule type="dataBar" priority="10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{270A1077-3FEA-4FFB-9D66-105729BC826E}</x14:id>
        </ext>
      </extLst>
    </cfRule>
  </conditionalFormatting>
  <conditionalFormatting sqref="AV55:AV57">
    <cfRule type="cellIs" dxfId="173" priority="108" operator="lessThan">
      <formula>0</formula>
    </cfRule>
  </conditionalFormatting>
  <conditionalFormatting sqref="AV59:AV60">
    <cfRule type="dataBar" priority="10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{D4DB1CE2-8DE0-4C8F-8FA7-16298711A154}</x14:id>
        </ext>
      </extLst>
    </cfRule>
  </conditionalFormatting>
  <conditionalFormatting sqref="AV59:AV60">
    <cfRule type="cellIs" dxfId="172" priority="106" operator="lessThan">
      <formula>0</formula>
    </cfRule>
  </conditionalFormatting>
  <conditionalFormatting sqref="AV62:AV67">
    <cfRule type="dataBar" priority="10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{FC3072B9-DEB2-4B55-9E06-211756499ABF}</x14:id>
        </ext>
      </extLst>
    </cfRule>
  </conditionalFormatting>
  <conditionalFormatting sqref="AV62:AV67">
    <cfRule type="cellIs" dxfId="171" priority="104" operator="lessThan">
      <formula>0</formula>
    </cfRule>
  </conditionalFormatting>
  <conditionalFormatting sqref="AV72:AV73">
    <cfRule type="dataBar" priority="10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{996AD4D8-0400-439E-AA0D-4D745870F4D3}</x14:id>
        </ext>
      </extLst>
    </cfRule>
  </conditionalFormatting>
  <conditionalFormatting sqref="AV72:AV73">
    <cfRule type="cellIs" dxfId="170" priority="100" operator="lessThan">
      <formula>0</formula>
    </cfRule>
  </conditionalFormatting>
  <conditionalFormatting sqref="AV75:AV77">
    <cfRule type="dataBar" priority="9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{99B30D85-13A0-4C1D-861A-423F4AD33B9F}</x14:id>
        </ext>
      </extLst>
    </cfRule>
  </conditionalFormatting>
  <conditionalFormatting sqref="AV75:AV77">
    <cfRule type="cellIs" dxfId="169" priority="98" operator="lessThan">
      <formula>0</formula>
    </cfRule>
  </conditionalFormatting>
  <conditionalFormatting sqref="AV79:AV80">
    <cfRule type="dataBar" priority="9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{EF691C02-A1D4-4501-9272-8E422067D63F}</x14:id>
        </ext>
      </extLst>
    </cfRule>
  </conditionalFormatting>
  <conditionalFormatting sqref="AV79:AV80">
    <cfRule type="cellIs" dxfId="168" priority="96" operator="lessThan">
      <formula>0</formula>
    </cfRule>
  </conditionalFormatting>
  <conditionalFormatting sqref="AV82:AV101">
    <cfRule type="dataBar" priority="9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{65BF213E-BCFC-4FCB-8F7A-639ED1FAEFB9}</x14:id>
        </ext>
      </extLst>
    </cfRule>
  </conditionalFormatting>
  <conditionalFormatting sqref="AV82:AV101">
    <cfRule type="cellIs" dxfId="167" priority="94" operator="lessThan">
      <formula>0</formula>
    </cfRule>
  </conditionalFormatting>
  <conditionalFormatting sqref="AP19:AT20">
    <cfRule type="cellIs" dxfId="166" priority="93" operator="greaterThan">
      <formula>0</formula>
    </cfRule>
  </conditionalFormatting>
  <conditionalFormatting sqref="AP19:AT20">
    <cfRule type="cellIs" dxfId="165" priority="92" operator="lessThan">
      <formula>0</formula>
    </cfRule>
  </conditionalFormatting>
  <conditionalFormatting sqref="AP22:AT25">
    <cfRule type="cellIs" dxfId="164" priority="91" operator="greaterThan">
      <formula>0</formula>
    </cfRule>
  </conditionalFormatting>
  <conditionalFormatting sqref="AP22:AT25">
    <cfRule type="cellIs" dxfId="163" priority="90" operator="lessThan">
      <formula>0</formula>
    </cfRule>
  </conditionalFormatting>
  <conditionalFormatting sqref="AP27:AT27">
    <cfRule type="cellIs" dxfId="162" priority="89" operator="greaterThan">
      <formula>0</formula>
    </cfRule>
  </conditionalFormatting>
  <conditionalFormatting sqref="AP27:AT27">
    <cfRule type="cellIs" dxfId="161" priority="88" operator="lessThan">
      <formula>0</formula>
    </cfRule>
  </conditionalFormatting>
  <conditionalFormatting sqref="AP55:AT57">
    <cfRule type="cellIs" dxfId="160" priority="87" operator="greaterThan">
      <formula>0</formula>
    </cfRule>
  </conditionalFormatting>
  <conditionalFormatting sqref="AP55:AT57">
    <cfRule type="cellIs" dxfId="159" priority="86" operator="lessThan">
      <formula>0</formula>
    </cfRule>
  </conditionalFormatting>
  <conditionalFormatting sqref="AP72:AT73">
    <cfRule type="cellIs" dxfId="158" priority="85" operator="greaterThan">
      <formula>0</formula>
    </cfRule>
  </conditionalFormatting>
  <conditionalFormatting sqref="AP72:AT73">
    <cfRule type="cellIs" dxfId="157" priority="84" operator="lessThan">
      <formula>0</formula>
    </cfRule>
  </conditionalFormatting>
  <conditionalFormatting sqref="AP16:AU101">
    <cfRule type="cellIs" dxfId="156" priority="83" operator="greaterThan">
      <formula>0</formula>
    </cfRule>
  </conditionalFormatting>
  <conditionalFormatting sqref="AV16">
    <cfRule type="dataBar" priority="8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{50CEBFD2-71F7-4610-B573-112A9B2A553A}</x14:id>
        </ext>
      </extLst>
    </cfRule>
  </conditionalFormatting>
  <conditionalFormatting sqref="AV68:AV70">
    <cfRule type="dataBar" priority="7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{4ADD400C-AF1F-435C-B9C4-ADB22290D160}</x14:id>
        </ext>
      </extLst>
    </cfRule>
    <cfRule type="cellIs" dxfId="155" priority="81" operator="lessThan">
      <formula>0</formula>
    </cfRule>
  </conditionalFormatting>
  <conditionalFormatting sqref="AV68:AV70">
    <cfRule type="cellIs" dxfId="154" priority="80" operator="greaterThan">
      <formula>0</formula>
    </cfRule>
  </conditionalFormatting>
  <conditionalFormatting sqref="BC19">
    <cfRule type="dataBar" priority="7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{CDB1E670-52C6-48EF-993E-AE652F37EFDC}</x14:id>
        </ext>
      </extLst>
    </cfRule>
  </conditionalFormatting>
  <conditionalFormatting sqref="BC19">
    <cfRule type="cellIs" dxfId="153" priority="75" operator="lessThan">
      <formula>0</formula>
    </cfRule>
  </conditionalFormatting>
  <conditionalFormatting sqref="BC16">
    <cfRule type="dataBar" priority="3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{E80350F1-E4EC-4480-8041-D487CE434FF3}</x14:id>
        </ext>
      </extLst>
    </cfRule>
  </conditionalFormatting>
  <conditionalFormatting sqref="AW16:BB101">
    <cfRule type="cellIs" dxfId="152" priority="27" operator="lessThan">
      <formula>0</formula>
    </cfRule>
  </conditionalFormatting>
  <conditionalFormatting sqref="BC20">
    <cfRule type="dataBar" priority="2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{D37DF695-F997-43FE-AC33-49403B5F4452}</x14:id>
        </ext>
      </extLst>
    </cfRule>
  </conditionalFormatting>
  <conditionalFormatting sqref="BC20">
    <cfRule type="cellIs" dxfId="151" priority="25" operator="lessThan">
      <formula>0</formula>
    </cfRule>
  </conditionalFormatting>
  <conditionalFormatting sqref="BC22:BC25">
    <cfRule type="dataBar" priority="2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{86BFD343-F0A3-41C8-B820-E653233C4E42}</x14:id>
        </ext>
      </extLst>
    </cfRule>
  </conditionalFormatting>
  <conditionalFormatting sqref="BC22:BC25">
    <cfRule type="cellIs" dxfId="150" priority="23" operator="lessThan">
      <formula>0</formula>
    </cfRule>
  </conditionalFormatting>
  <conditionalFormatting sqref="BC27">
    <cfRule type="dataBar" priority="2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{BDE3F6E1-6B79-4459-B782-680DDBE1A1D8}</x14:id>
        </ext>
      </extLst>
    </cfRule>
  </conditionalFormatting>
  <conditionalFormatting sqref="BC27">
    <cfRule type="cellIs" dxfId="149" priority="21" operator="lessThan">
      <formula>0</formula>
    </cfRule>
  </conditionalFormatting>
  <conditionalFormatting sqref="BC30:BC46">
    <cfRule type="dataBar" priority="2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{AC027078-90B7-4D8D-89E2-59CAE9F9B719}</x14:id>
        </ext>
      </extLst>
    </cfRule>
  </conditionalFormatting>
  <conditionalFormatting sqref="BC30:BC46">
    <cfRule type="cellIs" dxfId="148" priority="19" operator="lessThan">
      <formula>0</formula>
    </cfRule>
  </conditionalFormatting>
  <conditionalFormatting sqref="BC48:BC53">
    <cfRule type="dataBar" priority="1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{4890E730-9E1B-4262-9183-D3BCE9EE6305}</x14:id>
        </ext>
      </extLst>
    </cfRule>
  </conditionalFormatting>
  <conditionalFormatting sqref="BC48:BC53">
    <cfRule type="cellIs" dxfId="147" priority="17" operator="lessThan">
      <formula>0</formula>
    </cfRule>
  </conditionalFormatting>
  <conditionalFormatting sqref="BC55:BC57">
    <cfRule type="dataBar" priority="1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{583620A6-B930-4657-B515-C024EE805E71}</x14:id>
        </ext>
      </extLst>
    </cfRule>
  </conditionalFormatting>
  <conditionalFormatting sqref="BC55:BC57">
    <cfRule type="cellIs" dxfId="146" priority="15" operator="lessThan">
      <formula>0</formula>
    </cfRule>
  </conditionalFormatting>
  <conditionalFormatting sqref="BC59:BC6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{EB6CF674-4C17-4BD5-8738-674373C52698}</x14:id>
        </ext>
      </extLst>
    </cfRule>
  </conditionalFormatting>
  <conditionalFormatting sqref="BC59:BC60">
    <cfRule type="cellIs" dxfId="145" priority="13" operator="lessThan">
      <formula>0</formula>
    </cfRule>
  </conditionalFormatting>
  <conditionalFormatting sqref="BC62:BC67"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{9293E8E5-9020-4F96-9051-32C90F3C0824}</x14:id>
        </ext>
      </extLst>
    </cfRule>
  </conditionalFormatting>
  <conditionalFormatting sqref="BC62:BC67">
    <cfRule type="cellIs" dxfId="144" priority="11" operator="lessThan">
      <formula>0</formula>
    </cfRule>
  </conditionalFormatting>
  <conditionalFormatting sqref="BC72:BC73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{99FBAA26-5191-40CB-BE49-7F3165129A46}</x14:id>
        </ext>
      </extLst>
    </cfRule>
  </conditionalFormatting>
  <conditionalFormatting sqref="BC72:BC73">
    <cfRule type="cellIs" dxfId="143" priority="9" operator="lessThan">
      <formula>0</formula>
    </cfRule>
  </conditionalFormatting>
  <conditionalFormatting sqref="BC75:BC77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{72151DE3-8ABB-4F5B-B983-6C81C56F0A65}</x14:id>
        </ext>
      </extLst>
    </cfRule>
  </conditionalFormatting>
  <conditionalFormatting sqref="BC75:BC77">
    <cfRule type="cellIs" dxfId="142" priority="7" operator="lessThan">
      <formula>0</formula>
    </cfRule>
  </conditionalFormatting>
  <conditionalFormatting sqref="BC79:BC80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{F37A3A44-5B95-41D0-B61F-9B3D07B6208C}</x14:id>
        </ext>
      </extLst>
    </cfRule>
  </conditionalFormatting>
  <conditionalFormatting sqref="BC79:BC80">
    <cfRule type="cellIs" dxfId="141" priority="5" operator="lessThan">
      <formula>0</formula>
    </cfRule>
  </conditionalFormatting>
  <conditionalFormatting sqref="BC82:BC101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{2F37F2EF-B9D9-4BB6-9479-E3F8A93F2300}</x14:id>
        </ext>
      </extLst>
    </cfRule>
  </conditionalFormatting>
  <conditionalFormatting sqref="BC82:BC101">
    <cfRule type="cellIs" dxfId="140" priority="3" operator="lessThan">
      <formula>0</formula>
    </cfRule>
  </conditionalFormatting>
  <conditionalFormatting sqref="BC68:BC70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{8C580ABD-5946-4F34-BEF1-2A05B620133E}</x14:id>
        </ext>
      </extLst>
    </cfRule>
  </conditionalFormatting>
  <conditionalFormatting sqref="BC68:BC70">
    <cfRule type="cellIs" dxfId="139" priority="1" operator="lessThan">
      <formula>0</formula>
    </cfRule>
  </conditionalFormatting>
  <pageMargins left="0.59055118110236227" right="0.59055118110236227" top="0.51181102362204722" bottom="0.47244094488188981" header="0" footer="0"/>
  <pageSetup paperSize="8" scale="93" fitToHeight="0" orientation="landscape" blackAndWhite="1" r:id="rId1"/>
  <headerFooter>
    <oddFooter>&amp;CStrana &amp;P z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2B4F2A2-4007-455F-8F3B-E8004C39652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AE14</xm:sqref>
        </x14:conditionalFormatting>
        <x14:conditionalFormatting xmlns:xm="http://schemas.microsoft.com/office/excel/2006/main">
          <x14:cfRule type="dataBar" id="{7B7F5673-7BC1-415B-9E77-D6D4B89C3C0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W19</xm:sqref>
        </x14:conditionalFormatting>
        <x14:conditionalFormatting xmlns:xm="http://schemas.microsoft.com/office/excel/2006/main">
          <x14:cfRule type="dataBar" id="{D2B0AEF8-D33C-4F8F-B87A-42BA9747215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W20</xm:sqref>
        </x14:conditionalFormatting>
        <x14:conditionalFormatting xmlns:xm="http://schemas.microsoft.com/office/excel/2006/main">
          <x14:cfRule type="dataBar" id="{1EC2D14D-7CAD-44FB-8840-FD6A6B782D9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W22:W25</xm:sqref>
        </x14:conditionalFormatting>
        <x14:conditionalFormatting xmlns:xm="http://schemas.microsoft.com/office/excel/2006/main">
          <x14:cfRule type="dataBar" id="{988B5DD2-CA32-4650-846A-44AF068A1DA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W27</xm:sqref>
        </x14:conditionalFormatting>
        <x14:conditionalFormatting xmlns:xm="http://schemas.microsoft.com/office/excel/2006/main">
          <x14:cfRule type="dataBar" id="{87017A88-23A8-4836-A379-679E91803E8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W30:W46</xm:sqref>
        </x14:conditionalFormatting>
        <x14:conditionalFormatting xmlns:xm="http://schemas.microsoft.com/office/excel/2006/main">
          <x14:cfRule type="dataBar" id="{1C4DA4F8-D8A1-4C43-98F3-42B8B8CE13A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W48:W53</xm:sqref>
        </x14:conditionalFormatting>
        <x14:conditionalFormatting xmlns:xm="http://schemas.microsoft.com/office/excel/2006/main">
          <x14:cfRule type="dataBar" id="{34A1D2FF-E5C4-493F-81D9-4E055DCEF48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W55:W57</xm:sqref>
        </x14:conditionalFormatting>
        <x14:conditionalFormatting xmlns:xm="http://schemas.microsoft.com/office/excel/2006/main">
          <x14:cfRule type="dataBar" id="{CE8EF236-1D4D-4D0C-95E2-860DAE53869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W59:W60</xm:sqref>
        </x14:conditionalFormatting>
        <x14:conditionalFormatting xmlns:xm="http://schemas.microsoft.com/office/excel/2006/main">
          <x14:cfRule type="dataBar" id="{6A656F1F-8795-4BB2-99A4-B55D75C707E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W62:W67</xm:sqref>
        </x14:conditionalFormatting>
        <x14:conditionalFormatting xmlns:xm="http://schemas.microsoft.com/office/excel/2006/main">
          <x14:cfRule type="dataBar" id="{96D02C69-FB1E-4638-8A98-DD81599C5C8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W72:W73</xm:sqref>
        </x14:conditionalFormatting>
        <x14:conditionalFormatting xmlns:xm="http://schemas.microsoft.com/office/excel/2006/main">
          <x14:cfRule type="dataBar" id="{BEBB23FC-E11E-4941-B55D-6986A7F21F9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W75:W77</xm:sqref>
        </x14:conditionalFormatting>
        <x14:conditionalFormatting xmlns:xm="http://schemas.microsoft.com/office/excel/2006/main">
          <x14:cfRule type="dataBar" id="{D8EEB11D-8E09-4E73-9ACF-CA198BA1970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W79:W80</xm:sqref>
        </x14:conditionalFormatting>
        <x14:conditionalFormatting xmlns:xm="http://schemas.microsoft.com/office/excel/2006/main">
          <x14:cfRule type="dataBar" id="{87B3729D-F118-42F7-B560-74E7D0D92AE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W82:W101</xm:sqref>
        </x14:conditionalFormatting>
        <x14:conditionalFormatting xmlns:xm="http://schemas.microsoft.com/office/excel/2006/main">
          <x14:cfRule type="dataBar" id="{13085DC4-5545-49E0-904E-5E83CAA934C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AD19</xm:sqref>
        </x14:conditionalFormatting>
        <x14:conditionalFormatting xmlns:xm="http://schemas.microsoft.com/office/excel/2006/main">
          <x14:cfRule type="dataBar" id="{7C2A7D6E-DEA6-4BDE-99D9-A37D59EF5F9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AD20</xm:sqref>
        </x14:conditionalFormatting>
        <x14:conditionalFormatting xmlns:xm="http://schemas.microsoft.com/office/excel/2006/main">
          <x14:cfRule type="dataBar" id="{D256759A-ACA4-4BC8-9FCC-7DF096413EB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AD22:AD25</xm:sqref>
        </x14:conditionalFormatting>
        <x14:conditionalFormatting xmlns:xm="http://schemas.microsoft.com/office/excel/2006/main">
          <x14:cfRule type="dataBar" id="{A2C2D0D4-F4AD-4462-82DC-96E0E14AF60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AD27</xm:sqref>
        </x14:conditionalFormatting>
        <x14:conditionalFormatting xmlns:xm="http://schemas.microsoft.com/office/excel/2006/main">
          <x14:cfRule type="dataBar" id="{65F22AB0-1D32-4371-A2DD-C7D4A64EE48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AD30:AD46</xm:sqref>
        </x14:conditionalFormatting>
        <x14:conditionalFormatting xmlns:xm="http://schemas.microsoft.com/office/excel/2006/main">
          <x14:cfRule type="dataBar" id="{C864057F-8E1B-459B-A4ED-B3E3E44CBA4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AD48:AD53</xm:sqref>
        </x14:conditionalFormatting>
        <x14:conditionalFormatting xmlns:xm="http://schemas.microsoft.com/office/excel/2006/main">
          <x14:cfRule type="dataBar" id="{B73759C4-4046-4847-AAC1-4DA5E988EAD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AD55:AD57</xm:sqref>
        </x14:conditionalFormatting>
        <x14:conditionalFormatting xmlns:xm="http://schemas.microsoft.com/office/excel/2006/main">
          <x14:cfRule type="dataBar" id="{407094E4-F134-4F7C-B02A-C73E6840244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AD59:AD60</xm:sqref>
        </x14:conditionalFormatting>
        <x14:conditionalFormatting xmlns:xm="http://schemas.microsoft.com/office/excel/2006/main">
          <x14:cfRule type="dataBar" id="{6274C879-4C76-4C43-A10D-B31E1DC8B76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AD62:AD67</xm:sqref>
        </x14:conditionalFormatting>
        <x14:conditionalFormatting xmlns:xm="http://schemas.microsoft.com/office/excel/2006/main">
          <x14:cfRule type="dataBar" id="{4A546A8D-1C02-4634-814E-4FD8B95A9FB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AD72:AD73</xm:sqref>
        </x14:conditionalFormatting>
        <x14:conditionalFormatting xmlns:xm="http://schemas.microsoft.com/office/excel/2006/main">
          <x14:cfRule type="dataBar" id="{662A5085-5E0B-4B93-A8BE-012C4A58701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AD75:AD77</xm:sqref>
        </x14:conditionalFormatting>
        <x14:conditionalFormatting xmlns:xm="http://schemas.microsoft.com/office/excel/2006/main">
          <x14:cfRule type="dataBar" id="{B3D380F7-A4CA-4AA4-B9BC-261976E361D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AD79:AD80</xm:sqref>
        </x14:conditionalFormatting>
        <x14:conditionalFormatting xmlns:xm="http://schemas.microsoft.com/office/excel/2006/main">
          <x14:cfRule type="dataBar" id="{D6687C5C-74D5-475F-8F6A-6F1FF8289B0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AD82:AD101</xm:sqref>
        </x14:conditionalFormatting>
        <x14:conditionalFormatting xmlns:xm="http://schemas.microsoft.com/office/excel/2006/main">
          <x14:cfRule type="dataBar" id="{8EE410F9-D91A-4374-AAC9-5EED30F0460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AV19</xm:sqref>
        </x14:conditionalFormatting>
        <x14:conditionalFormatting xmlns:xm="http://schemas.microsoft.com/office/excel/2006/main">
          <x14:cfRule type="dataBar" id="{25B74C16-661D-48AB-B33B-371A0CAA683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AV20</xm:sqref>
        </x14:conditionalFormatting>
        <x14:conditionalFormatting xmlns:xm="http://schemas.microsoft.com/office/excel/2006/main">
          <x14:cfRule type="dataBar" id="{7051D514-B23D-4D3B-B1BB-EACC335B3D6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AV22:AV25</xm:sqref>
        </x14:conditionalFormatting>
        <x14:conditionalFormatting xmlns:xm="http://schemas.microsoft.com/office/excel/2006/main">
          <x14:cfRule type="dataBar" id="{895152E1-43C7-4845-A6E7-ED8DCF704BE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AV27</xm:sqref>
        </x14:conditionalFormatting>
        <x14:conditionalFormatting xmlns:xm="http://schemas.microsoft.com/office/excel/2006/main">
          <x14:cfRule type="dataBar" id="{1E952E5F-C51A-4BB7-8498-FE553EF738E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AV30:AV46</xm:sqref>
        </x14:conditionalFormatting>
        <x14:conditionalFormatting xmlns:xm="http://schemas.microsoft.com/office/excel/2006/main">
          <x14:cfRule type="dataBar" id="{235898CA-A300-4583-8F85-D0F68AEE131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AV48:AV53</xm:sqref>
        </x14:conditionalFormatting>
        <x14:conditionalFormatting xmlns:xm="http://schemas.microsoft.com/office/excel/2006/main">
          <x14:cfRule type="dataBar" id="{270A1077-3FEA-4FFB-9D66-105729BC826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AV55:AV57</xm:sqref>
        </x14:conditionalFormatting>
        <x14:conditionalFormatting xmlns:xm="http://schemas.microsoft.com/office/excel/2006/main">
          <x14:cfRule type="dataBar" id="{D4DB1CE2-8DE0-4C8F-8FA7-16298711A15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AV59:AV60</xm:sqref>
        </x14:conditionalFormatting>
        <x14:conditionalFormatting xmlns:xm="http://schemas.microsoft.com/office/excel/2006/main">
          <x14:cfRule type="dataBar" id="{FC3072B9-DEB2-4B55-9E06-211756499AB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AV62:AV67</xm:sqref>
        </x14:conditionalFormatting>
        <x14:conditionalFormatting xmlns:xm="http://schemas.microsoft.com/office/excel/2006/main">
          <x14:cfRule type="dataBar" id="{996AD4D8-0400-439E-AA0D-4D745870F4D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AV72:AV73</xm:sqref>
        </x14:conditionalFormatting>
        <x14:conditionalFormatting xmlns:xm="http://schemas.microsoft.com/office/excel/2006/main">
          <x14:cfRule type="dataBar" id="{99B30D85-13A0-4C1D-861A-423F4AD33B9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AV75:AV77</xm:sqref>
        </x14:conditionalFormatting>
        <x14:conditionalFormatting xmlns:xm="http://schemas.microsoft.com/office/excel/2006/main">
          <x14:cfRule type="dataBar" id="{EF691C02-A1D4-4501-9272-8E422067D63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AV79:AV80</xm:sqref>
        </x14:conditionalFormatting>
        <x14:conditionalFormatting xmlns:xm="http://schemas.microsoft.com/office/excel/2006/main">
          <x14:cfRule type="dataBar" id="{65BF213E-BCFC-4FCB-8F7A-639ED1FAEFB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AV82:AV101</xm:sqref>
        </x14:conditionalFormatting>
        <x14:conditionalFormatting xmlns:xm="http://schemas.microsoft.com/office/excel/2006/main">
          <x14:cfRule type="dataBar" id="{50CEBFD2-71F7-4610-B573-112A9B2A553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AV16</xm:sqref>
        </x14:conditionalFormatting>
        <x14:conditionalFormatting xmlns:xm="http://schemas.microsoft.com/office/excel/2006/main">
          <x14:cfRule type="dataBar" id="{4ADD400C-AF1F-435C-B9C4-ADB22290D16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AV68:AV70</xm:sqref>
        </x14:conditionalFormatting>
        <x14:conditionalFormatting xmlns:xm="http://schemas.microsoft.com/office/excel/2006/main">
          <x14:cfRule type="dataBar" id="{CDB1E670-52C6-48EF-993E-AE652F37EFD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BC19</xm:sqref>
        </x14:conditionalFormatting>
        <x14:conditionalFormatting xmlns:xm="http://schemas.microsoft.com/office/excel/2006/main">
          <x14:cfRule type="dataBar" id="{E80350F1-E4EC-4480-8041-D487CE434FF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BC16</xm:sqref>
        </x14:conditionalFormatting>
        <x14:conditionalFormatting xmlns:xm="http://schemas.microsoft.com/office/excel/2006/main">
          <x14:cfRule type="dataBar" id="{D37DF695-F997-43FE-AC33-49403B5F445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BC20</xm:sqref>
        </x14:conditionalFormatting>
        <x14:conditionalFormatting xmlns:xm="http://schemas.microsoft.com/office/excel/2006/main">
          <x14:cfRule type="dataBar" id="{86BFD343-F0A3-41C8-B820-E653233C4E4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BC22:BC25</xm:sqref>
        </x14:conditionalFormatting>
        <x14:conditionalFormatting xmlns:xm="http://schemas.microsoft.com/office/excel/2006/main">
          <x14:cfRule type="dataBar" id="{BDE3F6E1-6B79-4459-B782-680DDBE1A1D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BC27</xm:sqref>
        </x14:conditionalFormatting>
        <x14:conditionalFormatting xmlns:xm="http://schemas.microsoft.com/office/excel/2006/main">
          <x14:cfRule type="dataBar" id="{AC027078-90B7-4D8D-89E2-59CAE9F9B71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BC30:BC46</xm:sqref>
        </x14:conditionalFormatting>
        <x14:conditionalFormatting xmlns:xm="http://schemas.microsoft.com/office/excel/2006/main">
          <x14:cfRule type="dataBar" id="{4890E730-9E1B-4262-9183-D3BCE9EE630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BC48:BC53</xm:sqref>
        </x14:conditionalFormatting>
        <x14:conditionalFormatting xmlns:xm="http://schemas.microsoft.com/office/excel/2006/main">
          <x14:cfRule type="dataBar" id="{583620A6-B930-4657-B515-C024EE805E7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BC55:BC57</xm:sqref>
        </x14:conditionalFormatting>
        <x14:conditionalFormatting xmlns:xm="http://schemas.microsoft.com/office/excel/2006/main">
          <x14:cfRule type="dataBar" id="{EB6CF674-4C17-4BD5-8738-674373C5269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BC59:BC60</xm:sqref>
        </x14:conditionalFormatting>
        <x14:conditionalFormatting xmlns:xm="http://schemas.microsoft.com/office/excel/2006/main">
          <x14:cfRule type="dataBar" id="{9293E8E5-9020-4F96-9051-32C90F3C082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BC62:BC67</xm:sqref>
        </x14:conditionalFormatting>
        <x14:conditionalFormatting xmlns:xm="http://schemas.microsoft.com/office/excel/2006/main">
          <x14:cfRule type="dataBar" id="{99FBAA26-5191-40CB-BE49-7F3165129A4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BC72:BC73</xm:sqref>
        </x14:conditionalFormatting>
        <x14:conditionalFormatting xmlns:xm="http://schemas.microsoft.com/office/excel/2006/main">
          <x14:cfRule type="dataBar" id="{72151DE3-8ABB-4F5B-B983-6C81C56F0A6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BC75:BC77</xm:sqref>
        </x14:conditionalFormatting>
        <x14:conditionalFormatting xmlns:xm="http://schemas.microsoft.com/office/excel/2006/main">
          <x14:cfRule type="dataBar" id="{F37A3A44-5B95-41D0-B61F-9B3D07B6208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BC79:BC80</xm:sqref>
        </x14:conditionalFormatting>
        <x14:conditionalFormatting xmlns:xm="http://schemas.microsoft.com/office/excel/2006/main">
          <x14:cfRule type="dataBar" id="{2F37F2EF-B9D9-4BB6-9479-E3F8A93F230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BC82:BC101</xm:sqref>
        </x14:conditionalFormatting>
        <x14:conditionalFormatting xmlns:xm="http://schemas.microsoft.com/office/excel/2006/main">
          <x14:cfRule type="dataBar" id="{8C580ABD-5946-4F34-BEF1-2A05B620133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BC68:BC70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CY105"/>
  <sheetViews>
    <sheetView showGridLines="0" view="pageBreakPreview" zoomScaleNormal="70" zoomScaleSheetLayoutView="100" workbookViewId="0">
      <pane ySplit="1" topLeftCell="A55" activePane="bottomLeft" state="frozen"/>
      <selection pane="bottomLeft" activeCell="A65" sqref="A65:XFD66"/>
    </sheetView>
  </sheetViews>
  <sheetFormatPr defaultRowHeight="13.5" outlineLevelRow="1" outlineLevelCol="1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9" customWidth="1"/>
    <col min="10" max="10" width="5.1640625" customWidth="1"/>
    <col min="11" max="11" width="12.1640625" customWidth="1"/>
    <col min="12" max="16" width="12.1640625" style="121" customWidth="1"/>
    <col min="17" max="22" width="12.1640625" style="121" hidden="1" customWidth="1" outlineLevel="1"/>
    <col min="23" max="23" width="11.5" style="288" hidden="1" customWidth="1" outlineLevel="1"/>
    <col min="24" max="29" width="12.1640625" style="121" hidden="1" customWidth="1" outlineLevel="1"/>
    <col min="30" max="30" width="12.1640625" style="288" hidden="1" customWidth="1" outlineLevel="1"/>
    <col min="31" max="31" width="15.5" customWidth="1" collapsed="1"/>
    <col min="32" max="35" width="15.5" style="121" hidden="1" customWidth="1"/>
    <col min="36" max="36" width="18.6640625" bestFit="1" customWidth="1"/>
    <col min="37" max="41" width="18.6640625" style="121" customWidth="1"/>
    <col min="42" max="47" width="18.6640625" style="121" hidden="1" customWidth="1" outlineLevel="1"/>
    <col min="48" max="48" width="12.1640625" style="121" hidden="1" customWidth="1" outlineLevel="1"/>
    <col min="49" max="54" width="18.6640625" style="121" hidden="1" customWidth="1" outlineLevel="1"/>
    <col min="55" max="55" width="12.1640625" style="121" hidden="1" customWidth="1" outlineLevel="1"/>
    <col min="56" max="56" width="1.6640625" customWidth="1" collapsed="1"/>
    <col min="57" max="57" width="10.6640625" customWidth="1"/>
    <col min="58" max="58" width="29.6640625" hidden="1" customWidth="1"/>
    <col min="59" max="59" width="16.33203125" hidden="1" customWidth="1"/>
    <col min="60" max="60" width="12.33203125" hidden="1" customWidth="1"/>
    <col min="61" max="61" width="16.33203125" hidden="1" customWidth="1"/>
    <col min="62" max="62" width="12.1640625" hidden="1" customWidth="1"/>
    <col min="63" max="63" width="15" hidden="1" customWidth="1"/>
    <col min="64" max="64" width="11" hidden="1" customWidth="1"/>
    <col min="65" max="65" width="15" hidden="1" customWidth="1"/>
    <col min="66" max="66" width="16.33203125" hidden="1" customWidth="1"/>
    <col min="67" max="67" width="15.5" customWidth="1"/>
    <col min="68" max="68" width="10.5" hidden="1" customWidth="1"/>
    <col min="69" max="69" width="16.33203125" hidden="1" customWidth="1"/>
    <col min="82" max="103" width="9.33203125" hidden="1"/>
  </cols>
  <sheetData>
    <row r="4" spans="2:56" s="1" customFormat="1" ht="6.95" customHeight="1"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80"/>
      <c r="X4" s="27"/>
      <c r="Y4" s="27"/>
      <c r="Z4" s="27"/>
      <c r="AA4" s="27"/>
      <c r="AB4" s="27"/>
      <c r="AC4" s="27"/>
      <c r="AD4" s="280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8"/>
    </row>
    <row r="5" spans="2:56" s="1" customFormat="1" ht="36.950000000000003" customHeight="1">
      <c r="B5" s="15"/>
      <c r="C5" s="485" t="s">
        <v>134</v>
      </c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515"/>
      <c r="AD5" s="515"/>
      <c r="AE5" s="515"/>
      <c r="AF5" s="515"/>
      <c r="AG5" s="515"/>
      <c r="AH5" s="515"/>
      <c r="AI5" s="515"/>
      <c r="AJ5" s="515"/>
      <c r="AK5" s="123"/>
      <c r="AL5" s="123"/>
      <c r="AM5" s="123"/>
      <c r="AN5" s="123"/>
      <c r="AO5" s="123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17"/>
    </row>
    <row r="6" spans="2:56" s="1" customFormat="1" ht="6.95" customHeight="1">
      <c r="B6" s="15"/>
      <c r="C6" s="16"/>
      <c r="D6" s="16"/>
      <c r="E6" s="16"/>
      <c r="F6" s="16"/>
      <c r="G6" s="16"/>
      <c r="H6" s="16"/>
      <c r="I6" s="16"/>
      <c r="J6" s="16"/>
      <c r="K6" s="16"/>
      <c r="L6" s="123"/>
      <c r="M6" s="123"/>
      <c r="N6" s="123"/>
      <c r="O6" s="123"/>
      <c r="P6" s="123"/>
      <c r="Q6" s="254"/>
      <c r="R6" s="254"/>
      <c r="S6" s="254"/>
      <c r="T6" s="254"/>
      <c r="U6" s="254"/>
      <c r="V6" s="254"/>
      <c r="W6" s="281"/>
      <c r="X6" s="254"/>
      <c r="Y6" s="254"/>
      <c r="Z6" s="254"/>
      <c r="AA6" s="254"/>
      <c r="AB6" s="254"/>
      <c r="AC6" s="254"/>
      <c r="AD6" s="281"/>
      <c r="AE6" s="16"/>
      <c r="AF6" s="123"/>
      <c r="AG6" s="123"/>
      <c r="AH6" s="123"/>
      <c r="AI6" s="123"/>
      <c r="AJ6" s="16"/>
      <c r="AK6" s="123"/>
      <c r="AL6" s="123"/>
      <c r="AM6" s="123"/>
      <c r="AN6" s="123"/>
      <c r="AO6" s="123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17"/>
    </row>
    <row r="7" spans="2:56" s="1" customFormat="1" ht="30" customHeight="1">
      <c r="B7" s="15"/>
      <c r="C7" s="14" t="s">
        <v>3</v>
      </c>
      <c r="D7" s="16"/>
      <c r="E7" s="16"/>
      <c r="F7" s="513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6"/>
      <c r="S7" s="516"/>
      <c r="T7" s="516"/>
      <c r="U7" s="516"/>
      <c r="V7" s="516"/>
      <c r="W7" s="516"/>
      <c r="X7" s="516"/>
      <c r="Y7" s="516"/>
      <c r="Z7" s="516"/>
      <c r="AA7" s="516"/>
      <c r="AB7" s="516"/>
      <c r="AC7" s="516"/>
      <c r="AD7" s="516"/>
      <c r="AE7" s="516"/>
      <c r="AF7" s="516"/>
      <c r="AG7" s="516"/>
      <c r="AH7" s="516"/>
      <c r="AI7" s="516"/>
      <c r="AJ7" s="516"/>
      <c r="AK7" s="122"/>
      <c r="AL7" s="122"/>
      <c r="AM7" s="122"/>
      <c r="AN7" s="122"/>
      <c r="AO7" s="122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17"/>
    </row>
    <row r="8" spans="2:56" ht="30" customHeight="1">
      <c r="B8" s="10"/>
      <c r="C8" s="14" t="s">
        <v>121</v>
      </c>
      <c r="D8" s="12"/>
      <c r="E8" s="12"/>
      <c r="F8" s="513" t="s">
        <v>122</v>
      </c>
      <c r="G8" s="517"/>
      <c r="H8" s="517"/>
      <c r="I8" s="517"/>
      <c r="J8" s="517"/>
      <c r="K8" s="517"/>
      <c r="L8" s="517"/>
      <c r="M8" s="517"/>
      <c r="N8" s="517"/>
      <c r="O8" s="517"/>
      <c r="P8" s="517"/>
      <c r="Q8" s="517"/>
      <c r="R8" s="517"/>
      <c r="S8" s="517"/>
      <c r="T8" s="517"/>
      <c r="U8" s="517"/>
      <c r="V8" s="517"/>
      <c r="W8" s="517"/>
      <c r="X8" s="517"/>
      <c r="Y8" s="517"/>
      <c r="Z8" s="517"/>
      <c r="AA8" s="517"/>
      <c r="AB8" s="517"/>
      <c r="AC8" s="517"/>
      <c r="AD8" s="517"/>
      <c r="AE8" s="517"/>
      <c r="AF8" s="517"/>
      <c r="AG8" s="517"/>
      <c r="AH8" s="517"/>
      <c r="AI8" s="517"/>
      <c r="AJ8" s="517"/>
      <c r="AK8" s="120"/>
      <c r="AL8" s="120"/>
      <c r="AM8" s="120"/>
      <c r="AN8" s="120"/>
      <c r="AO8" s="120"/>
      <c r="AP8" s="256"/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6"/>
      <c r="BC8" s="256"/>
      <c r="BD8" s="11"/>
    </row>
    <row r="9" spans="2:56" s="1" customFormat="1" ht="36.950000000000003" customHeight="1">
      <c r="B9" s="15"/>
      <c r="C9" s="33" t="s">
        <v>123</v>
      </c>
      <c r="D9" s="16"/>
      <c r="E9" s="16"/>
      <c r="F9" s="487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515"/>
      <c r="R9" s="515"/>
      <c r="S9" s="515"/>
      <c r="T9" s="515"/>
      <c r="U9" s="515"/>
      <c r="V9" s="515"/>
      <c r="W9" s="515"/>
      <c r="X9" s="515"/>
      <c r="Y9" s="515"/>
      <c r="Z9" s="515"/>
      <c r="AA9" s="515"/>
      <c r="AB9" s="515"/>
      <c r="AC9" s="515"/>
      <c r="AD9" s="515"/>
      <c r="AE9" s="515"/>
      <c r="AF9" s="515"/>
      <c r="AG9" s="515"/>
      <c r="AH9" s="515"/>
      <c r="AI9" s="515"/>
      <c r="AJ9" s="515"/>
      <c r="AK9" s="123"/>
      <c r="AL9" s="123"/>
      <c r="AM9" s="123"/>
      <c r="AN9" s="123"/>
      <c r="AO9" s="123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17"/>
    </row>
    <row r="10" spans="2:56" s="1" customFormat="1" ht="6.95" customHeight="1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23"/>
      <c r="M10" s="123"/>
      <c r="N10" s="123"/>
      <c r="O10" s="123"/>
      <c r="P10" s="123"/>
      <c r="Q10" s="254"/>
      <c r="R10" s="254"/>
      <c r="S10" s="254"/>
      <c r="T10" s="254"/>
      <c r="U10" s="254"/>
      <c r="V10" s="254"/>
      <c r="W10" s="281"/>
      <c r="X10" s="254"/>
      <c r="Y10" s="254"/>
      <c r="Z10" s="254"/>
      <c r="AA10" s="254"/>
      <c r="AB10" s="254"/>
      <c r="AC10" s="254"/>
      <c r="AD10" s="281"/>
      <c r="AE10" s="16"/>
      <c r="AF10" s="123"/>
      <c r="AG10" s="123"/>
      <c r="AH10" s="123"/>
      <c r="AI10" s="123"/>
      <c r="AJ10" s="16"/>
      <c r="AK10" s="123"/>
      <c r="AL10" s="123"/>
      <c r="AM10" s="123"/>
      <c r="AN10" s="123"/>
      <c r="AO10" s="123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17"/>
    </row>
    <row r="11" spans="2:56" s="1" customFormat="1" ht="18" customHeight="1">
      <c r="B11" s="15"/>
      <c r="C11" s="14" t="s">
        <v>4</v>
      </c>
      <c r="D11" s="16"/>
      <c r="E11" s="16"/>
      <c r="F11" s="13"/>
      <c r="G11" s="16"/>
      <c r="H11" s="16"/>
      <c r="I11" s="16"/>
      <c r="J11" s="16"/>
      <c r="K11" s="14" t="s">
        <v>5</v>
      </c>
      <c r="L11" s="122"/>
      <c r="M11" s="122"/>
      <c r="N11" s="122"/>
      <c r="O11" s="122"/>
      <c r="P11" s="122"/>
      <c r="Q11" s="255"/>
      <c r="R11" s="255"/>
      <c r="S11" s="255"/>
      <c r="T11" s="255"/>
      <c r="U11" s="255"/>
      <c r="V11" s="255"/>
      <c r="W11" s="282"/>
      <c r="X11" s="255"/>
      <c r="Y11" s="255"/>
      <c r="Z11" s="255"/>
      <c r="AA11" s="255"/>
      <c r="AB11" s="255"/>
      <c r="AC11" s="255"/>
      <c r="AD11" s="282"/>
      <c r="AE11" s="16"/>
      <c r="AF11" s="123"/>
      <c r="AG11" s="123"/>
      <c r="AH11" s="123"/>
      <c r="AI11" s="123"/>
      <c r="AJ11" s="124"/>
      <c r="AK11" s="124"/>
      <c r="AL11" s="124"/>
      <c r="AM11" s="124"/>
      <c r="AN11" s="124"/>
      <c r="AO11" s="124"/>
      <c r="AP11" s="251"/>
      <c r="AQ11" s="251"/>
      <c r="AR11" s="251"/>
      <c r="AS11" s="251"/>
      <c r="AT11" s="251"/>
      <c r="AU11" s="251"/>
      <c r="AV11" s="255"/>
      <c r="AW11" s="251"/>
      <c r="AX11" s="251"/>
      <c r="AY11" s="251"/>
      <c r="AZ11" s="251"/>
      <c r="BA11" s="251"/>
      <c r="BB11" s="251"/>
      <c r="BC11" s="255"/>
      <c r="BD11" s="17"/>
    </row>
    <row r="12" spans="2:56" s="1" customFormat="1" ht="6.95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23"/>
      <c r="M12" s="123"/>
      <c r="N12" s="123"/>
      <c r="O12" s="123"/>
      <c r="P12" s="123"/>
      <c r="Q12" s="254"/>
      <c r="R12" s="254"/>
      <c r="S12" s="254"/>
      <c r="T12" s="254"/>
      <c r="U12" s="254"/>
      <c r="V12" s="254"/>
      <c r="W12" s="281"/>
      <c r="X12" s="254"/>
      <c r="Y12" s="254"/>
      <c r="Z12" s="254"/>
      <c r="AA12" s="254"/>
      <c r="AB12" s="254"/>
      <c r="AC12" s="254"/>
      <c r="AD12" s="281"/>
      <c r="AE12" s="16"/>
      <c r="AF12" s="123"/>
      <c r="AG12" s="123"/>
      <c r="AH12" s="123"/>
      <c r="AI12" s="123"/>
      <c r="AJ12" s="16"/>
      <c r="AK12" s="123"/>
      <c r="AL12" s="123"/>
      <c r="AM12" s="123"/>
      <c r="AN12" s="123"/>
      <c r="AO12" s="123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17"/>
    </row>
    <row r="13" spans="2:56" s="1" customFormat="1" ht="15">
      <c r="B13" s="15"/>
      <c r="C13" s="14" t="s">
        <v>6</v>
      </c>
      <c r="D13" s="16"/>
      <c r="E13" s="16"/>
      <c r="F13" s="13"/>
      <c r="G13" s="16"/>
      <c r="H13" s="16"/>
      <c r="I13" s="16"/>
      <c r="J13" s="16"/>
      <c r="K13" s="14" t="s">
        <v>8</v>
      </c>
      <c r="L13" s="122"/>
      <c r="M13" s="122"/>
      <c r="N13" s="122"/>
      <c r="O13" s="122"/>
      <c r="P13" s="122"/>
      <c r="Q13" s="255"/>
      <c r="R13" s="255"/>
      <c r="S13" s="255"/>
      <c r="T13" s="255"/>
      <c r="U13" s="255"/>
      <c r="V13" s="255"/>
      <c r="W13" s="282"/>
      <c r="X13" s="255"/>
      <c r="Y13" s="255"/>
      <c r="Z13" s="255"/>
      <c r="AA13" s="255"/>
      <c r="AB13" s="255"/>
      <c r="AC13" s="255"/>
      <c r="AD13" s="282"/>
      <c r="AE13" s="16"/>
      <c r="AF13" s="123"/>
      <c r="AG13" s="123"/>
      <c r="AH13" s="123"/>
      <c r="AI13" s="123"/>
      <c r="AJ13" s="119"/>
      <c r="AK13" s="119"/>
      <c r="AL13" s="119"/>
      <c r="AM13" s="119"/>
      <c r="AN13" s="119"/>
      <c r="AO13" s="119"/>
      <c r="AP13" s="252"/>
      <c r="AQ13" s="252"/>
      <c r="AR13" s="252"/>
      <c r="AS13" s="252"/>
      <c r="AT13" s="252"/>
      <c r="AU13" s="252"/>
      <c r="AV13" s="255"/>
      <c r="AW13" s="252"/>
      <c r="AX13" s="252"/>
      <c r="AY13" s="252"/>
      <c r="AZ13" s="252"/>
      <c r="BA13" s="252"/>
      <c r="BB13" s="252"/>
      <c r="BC13" s="255"/>
      <c r="BD13" s="17"/>
    </row>
    <row r="14" spans="2:56" s="1" customFormat="1" ht="14.45" customHeight="1">
      <c r="B14" s="15"/>
      <c r="C14" s="14" t="s">
        <v>7</v>
      </c>
      <c r="D14" s="16"/>
      <c r="E14" s="16"/>
      <c r="F14" s="13"/>
      <c r="G14" s="16"/>
      <c r="H14" s="16"/>
      <c r="I14" s="16"/>
      <c r="J14" s="16"/>
      <c r="K14" s="14" t="s">
        <v>9</v>
      </c>
      <c r="L14" s="122"/>
      <c r="M14" s="122"/>
      <c r="N14" s="122"/>
      <c r="O14" s="122"/>
      <c r="P14" s="122"/>
      <c r="Q14" s="255"/>
      <c r="R14" s="255"/>
      <c r="S14" s="255"/>
      <c r="T14" s="255"/>
      <c r="U14" s="255"/>
      <c r="V14" s="255"/>
      <c r="W14" s="282"/>
      <c r="X14" s="255"/>
      <c r="Y14" s="255"/>
      <c r="Z14" s="255"/>
      <c r="AA14" s="255"/>
      <c r="AB14" s="255"/>
      <c r="AC14" s="255"/>
      <c r="AD14" s="282"/>
      <c r="AE14" s="16"/>
      <c r="AF14" s="123"/>
      <c r="AG14" s="123"/>
      <c r="AH14" s="123"/>
      <c r="AI14" s="123"/>
      <c r="AJ14" s="119"/>
      <c r="AK14" s="119"/>
      <c r="AL14" s="119"/>
      <c r="AM14" s="119"/>
      <c r="AN14" s="119"/>
      <c r="AO14" s="119"/>
      <c r="AP14" s="252"/>
      <c r="AQ14" s="252"/>
      <c r="AR14" s="252"/>
      <c r="AS14" s="252"/>
      <c r="AT14" s="252"/>
      <c r="AU14" s="252"/>
      <c r="AV14" s="255"/>
      <c r="AW14" s="252"/>
      <c r="AX14" s="252"/>
      <c r="AY14" s="252"/>
      <c r="AZ14" s="252"/>
      <c r="BA14" s="252"/>
      <c r="BB14" s="252"/>
      <c r="BC14" s="255"/>
      <c r="BD14" s="17"/>
    </row>
    <row r="15" spans="2:56" s="1" customFormat="1" ht="14.45" customHeight="1">
      <c r="B15" s="15"/>
      <c r="C15" s="255"/>
      <c r="D15" s="254"/>
      <c r="E15" s="254"/>
      <c r="F15" s="252"/>
      <c r="G15" s="254"/>
      <c r="H15" s="254"/>
      <c r="I15" s="254"/>
      <c r="J15" s="254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82"/>
      <c r="X15" s="255"/>
      <c r="Y15" s="255"/>
      <c r="Z15" s="255"/>
      <c r="AA15" s="255"/>
      <c r="AB15" s="255"/>
      <c r="AC15" s="255"/>
      <c r="AD15" s="282"/>
      <c r="AE15" s="254"/>
      <c r="AF15" s="254"/>
      <c r="AG15" s="254"/>
      <c r="AH15" s="254"/>
      <c r="AI15" s="254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5"/>
      <c r="AW15" s="252"/>
      <c r="AX15" s="252"/>
      <c r="AY15" s="252"/>
      <c r="AZ15" s="252"/>
      <c r="BA15" s="252"/>
      <c r="BB15" s="252"/>
      <c r="BC15" s="255"/>
      <c r="BD15" s="17"/>
    </row>
    <row r="16" spans="2:56" s="1" customFormat="1" ht="18" customHeight="1">
      <c r="B16" s="15"/>
      <c r="C16" s="16"/>
      <c r="D16" s="16"/>
      <c r="E16" s="16"/>
      <c r="F16" s="16"/>
      <c r="G16" s="16"/>
      <c r="H16" s="16"/>
      <c r="I16" s="16"/>
      <c r="J16" s="16"/>
      <c r="K16" s="512" t="s">
        <v>1408</v>
      </c>
      <c r="L16" s="512"/>
      <c r="M16" s="512"/>
      <c r="N16" s="512"/>
      <c r="O16" s="512"/>
      <c r="P16" s="512"/>
      <c r="Q16" s="497" t="s">
        <v>1409</v>
      </c>
      <c r="R16" s="497"/>
      <c r="S16" s="497"/>
      <c r="T16" s="497"/>
      <c r="U16" s="497"/>
      <c r="V16" s="497"/>
      <c r="W16" s="497"/>
      <c r="X16" s="496" t="s">
        <v>1410</v>
      </c>
      <c r="Y16" s="496"/>
      <c r="Z16" s="496"/>
      <c r="AA16" s="496"/>
      <c r="AB16" s="496"/>
      <c r="AC16" s="496"/>
      <c r="AD16" s="496"/>
      <c r="AE16" s="16"/>
      <c r="AF16" s="123"/>
      <c r="AG16" s="123"/>
      <c r="AH16" s="123"/>
      <c r="AI16" s="123"/>
      <c r="AJ16" s="512" t="s">
        <v>1408</v>
      </c>
      <c r="AK16" s="512"/>
      <c r="AL16" s="512"/>
      <c r="AM16" s="512"/>
      <c r="AN16" s="512"/>
      <c r="AO16" s="512"/>
      <c r="AP16" s="497" t="s">
        <v>1409</v>
      </c>
      <c r="AQ16" s="497"/>
      <c r="AR16" s="497"/>
      <c r="AS16" s="497"/>
      <c r="AT16" s="497"/>
      <c r="AU16" s="497"/>
      <c r="AV16" s="497"/>
      <c r="AW16" s="496" t="s">
        <v>1410</v>
      </c>
      <c r="AX16" s="496"/>
      <c r="AY16" s="496"/>
      <c r="AZ16" s="496"/>
      <c r="BA16" s="496"/>
      <c r="BB16" s="496"/>
      <c r="BC16" s="496"/>
      <c r="BD16" s="17"/>
    </row>
    <row r="17" spans="2:103" s="6" customFormat="1" ht="29.25" customHeight="1">
      <c r="B17" s="75"/>
      <c r="C17" s="76" t="s">
        <v>135</v>
      </c>
      <c r="D17" s="77" t="s">
        <v>136</v>
      </c>
      <c r="E17" s="77" t="s">
        <v>14</v>
      </c>
      <c r="F17" s="511" t="s">
        <v>137</v>
      </c>
      <c r="G17" s="511"/>
      <c r="H17" s="511"/>
      <c r="I17" s="511"/>
      <c r="J17" s="77" t="s">
        <v>138</v>
      </c>
      <c r="K17" s="125" t="s">
        <v>1089</v>
      </c>
      <c r="L17" s="125" t="s">
        <v>1090</v>
      </c>
      <c r="M17" s="125" t="s">
        <v>1091</v>
      </c>
      <c r="N17" s="125" t="s">
        <v>1092</v>
      </c>
      <c r="O17" s="125" t="s">
        <v>1093</v>
      </c>
      <c r="P17" s="125" t="s">
        <v>1106</v>
      </c>
      <c r="Q17" s="253" t="s">
        <v>1089</v>
      </c>
      <c r="R17" s="253" t="s">
        <v>1090</v>
      </c>
      <c r="S17" s="253" t="s">
        <v>1091</v>
      </c>
      <c r="T17" s="253" t="s">
        <v>1092</v>
      </c>
      <c r="U17" s="253" t="s">
        <v>1093</v>
      </c>
      <c r="V17" s="253" t="s">
        <v>1106</v>
      </c>
      <c r="W17" s="283" t="s">
        <v>883</v>
      </c>
      <c r="X17" s="253" t="s">
        <v>1089</v>
      </c>
      <c r="Y17" s="253" t="s">
        <v>1090</v>
      </c>
      <c r="Z17" s="253" t="s">
        <v>1091</v>
      </c>
      <c r="AA17" s="253" t="s">
        <v>1092</v>
      </c>
      <c r="AB17" s="253" t="s">
        <v>1093</v>
      </c>
      <c r="AC17" s="253" t="s">
        <v>1106</v>
      </c>
      <c r="AD17" s="283" t="s">
        <v>883</v>
      </c>
      <c r="AE17" s="126" t="s">
        <v>1095</v>
      </c>
      <c r="AF17" s="126" t="s">
        <v>1096</v>
      </c>
      <c r="AG17" s="126" t="s">
        <v>1098</v>
      </c>
      <c r="AH17" s="126" t="s">
        <v>1100</v>
      </c>
      <c r="AI17" s="126" t="s">
        <v>1102</v>
      </c>
      <c r="AJ17" s="125" t="s">
        <v>1094</v>
      </c>
      <c r="AK17" s="125" t="s">
        <v>1097</v>
      </c>
      <c r="AL17" s="125" t="s">
        <v>1099</v>
      </c>
      <c r="AM17" s="125" t="s">
        <v>1101</v>
      </c>
      <c r="AN17" s="125" t="s">
        <v>1103</v>
      </c>
      <c r="AO17" s="291" t="s">
        <v>1107</v>
      </c>
      <c r="AP17" s="253" t="s">
        <v>1094</v>
      </c>
      <c r="AQ17" s="253" t="s">
        <v>1097</v>
      </c>
      <c r="AR17" s="253" t="s">
        <v>1099</v>
      </c>
      <c r="AS17" s="253" t="s">
        <v>1101</v>
      </c>
      <c r="AT17" s="253" t="s">
        <v>1103</v>
      </c>
      <c r="AU17" s="253" t="s">
        <v>1107</v>
      </c>
      <c r="AV17" s="313" t="s">
        <v>883</v>
      </c>
      <c r="AW17" s="253" t="s">
        <v>1094</v>
      </c>
      <c r="AX17" s="253" t="s">
        <v>1097</v>
      </c>
      <c r="AY17" s="253" t="s">
        <v>1099</v>
      </c>
      <c r="AZ17" s="253" t="s">
        <v>1101</v>
      </c>
      <c r="BA17" s="253" t="s">
        <v>1103</v>
      </c>
      <c r="BB17" s="253" t="s">
        <v>1107</v>
      </c>
      <c r="BC17" s="291" t="s">
        <v>883</v>
      </c>
      <c r="BD17" s="78"/>
      <c r="BE17" s="6" t="s">
        <v>950</v>
      </c>
      <c r="BF17" s="39" t="s">
        <v>141</v>
      </c>
      <c r="BG17" s="40" t="s">
        <v>10</v>
      </c>
      <c r="BH17" s="40" t="s">
        <v>142</v>
      </c>
      <c r="BI17" s="40" t="s">
        <v>143</v>
      </c>
      <c r="BJ17" s="40" t="s">
        <v>144</v>
      </c>
      <c r="BK17" s="40" t="s">
        <v>145</v>
      </c>
      <c r="BL17" s="40" t="s">
        <v>146</v>
      </c>
      <c r="BM17" s="41" t="s">
        <v>147</v>
      </c>
      <c r="BO17" s="6" t="s">
        <v>136</v>
      </c>
    </row>
    <row r="18" spans="2:103" s="1" customFormat="1" ht="29.25" customHeight="1">
      <c r="B18" s="15"/>
      <c r="C18" s="43" t="s">
        <v>45</v>
      </c>
      <c r="D18" s="361"/>
      <c r="E18" s="361"/>
      <c r="F18" s="361"/>
      <c r="G18" s="361"/>
      <c r="H18" s="361"/>
      <c r="I18" s="361"/>
      <c r="J18" s="361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1"/>
      <c r="X18" s="380"/>
      <c r="Y18" s="380"/>
      <c r="Z18" s="380"/>
      <c r="AA18" s="380"/>
      <c r="AB18" s="380"/>
      <c r="AC18" s="380"/>
      <c r="AD18" s="381"/>
      <c r="AE18" s="380"/>
      <c r="AF18" s="380"/>
      <c r="AG18" s="380"/>
      <c r="AH18" s="380"/>
      <c r="AI18" s="380"/>
      <c r="AJ18" s="382">
        <f t="shared" ref="AJ18:AO18" si="0">AJ19+AJ45</f>
        <v>44907.476999999999</v>
      </c>
      <c r="AK18" s="382">
        <f t="shared" si="0"/>
        <v>44907.476999999999</v>
      </c>
      <c r="AL18" s="382">
        <f t="shared" si="0"/>
        <v>53652.815999999999</v>
      </c>
      <c r="AM18" s="382">
        <f t="shared" si="0"/>
        <v>53180.546000000002</v>
      </c>
      <c r="AN18" s="382">
        <f t="shared" si="0"/>
        <v>9571.0779999999995</v>
      </c>
      <c r="AO18" s="383">
        <f t="shared" si="0"/>
        <v>206219.39399999997</v>
      </c>
      <c r="AP18" s="216">
        <f t="shared" ref="AP18:AU18" si="1">AP19+AP45</f>
        <v>0</v>
      </c>
      <c r="AQ18" s="216">
        <f t="shared" si="1"/>
        <v>4698.96</v>
      </c>
      <c r="AR18" s="216">
        <f t="shared" si="1"/>
        <v>1627.095</v>
      </c>
      <c r="AS18" s="216">
        <f t="shared" si="1"/>
        <v>0</v>
      </c>
      <c r="AT18" s="216">
        <f t="shared" si="1"/>
        <v>1581.9570000000001</v>
      </c>
      <c r="AU18" s="216">
        <f t="shared" si="1"/>
        <v>7908.0120000000006</v>
      </c>
      <c r="AV18" s="314"/>
      <c r="AW18" s="216">
        <f t="shared" ref="AW18:BB18" si="2">AW19+AW45</f>
        <v>44907.476999999999</v>
      </c>
      <c r="AX18" s="216">
        <f t="shared" si="2"/>
        <v>40208.517</v>
      </c>
      <c r="AY18" s="216">
        <f t="shared" si="2"/>
        <v>52025.72099999999</v>
      </c>
      <c r="AZ18" s="216">
        <f t="shared" si="2"/>
        <v>53180.546000000002</v>
      </c>
      <c r="BA18" s="216">
        <f t="shared" si="2"/>
        <v>7989.1209999999992</v>
      </c>
      <c r="BB18" s="216">
        <f t="shared" si="2"/>
        <v>198311.38199999998</v>
      </c>
      <c r="BC18" s="314"/>
      <c r="BD18" s="17"/>
      <c r="BF18" s="42"/>
      <c r="BG18" s="19"/>
      <c r="BH18" s="19"/>
      <c r="BI18" s="79">
        <f>BI19+BI45+BI64</f>
        <v>0</v>
      </c>
      <c r="BJ18" s="19"/>
      <c r="BK18" s="79">
        <f>BK19+BK45+BK64</f>
        <v>0</v>
      </c>
      <c r="BL18" s="19"/>
      <c r="BM18" s="80">
        <f>BM19+BM45+BM64</f>
        <v>0</v>
      </c>
      <c r="BP18" s="1">
        <v>1.04</v>
      </c>
      <c r="CF18" s="9" t="s">
        <v>30</v>
      </c>
      <c r="CG18" s="9" t="s">
        <v>126</v>
      </c>
      <c r="CW18" s="81">
        <f>CW19+CW45+CW64</f>
        <v>44907.476999999999</v>
      </c>
    </row>
    <row r="19" spans="2:103" s="7" customFormat="1" ht="37.35" customHeight="1">
      <c r="B19" s="82"/>
      <c r="C19" s="83"/>
      <c r="D19" s="84" t="s">
        <v>127</v>
      </c>
      <c r="E19" s="84"/>
      <c r="F19" s="84"/>
      <c r="G19" s="84"/>
      <c r="H19" s="84"/>
      <c r="I19" s="84"/>
      <c r="J19" s="84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84"/>
      <c r="X19" s="217"/>
      <c r="Y19" s="217"/>
      <c r="Z19" s="217"/>
      <c r="AA19" s="217"/>
      <c r="AB19" s="217"/>
      <c r="AC19" s="217"/>
      <c r="AD19" s="284"/>
      <c r="AE19" s="217"/>
      <c r="AF19" s="217"/>
      <c r="AG19" s="217"/>
      <c r="AH19" s="217"/>
      <c r="AI19" s="217"/>
      <c r="AJ19" s="218">
        <f t="shared" ref="AJ19:AO19" si="3">AJ20+AJ30+AJ43</f>
        <v>39652.322</v>
      </c>
      <c r="AK19" s="218">
        <f t="shared" si="3"/>
        <v>39652.322</v>
      </c>
      <c r="AL19" s="218">
        <f t="shared" si="3"/>
        <v>44543.27</v>
      </c>
      <c r="AM19" s="218">
        <f t="shared" si="3"/>
        <v>43912.7</v>
      </c>
      <c r="AN19" s="218">
        <f t="shared" si="3"/>
        <v>6512.1969999999992</v>
      </c>
      <c r="AO19" s="293">
        <f t="shared" si="3"/>
        <v>174272.81099999999</v>
      </c>
      <c r="AP19" s="218">
        <f t="shared" ref="AP19:AU19" si="4">AP20+AP30+AP43</f>
        <v>0</v>
      </c>
      <c r="AQ19" s="218">
        <f t="shared" si="4"/>
        <v>3195.99</v>
      </c>
      <c r="AR19" s="218">
        <f t="shared" si="4"/>
        <v>997.63300000000004</v>
      </c>
      <c r="AS19" s="218">
        <f t="shared" si="4"/>
        <v>0</v>
      </c>
      <c r="AT19" s="218">
        <f t="shared" si="4"/>
        <v>953.76200000000006</v>
      </c>
      <c r="AU19" s="218">
        <f t="shared" si="4"/>
        <v>5147.3850000000002</v>
      </c>
      <c r="AV19" s="315"/>
      <c r="AW19" s="218">
        <f t="shared" ref="AW19:BB19" si="5">AW20+AW30+AW43</f>
        <v>39652.322</v>
      </c>
      <c r="AX19" s="218">
        <f t="shared" si="5"/>
        <v>36456.332000000002</v>
      </c>
      <c r="AY19" s="218">
        <f t="shared" si="5"/>
        <v>43545.636999999995</v>
      </c>
      <c r="AZ19" s="218">
        <f t="shared" si="5"/>
        <v>43912.7</v>
      </c>
      <c r="BA19" s="218">
        <f t="shared" si="5"/>
        <v>5558.4349999999995</v>
      </c>
      <c r="BB19" s="218">
        <f t="shared" si="5"/>
        <v>169125.42599999998</v>
      </c>
      <c r="BC19" s="315"/>
      <c r="BD19" s="85"/>
      <c r="BF19" s="86"/>
      <c r="BG19" s="83"/>
      <c r="BH19" s="83"/>
      <c r="BI19" s="87">
        <f>BI20+BI30</f>
        <v>0</v>
      </c>
      <c r="BJ19" s="83"/>
      <c r="BK19" s="87">
        <f>BK20+BK30</f>
        <v>0</v>
      </c>
      <c r="BL19" s="83"/>
      <c r="BM19" s="88">
        <f>BM20+BM30</f>
        <v>0</v>
      </c>
      <c r="CD19" s="89" t="s">
        <v>38</v>
      </c>
      <c r="CF19" s="90" t="s">
        <v>30</v>
      </c>
      <c r="CG19" s="90" t="s">
        <v>31</v>
      </c>
      <c r="CK19" s="89" t="s">
        <v>148</v>
      </c>
      <c r="CW19" s="91">
        <f>CW20+CW30</f>
        <v>39652.322</v>
      </c>
    </row>
    <row r="20" spans="2:103" s="7" customFormat="1" ht="19.899999999999999" customHeight="1">
      <c r="B20" s="82"/>
      <c r="C20" s="83"/>
      <c r="D20" s="92" t="s">
        <v>245</v>
      </c>
      <c r="E20" s="92"/>
      <c r="F20" s="92"/>
      <c r="G20" s="92"/>
      <c r="H20" s="92"/>
      <c r="I20" s="92"/>
      <c r="J20" s="92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85"/>
      <c r="X20" s="219"/>
      <c r="Y20" s="219"/>
      <c r="Z20" s="219"/>
      <c r="AA20" s="219"/>
      <c r="AB20" s="219"/>
      <c r="AC20" s="219"/>
      <c r="AD20" s="285"/>
      <c r="AE20" s="219"/>
      <c r="AF20" s="219"/>
      <c r="AG20" s="219"/>
      <c r="AH20" s="219"/>
      <c r="AI20" s="219"/>
      <c r="AJ20" s="213">
        <f t="shared" ref="AJ20:AO20" si="6">SUM(AJ21:AJ29)</f>
        <v>34298.400000000001</v>
      </c>
      <c r="AK20" s="213">
        <f t="shared" si="6"/>
        <v>34298.400000000001</v>
      </c>
      <c r="AL20" s="213">
        <f t="shared" si="6"/>
        <v>38083.510999999999</v>
      </c>
      <c r="AM20" s="213">
        <f t="shared" si="6"/>
        <v>37692.940999999999</v>
      </c>
      <c r="AN20" s="213">
        <f t="shared" si="6"/>
        <v>5113.3959999999997</v>
      </c>
      <c r="AO20" s="294">
        <f t="shared" si="6"/>
        <v>149486.64799999999</v>
      </c>
      <c r="AP20" s="213">
        <f t="shared" ref="AP20:AU20" si="7">SUM(AP21:AP29)</f>
        <v>0</v>
      </c>
      <c r="AQ20" s="213">
        <f t="shared" si="7"/>
        <v>2900.241</v>
      </c>
      <c r="AR20" s="213">
        <f t="shared" si="7"/>
        <v>912.00600000000009</v>
      </c>
      <c r="AS20" s="213">
        <f t="shared" si="7"/>
        <v>0</v>
      </c>
      <c r="AT20" s="213">
        <f t="shared" si="7"/>
        <v>900.41000000000008</v>
      </c>
      <c r="AU20" s="213">
        <f t="shared" si="7"/>
        <v>4712.6570000000002</v>
      </c>
      <c r="AV20" s="316"/>
      <c r="AW20" s="213">
        <f t="shared" ref="AW20:BB20" si="8">SUM(AW21:AW29)</f>
        <v>34298.400000000001</v>
      </c>
      <c r="AX20" s="213">
        <f t="shared" si="8"/>
        <v>31398.159</v>
      </c>
      <c r="AY20" s="213">
        <f t="shared" si="8"/>
        <v>37171.504999999997</v>
      </c>
      <c r="AZ20" s="213">
        <f t="shared" si="8"/>
        <v>37692.940999999999</v>
      </c>
      <c r="BA20" s="213">
        <f t="shared" si="8"/>
        <v>4212.9859999999999</v>
      </c>
      <c r="BB20" s="213">
        <f t="shared" si="8"/>
        <v>144773.99099999998</v>
      </c>
      <c r="BC20" s="316"/>
      <c r="BD20" s="85"/>
      <c r="BF20" s="86"/>
      <c r="BG20" s="83"/>
      <c r="BH20" s="83"/>
      <c r="BI20" s="87">
        <f>SUM(BI21:BI29)</f>
        <v>0</v>
      </c>
      <c r="BJ20" s="83"/>
      <c r="BK20" s="87">
        <f>SUM(BK21:BK29)</f>
        <v>0</v>
      </c>
      <c r="BL20" s="83"/>
      <c r="BM20" s="88">
        <f>SUM(BM21:BM29)</f>
        <v>0</v>
      </c>
      <c r="CD20" s="89" t="s">
        <v>38</v>
      </c>
      <c r="CF20" s="90" t="s">
        <v>30</v>
      </c>
      <c r="CG20" s="90" t="s">
        <v>38</v>
      </c>
      <c r="CK20" s="89" t="s">
        <v>148</v>
      </c>
      <c r="CW20" s="91">
        <f>SUM(CW21:CW29)</f>
        <v>34298.400000000001</v>
      </c>
    </row>
    <row r="21" spans="2:103" s="1" customFormat="1" ht="22.5" customHeight="1">
      <c r="B21" s="73"/>
      <c r="C21" s="93" t="s">
        <v>38</v>
      </c>
      <c r="D21" s="93" t="s">
        <v>149</v>
      </c>
      <c r="E21" s="94" t="s">
        <v>249</v>
      </c>
      <c r="F21" s="498" t="s">
        <v>250</v>
      </c>
      <c r="G21" s="498"/>
      <c r="H21" s="498"/>
      <c r="I21" s="498"/>
      <c r="J21" s="95" t="s">
        <v>168</v>
      </c>
      <c r="K21" s="211">
        <v>85.846000000000004</v>
      </c>
      <c r="L21" s="211">
        <v>85.846000000000004</v>
      </c>
      <c r="M21" s="211">
        <v>85.846000000000004</v>
      </c>
      <c r="N21" s="211">
        <v>85.846000000000004</v>
      </c>
      <c r="O21" s="211">
        <v>20</v>
      </c>
      <c r="P21" s="306">
        <f>SUM(K21:O21)</f>
        <v>363.38400000000001</v>
      </c>
      <c r="Q21" s="307">
        <v>0</v>
      </c>
      <c r="R21" s="211">
        <v>60.06</v>
      </c>
      <c r="S21" s="211">
        <v>17.399999999999999</v>
      </c>
      <c r="T21" s="211">
        <v>0</v>
      </c>
      <c r="U21" s="211">
        <v>17.364999999999998</v>
      </c>
      <c r="V21" s="220">
        <f>SUM(Q21:U21)</f>
        <v>94.825000000000003</v>
      </c>
      <c r="W21" s="289">
        <f>V21/P21</f>
        <v>0.26094984919534159</v>
      </c>
      <c r="X21" s="307">
        <f>K21-Q21</f>
        <v>85.846000000000004</v>
      </c>
      <c r="Y21" s="211">
        <f t="shared" ref="Y21:Y29" si="9">L21-R21</f>
        <v>25.786000000000001</v>
      </c>
      <c r="Z21" s="211">
        <f t="shared" ref="Z21:Z29" si="10">M21-S21</f>
        <v>68.445999999999998</v>
      </c>
      <c r="AA21" s="211">
        <f t="shared" ref="AA21:AA29" si="11">N21-T21</f>
        <v>85.846000000000004</v>
      </c>
      <c r="AB21" s="211">
        <f t="shared" ref="AB21:AB29" si="12">O21-U21</f>
        <v>2.6350000000000016</v>
      </c>
      <c r="AC21" s="220">
        <f>SUM(X21:AB21)</f>
        <v>268.55899999999997</v>
      </c>
      <c r="AD21" s="289">
        <f t="shared" ref="AD21:AD29" si="13">AC21/P21</f>
        <v>0.7390501508046583</v>
      </c>
      <c r="AE21" s="309">
        <v>4.99</v>
      </c>
      <c r="AF21" s="221">
        <v>4.99</v>
      </c>
      <c r="AG21" s="221">
        <v>4.99</v>
      </c>
      <c r="AH21" s="221">
        <v>4.99</v>
      </c>
      <c r="AI21" s="221">
        <v>4.99</v>
      </c>
      <c r="AJ21" s="211">
        <f t="shared" ref="AJ21:AJ29" si="14">ROUND(AE21*K21,3)</f>
        <v>428.37200000000001</v>
      </c>
      <c r="AK21" s="211">
        <f t="shared" ref="AK21:AK29" si="15">ROUND(AE21*L21,3)</f>
        <v>428.37200000000001</v>
      </c>
      <c r="AL21" s="211">
        <f t="shared" ref="AL21:AL29" si="16">ROUND(AE21*M21,3)</f>
        <v>428.37200000000001</v>
      </c>
      <c r="AM21" s="211">
        <f t="shared" ref="AM21:AM29" si="17">ROUND(AE21*N21,3)</f>
        <v>428.37200000000001</v>
      </c>
      <c r="AN21" s="211">
        <f t="shared" ref="AN21:AN29" si="18">ROUND(AE21*O21,3)</f>
        <v>99.8</v>
      </c>
      <c r="AO21" s="295">
        <f t="shared" ref="AO21:AO29" si="19">AJ21+AK21+AL21+AM21+AN21</f>
        <v>1813.288</v>
      </c>
      <c r="AP21" s="211">
        <f>ROUND(AE21*Q21,3)</f>
        <v>0</v>
      </c>
      <c r="AQ21" s="211">
        <f t="shared" ref="AQ21:AT29" si="20">ROUND(AF21*R21,3)</f>
        <v>299.69900000000001</v>
      </c>
      <c r="AR21" s="211">
        <f t="shared" si="20"/>
        <v>86.825999999999993</v>
      </c>
      <c r="AS21" s="211">
        <f t="shared" si="20"/>
        <v>0</v>
      </c>
      <c r="AT21" s="211">
        <f t="shared" si="20"/>
        <v>86.650999999999996</v>
      </c>
      <c r="AU21" s="211">
        <f t="shared" ref="AU21:AU29" si="21">AP21+AQ21+AR21+AS21+AT21</f>
        <v>473.17599999999999</v>
      </c>
      <c r="AV21" s="312">
        <f t="shared" ref="AV21:AV29" si="22">AU21/AO21</f>
        <v>0.26094917078809321</v>
      </c>
      <c r="AW21" s="277">
        <f>AJ21-AP21</f>
        <v>428.37200000000001</v>
      </c>
      <c r="AX21" s="277">
        <f t="shared" ref="AX21:AX29" si="23">AK21-AQ21</f>
        <v>128.673</v>
      </c>
      <c r="AY21" s="277">
        <f t="shared" ref="AY21:AY29" si="24">AL21-AR21</f>
        <v>341.54600000000005</v>
      </c>
      <c r="AZ21" s="277">
        <f t="shared" ref="AZ21:AZ29" si="25">AM21-AS21</f>
        <v>428.37200000000001</v>
      </c>
      <c r="BA21" s="277">
        <f t="shared" ref="BA21:BA29" si="26">AN21-AT21</f>
        <v>13.149000000000001</v>
      </c>
      <c r="BB21" s="211">
        <f t="shared" ref="BB21:BB29" si="27">AW21+AX21+AY21+AZ21+BA21</f>
        <v>1340.1120000000001</v>
      </c>
      <c r="BC21" s="289">
        <f t="shared" ref="BC21:BC29" si="28">BB21/AO21</f>
        <v>0.73905082921190679</v>
      </c>
      <c r="BD21" s="74"/>
      <c r="BF21" s="98" t="s">
        <v>0</v>
      </c>
      <c r="BG21" s="18" t="s">
        <v>11</v>
      </c>
      <c r="BH21" s="16"/>
      <c r="BI21" s="99">
        <f>BH21*K21</f>
        <v>0</v>
      </c>
      <c r="BJ21" s="99">
        <v>0</v>
      </c>
      <c r="BK21" s="99">
        <f>BJ21*K21</f>
        <v>0</v>
      </c>
      <c r="BL21" s="99">
        <v>0</v>
      </c>
      <c r="BM21" s="100">
        <f>BL21*K21</f>
        <v>0</v>
      </c>
      <c r="BQ21" s="1">
        <v>4.8</v>
      </c>
      <c r="CD21" s="9" t="s">
        <v>153</v>
      </c>
      <c r="CF21" s="9" t="s">
        <v>149</v>
      </c>
      <c r="CG21" s="9" t="s">
        <v>42</v>
      </c>
      <c r="CK21" s="9" t="s">
        <v>148</v>
      </c>
      <c r="CQ21" s="72">
        <f>IF(BG21="základná",AJ21,0)</f>
        <v>0</v>
      </c>
      <c r="CR21" s="72">
        <f>IF(BG21="znížená",AJ21,0)</f>
        <v>428.37200000000001</v>
      </c>
      <c r="CS21" s="72">
        <f>IF(BG21="zákl. prenesená",AJ21,0)</f>
        <v>0</v>
      </c>
      <c r="CT21" s="72">
        <f>IF(BG21="zníž. prenesená",AJ21,0)</f>
        <v>0</v>
      </c>
      <c r="CU21" s="72">
        <f>IF(BG21="nulová",AJ21,0)</f>
        <v>0</v>
      </c>
      <c r="CV21" s="9" t="s">
        <v>42</v>
      </c>
      <c r="CW21" s="101">
        <f>ROUND(AE21*K21,3)</f>
        <v>428.37200000000001</v>
      </c>
      <c r="CX21" s="9" t="s">
        <v>153</v>
      </c>
      <c r="CY21" s="9" t="s">
        <v>251</v>
      </c>
    </row>
    <row r="22" spans="2:103" s="1" customFormat="1" ht="22.5" customHeight="1">
      <c r="B22" s="73"/>
      <c r="C22" s="93" t="s">
        <v>42</v>
      </c>
      <c r="D22" s="93" t="s">
        <v>149</v>
      </c>
      <c r="E22" s="94" t="s">
        <v>252</v>
      </c>
      <c r="F22" s="498" t="s">
        <v>253</v>
      </c>
      <c r="G22" s="498"/>
      <c r="H22" s="498"/>
      <c r="I22" s="498"/>
      <c r="J22" s="95" t="s">
        <v>168</v>
      </c>
      <c r="K22" s="211">
        <v>85.846000000000004</v>
      </c>
      <c r="L22" s="211">
        <v>85.846000000000004</v>
      </c>
      <c r="M22" s="211">
        <v>85.846000000000004</v>
      </c>
      <c r="N22" s="211">
        <v>85.846000000000004</v>
      </c>
      <c r="O22" s="211">
        <v>8.4700000000000006</v>
      </c>
      <c r="P22" s="306">
        <f t="shared" ref="P22:P29" si="29">SUM(K22:O22)</f>
        <v>351.85400000000004</v>
      </c>
      <c r="Q22" s="307">
        <v>0</v>
      </c>
      <c r="R22" s="211">
        <v>60.06</v>
      </c>
      <c r="S22" s="211">
        <v>17.399999999999999</v>
      </c>
      <c r="T22" s="211">
        <v>0</v>
      </c>
      <c r="U22" s="211">
        <v>17.364999999999998</v>
      </c>
      <c r="V22" s="220">
        <f t="shared" ref="V22:V29" si="30">SUM(Q22:U22)</f>
        <v>94.825000000000003</v>
      </c>
      <c r="W22" s="289">
        <f t="shared" ref="W22:W29" si="31">V22/P22</f>
        <v>0.26950098620450524</v>
      </c>
      <c r="X22" s="307">
        <f t="shared" ref="X22:X29" si="32">K22-Q22</f>
        <v>85.846000000000004</v>
      </c>
      <c r="Y22" s="211">
        <f t="shared" si="9"/>
        <v>25.786000000000001</v>
      </c>
      <c r="Z22" s="211">
        <f t="shared" si="10"/>
        <v>68.445999999999998</v>
      </c>
      <c r="AA22" s="211">
        <f t="shared" si="11"/>
        <v>85.846000000000004</v>
      </c>
      <c r="AB22" s="211">
        <f t="shared" si="12"/>
        <v>-8.8949999999999978</v>
      </c>
      <c r="AC22" s="220">
        <f t="shared" ref="AC22:AC29" si="33">SUM(X22:AB22)</f>
        <v>257.029</v>
      </c>
      <c r="AD22" s="289">
        <f t="shared" si="13"/>
        <v>0.73049901379549464</v>
      </c>
      <c r="AE22" s="309">
        <v>14.2</v>
      </c>
      <c r="AF22" s="221">
        <v>14.2</v>
      </c>
      <c r="AG22" s="221">
        <v>14.2</v>
      </c>
      <c r="AH22" s="221">
        <v>14.2</v>
      </c>
      <c r="AI22" s="221">
        <v>14.2</v>
      </c>
      <c r="AJ22" s="211">
        <f t="shared" si="14"/>
        <v>1219.0129999999999</v>
      </c>
      <c r="AK22" s="211">
        <f t="shared" si="15"/>
        <v>1219.0129999999999</v>
      </c>
      <c r="AL22" s="211">
        <f t="shared" si="16"/>
        <v>1219.0129999999999</v>
      </c>
      <c r="AM22" s="211">
        <f t="shared" si="17"/>
        <v>1219.0129999999999</v>
      </c>
      <c r="AN22" s="211">
        <f t="shared" si="18"/>
        <v>120.274</v>
      </c>
      <c r="AO22" s="295">
        <f t="shared" si="19"/>
        <v>4996.326</v>
      </c>
      <c r="AP22" s="211">
        <f t="shared" ref="AP22:AP29" si="34">ROUND(AE22*Q22,3)</f>
        <v>0</v>
      </c>
      <c r="AQ22" s="211">
        <f t="shared" si="20"/>
        <v>852.85199999999998</v>
      </c>
      <c r="AR22" s="211">
        <f t="shared" si="20"/>
        <v>247.08</v>
      </c>
      <c r="AS22" s="211">
        <f t="shared" si="20"/>
        <v>0</v>
      </c>
      <c r="AT22" s="211">
        <f t="shared" si="20"/>
        <v>246.583</v>
      </c>
      <c r="AU22" s="211">
        <f t="shared" si="21"/>
        <v>1346.5150000000001</v>
      </c>
      <c r="AV22" s="312">
        <f t="shared" si="22"/>
        <v>0.2695010293563711</v>
      </c>
      <c r="AW22" s="277">
        <f t="shared" ref="AW22:AW29" si="35">AJ22-AP22</f>
        <v>1219.0129999999999</v>
      </c>
      <c r="AX22" s="277">
        <f t="shared" si="23"/>
        <v>366.16099999999994</v>
      </c>
      <c r="AY22" s="277">
        <f t="shared" si="24"/>
        <v>971.93299999999988</v>
      </c>
      <c r="AZ22" s="277">
        <f t="shared" si="25"/>
        <v>1219.0129999999999</v>
      </c>
      <c r="BA22" s="277">
        <f t="shared" si="26"/>
        <v>-126.309</v>
      </c>
      <c r="BB22" s="211">
        <f t="shared" si="27"/>
        <v>3649.8109999999997</v>
      </c>
      <c r="BC22" s="289">
        <f t="shared" si="28"/>
        <v>0.7304989706436289</v>
      </c>
      <c r="BD22" s="74"/>
      <c r="BF22" s="98" t="s">
        <v>0</v>
      </c>
      <c r="BG22" s="18" t="s">
        <v>11</v>
      </c>
      <c r="BH22" s="16"/>
      <c r="BI22" s="99">
        <f>BH22*K22</f>
        <v>0</v>
      </c>
      <c r="BJ22" s="99">
        <v>0</v>
      </c>
      <c r="BK22" s="99">
        <f>BJ22*K22</f>
        <v>0</v>
      </c>
      <c r="BL22" s="99">
        <v>0</v>
      </c>
      <c r="BM22" s="100">
        <f>BL22*K22</f>
        <v>0</v>
      </c>
      <c r="BQ22" s="1">
        <v>13.65</v>
      </c>
      <c r="CD22" s="9" t="s">
        <v>153</v>
      </c>
      <c r="CF22" s="9" t="s">
        <v>149</v>
      </c>
      <c r="CG22" s="9" t="s">
        <v>42</v>
      </c>
      <c r="CK22" s="9" t="s">
        <v>148</v>
      </c>
      <c r="CQ22" s="72">
        <f>IF(BG22="základná",AJ22,0)</f>
        <v>0</v>
      </c>
      <c r="CR22" s="72">
        <f>IF(BG22="znížená",AJ22,0)</f>
        <v>1219.0129999999999</v>
      </c>
      <c r="CS22" s="72">
        <f>IF(BG22="zákl. prenesená",AJ22,0)</f>
        <v>0</v>
      </c>
      <c r="CT22" s="72">
        <f>IF(BG22="zníž. prenesená",AJ22,0)</f>
        <v>0</v>
      </c>
      <c r="CU22" s="72">
        <f>IF(BG22="nulová",AJ22,0)</f>
        <v>0</v>
      </c>
      <c r="CV22" s="9" t="s">
        <v>42</v>
      </c>
      <c r="CW22" s="101">
        <f>ROUND(AE22*K22,3)</f>
        <v>1219.0129999999999</v>
      </c>
      <c r="CX22" s="9" t="s">
        <v>153</v>
      </c>
      <c r="CY22" s="9" t="s">
        <v>254</v>
      </c>
    </row>
    <row r="23" spans="2:103" s="1" customFormat="1" ht="31.5" customHeight="1">
      <c r="B23" s="73"/>
      <c r="C23" s="93" t="s">
        <v>105</v>
      </c>
      <c r="D23" s="93" t="s">
        <v>149</v>
      </c>
      <c r="E23" s="94" t="s">
        <v>255</v>
      </c>
      <c r="F23" s="498" t="s">
        <v>256</v>
      </c>
      <c r="G23" s="498"/>
      <c r="H23" s="498"/>
      <c r="I23" s="498"/>
      <c r="J23" s="95" t="s">
        <v>168</v>
      </c>
      <c r="K23" s="211">
        <v>439.51</v>
      </c>
      <c r="L23" s="211">
        <v>439.51</v>
      </c>
      <c r="M23" s="211">
        <v>501</v>
      </c>
      <c r="N23" s="211">
        <v>420</v>
      </c>
      <c r="O23" s="211">
        <v>35</v>
      </c>
      <c r="P23" s="306">
        <f t="shared" si="29"/>
        <v>1835.02</v>
      </c>
      <c r="Q23" s="307">
        <v>0</v>
      </c>
      <c r="R23" s="211">
        <v>0</v>
      </c>
      <c r="S23" s="211">
        <v>0</v>
      </c>
      <c r="T23" s="211">
        <v>0</v>
      </c>
      <c r="U23" s="211">
        <v>0</v>
      </c>
      <c r="V23" s="220">
        <f t="shared" si="30"/>
        <v>0</v>
      </c>
      <c r="W23" s="289">
        <f t="shared" si="31"/>
        <v>0</v>
      </c>
      <c r="X23" s="307">
        <f t="shared" si="32"/>
        <v>439.51</v>
      </c>
      <c r="Y23" s="211">
        <f t="shared" si="9"/>
        <v>439.51</v>
      </c>
      <c r="Z23" s="211">
        <f t="shared" si="10"/>
        <v>501</v>
      </c>
      <c r="AA23" s="211">
        <f t="shared" si="11"/>
        <v>420</v>
      </c>
      <c r="AB23" s="211">
        <f t="shared" si="12"/>
        <v>35</v>
      </c>
      <c r="AC23" s="220">
        <f t="shared" si="33"/>
        <v>1835.02</v>
      </c>
      <c r="AD23" s="289">
        <f t="shared" si="13"/>
        <v>1</v>
      </c>
      <c r="AE23" s="309">
        <v>12.34</v>
      </c>
      <c r="AF23" s="221">
        <v>12.34</v>
      </c>
      <c r="AG23" s="221">
        <v>12.34</v>
      </c>
      <c r="AH23" s="221">
        <v>12.34</v>
      </c>
      <c r="AI23" s="221">
        <v>12.34</v>
      </c>
      <c r="AJ23" s="211">
        <f t="shared" si="14"/>
        <v>5423.5529999999999</v>
      </c>
      <c r="AK23" s="211">
        <f t="shared" si="15"/>
        <v>5423.5529999999999</v>
      </c>
      <c r="AL23" s="211">
        <f t="shared" si="16"/>
        <v>6182.34</v>
      </c>
      <c r="AM23" s="211">
        <f t="shared" si="17"/>
        <v>5182.8</v>
      </c>
      <c r="AN23" s="211">
        <f t="shared" si="18"/>
        <v>431.9</v>
      </c>
      <c r="AO23" s="295">
        <f t="shared" si="19"/>
        <v>22644.146000000001</v>
      </c>
      <c r="AP23" s="211">
        <f t="shared" si="34"/>
        <v>0</v>
      </c>
      <c r="AQ23" s="211">
        <f t="shared" si="20"/>
        <v>0</v>
      </c>
      <c r="AR23" s="211">
        <f t="shared" si="20"/>
        <v>0</v>
      </c>
      <c r="AS23" s="211">
        <f t="shared" si="20"/>
        <v>0</v>
      </c>
      <c r="AT23" s="211">
        <f t="shared" si="20"/>
        <v>0</v>
      </c>
      <c r="AU23" s="211">
        <f t="shared" si="21"/>
        <v>0</v>
      </c>
      <c r="AV23" s="312">
        <f t="shared" si="22"/>
        <v>0</v>
      </c>
      <c r="AW23" s="277">
        <f t="shared" si="35"/>
        <v>5423.5529999999999</v>
      </c>
      <c r="AX23" s="277">
        <f t="shared" si="23"/>
        <v>5423.5529999999999</v>
      </c>
      <c r="AY23" s="277">
        <f t="shared" si="24"/>
        <v>6182.34</v>
      </c>
      <c r="AZ23" s="277">
        <f t="shared" si="25"/>
        <v>5182.8</v>
      </c>
      <c r="BA23" s="277">
        <f t="shared" si="26"/>
        <v>431.9</v>
      </c>
      <c r="BB23" s="211">
        <f t="shared" si="27"/>
        <v>22644.146000000001</v>
      </c>
      <c r="BC23" s="289">
        <f t="shared" si="28"/>
        <v>1</v>
      </c>
      <c r="BD23" s="74"/>
      <c r="BE23" s="1" t="s">
        <v>956</v>
      </c>
      <c r="BF23" s="98" t="s">
        <v>0</v>
      </c>
      <c r="BG23" s="18" t="s">
        <v>11</v>
      </c>
      <c r="BH23" s="16"/>
      <c r="BI23" s="99">
        <f>BH23*K23</f>
        <v>0</v>
      </c>
      <c r="BJ23" s="99">
        <v>0</v>
      </c>
      <c r="BK23" s="99">
        <f>BJ23*K23</f>
        <v>0</v>
      </c>
      <c r="BL23" s="99">
        <v>0</v>
      </c>
      <c r="BM23" s="100">
        <f>BL23*K23</f>
        <v>0</v>
      </c>
      <c r="BO23" s="1" t="s">
        <v>975</v>
      </c>
      <c r="BQ23" s="1">
        <v>11.87</v>
      </c>
      <c r="CD23" s="9" t="s">
        <v>153</v>
      </c>
      <c r="CF23" s="9" t="s">
        <v>149</v>
      </c>
      <c r="CG23" s="9" t="s">
        <v>42</v>
      </c>
      <c r="CK23" s="9" t="s">
        <v>148</v>
      </c>
      <c r="CQ23" s="72">
        <f>IF(BG23="základná",AJ23,0)</f>
        <v>0</v>
      </c>
      <c r="CR23" s="72">
        <f>IF(BG23="znížená",AJ23,0)</f>
        <v>5423.5529999999999</v>
      </c>
      <c r="CS23" s="72">
        <f>IF(BG23="zákl. prenesená",AJ23,0)</f>
        <v>0</v>
      </c>
      <c r="CT23" s="72">
        <f>IF(BG23="zníž. prenesená",AJ23,0)</f>
        <v>0</v>
      </c>
      <c r="CU23" s="72">
        <f>IF(BG23="nulová",AJ23,0)</f>
        <v>0</v>
      </c>
      <c r="CV23" s="9" t="s">
        <v>42</v>
      </c>
      <c r="CW23" s="101">
        <f>ROUND(AE23*K23,3)</f>
        <v>5423.5529999999999</v>
      </c>
      <c r="CX23" s="9" t="s">
        <v>153</v>
      </c>
      <c r="CY23" s="9" t="s">
        <v>257</v>
      </c>
    </row>
    <row r="24" spans="2:103" s="1" customFormat="1" ht="22.5" customHeight="1">
      <c r="B24" s="73"/>
      <c r="C24" s="93" t="s">
        <v>153</v>
      </c>
      <c r="D24" s="93" t="s">
        <v>149</v>
      </c>
      <c r="E24" s="94" t="s">
        <v>258</v>
      </c>
      <c r="F24" s="498" t="s">
        <v>259</v>
      </c>
      <c r="G24" s="498"/>
      <c r="H24" s="498"/>
      <c r="I24" s="498"/>
      <c r="J24" s="95" t="s">
        <v>168</v>
      </c>
      <c r="K24" s="211">
        <v>439.51</v>
      </c>
      <c r="L24" s="211">
        <v>439.51</v>
      </c>
      <c r="M24" s="211">
        <v>501</v>
      </c>
      <c r="N24" s="211">
        <v>420</v>
      </c>
      <c r="O24" s="211">
        <v>68</v>
      </c>
      <c r="P24" s="306">
        <f t="shared" si="29"/>
        <v>1868.02</v>
      </c>
      <c r="Q24" s="307">
        <v>0</v>
      </c>
      <c r="R24" s="211">
        <v>0</v>
      </c>
      <c r="S24" s="211">
        <v>0</v>
      </c>
      <c r="T24" s="211">
        <v>0</v>
      </c>
      <c r="U24" s="211">
        <v>0</v>
      </c>
      <c r="V24" s="220">
        <f t="shared" si="30"/>
        <v>0</v>
      </c>
      <c r="W24" s="289">
        <f t="shared" si="31"/>
        <v>0</v>
      </c>
      <c r="X24" s="307">
        <f t="shared" si="32"/>
        <v>439.51</v>
      </c>
      <c r="Y24" s="211">
        <f t="shared" si="9"/>
        <v>439.51</v>
      </c>
      <c r="Z24" s="211">
        <f t="shared" si="10"/>
        <v>501</v>
      </c>
      <c r="AA24" s="211">
        <f t="shared" si="11"/>
        <v>420</v>
      </c>
      <c r="AB24" s="211">
        <f t="shared" si="12"/>
        <v>68</v>
      </c>
      <c r="AC24" s="220">
        <f t="shared" si="33"/>
        <v>1868.02</v>
      </c>
      <c r="AD24" s="289">
        <f t="shared" si="13"/>
        <v>1</v>
      </c>
      <c r="AE24" s="309">
        <v>2.79</v>
      </c>
      <c r="AF24" s="221">
        <v>2.79</v>
      </c>
      <c r="AG24" s="221">
        <v>2.79</v>
      </c>
      <c r="AH24" s="221">
        <v>2.79</v>
      </c>
      <c r="AI24" s="221">
        <v>2.79</v>
      </c>
      <c r="AJ24" s="211">
        <f t="shared" si="14"/>
        <v>1226.2329999999999</v>
      </c>
      <c r="AK24" s="211">
        <f t="shared" si="15"/>
        <v>1226.2329999999999</v>
      </c>
      <c r="AL24" s="211">
        <f t="shared" si="16"/>
        <v>1397.79</v>
      </c>
      <c r="AM24" s="211">
        <f t="shared" si="17"/>
        <v>1171.8</v>
      </c>
      <c r="AN24" s="211">
        <f t="shared" si="18"/>
        <v>189.72</v>
      </c>
      <c r="AO24" s="295">
        <f t="shared" si="19"/>
        <v>5211.7759999999998</v>
      </c>
      <c r="AP24" s="211">
        <f t="shared" si="34"/>
        <v>0</v>
      </c>
      <c r="AQ24" s="211">
        <f t="shared" si="20"/>
        <v>0</v>
      </c>
      <c r="AR24" s="211">
        <f t="shared" si="20"/>
        <v>0</v>
      </c>
      <c r="AS24" s="211">
        <f t="shared" si="20"/>
        <v>0</v>
      </c>
      <c r="AT24" s="211">
        <f t="shared" si="20"/>
        <v>0</v>
      </c>
      <c r="AU24" s="211">
        <f t="shared" si="21"/>
        <v>0</v>
      </c>
      <c r="AV24" s="312">
        <f t="shared" si="22"/>
        <v>0</v>
      </c>
      <c r="AW24" s="277">
        <f t="shared" si="35"/>
        <v>1226.2329999999999</v>
      </c>
      <c r="AX24" s="277">
        <f t="shared" si="23"/>
        <v>1226.2329999999999</v>
      </c>
      <c r="AY24" s="277">
        <f t="shared" si="24"/>
        <v>1397.79</v>
      </c>
      <c r="AZ24" s="277">
        <f t="shared" si="25"/>
        <v>1171.8</v>
      </c>
      <c r="BA24" s="277">
        <f t="shared" si="26"/>
        <v>189.72</v>
      </c>
      <c r="BB24" s="211">
        <f t="shared" si="27"/>
        <v>5211.7759999999998</v>
      </c>
      <c r="BC24" s="289">
        <f t="shared" si="28"/>
        <v>1</v>
      </c>
      <c r="BD24" s="74"/>
      <c r="BE24" s="1" t="s">
        <v>956</v>
      </c>
      <c r="BF24" s="98" t="s">
        <v>0</v>
      </c>
      <c r="BG24" s="18" t="s">
        <v>11</v>
      </c>
      <c r="BH24" s="16"/>
      <c r="BI24" s="99">
        <f>BH24*K24</f>
        <v>0</v>
      </c>
      <c r="BJ24" s="99">
        <v>0</v>
      </c>
      <c r="BK24" s="99">
        <f>BJ24*K24</f>
        <v>0</v>
      </c>
      <c r="BL24" s="99">
        <v>0</v>
      </c>
      <c r="BM24" s="100">
        <f>BL24*K24</f>
        <v>0</v>
      </c>
      <c r="BO24" s="1" t="s">
        <v>957</v>
      </c>
      <c r="BQ24" s="1">
        <v>2.68</v>
      </c>
      <c r="CD24" s="9" t="s">
        <v>153</v>
      </c>
      <c r="CF24" s="9" t="s">
        <v>149</v>
      </c>
      <c r="CG24" s="9" t="s">
        <v>42</v>
      </c>
      <c r="CK24" s="9" t="s">
        <v>148</v>
      </c>
      <c r="CQ24" s="72">
        <f>IF(BG24="základná",AJ24,0)</f>
        <v>0</v>
      </c>
      <c r="CR24" s="72">
        <f>IF(BG24="znížená",AJ24,0)</f>
        <v>1226.2329999999999</v>
      </c>
      <c r="CS24" s="72">
        <f>IF(BG24="zákl. prenesená",AJ24,0)</f>
        <v>0</v>
      </c>
      <c r="CT24" s="72">
        <f>IF(BG24="zníž. prenesená",AJ24,0)</f>
        <v>0</v>
      </c>
      <c r="CU24" s="72">
        <f>IF(BG24="nulová",AJ24,0)</f>
        <v>0</v>
      </c>
      <c r="CV24" s="9" t="s">
        <v>42</v>
      </c>
      <c r="CW24" s="101">
        <f>ROUND(AE24*K24,3)</f>
        <v>1226.2329999999999</v>
      </c>
      <c r="CX24" s="9" t="s">
        <v>153</v>
      </c>
      <c r="CY24" s="9" t="s">
        <v>260</v>
      </c>
    </row>
    <row r="25" spans="2:103" s="1" customFormat="1" ht="31.5" customHeight="1">
      <c r="B25" s="73"/>
      <c r="C25" s="93" t="s">
        <v>156</v>
      </c>
      <c r="D25" s="93" t="s">
        <v>149</v>
      </c>
      <c r="E25" s="94" t="s">
        <v>261</v>
      </c>
      <c r="F25" s="498" t="s">
        <v>1333</v>
      </c>
      <c r="G25" s="498"/>
      <c r="H25" s="498"/>
      <c r="I25" s="498"/>
      <c r="J25" s="95" t="s">
        <v>168</v>
      </c>
      <c r="K25" s="211">
        <v>33.89</v>
      </c>
      <c r="L25" s="211">
        <v>33.89</v>
      </c>
      <c r="M25" s="211">
        <v>12.288</v>
      </c>
      <c r="N25" s="211">
        <v>12.288</v>
      </c>
      <c r="O25" s="211">
        <v>33.89</v>
      </c>
      <c r="P25" s="306">
        <f t="shared" si="29"/>
        <v>126.246</v>
      </c>
      <c r="Q25" s="307">
        <v>0</v>
      </c>
      <c r="R25" s="211">
        <v>0</v>
      </c>
      <c r="S25" s="211">
        <v>0</v>
      </c>
      <c r="T25" s="211">
        <v>0</v>
      </c>
      <c r="U25" s="211">
        <v>0</v>
      </c>
      <c r="V25" s="220">
        <f t="shared" si="30"/>
        <v>0</v>
      </c>
      <c r="W25" s="289">
        <f t="shared" si="31"/>
        <v>0</v>
      </c>
      <c r="X25" s="307">
        <f t="shared" si="32"/>
        <v>33.89</v>
      </c>
      <c r="Y25" s="211">
        <f t="shared" si="9"/>
        <v>33.89</v>
      </c>
      <c r="Z25" s="211">
        <f t="shared" si="10"/>
        <v>12.288</v>
      </c>
      <c r="AA25" s="211">
        <f t="shared" si="11"/>
        <v>12.288</v>
      </c>
      <c r="AB25" s="211">
        <f t="shared" si="12"/>
        <v>33.89</v>
      </c>
      <c r="AC25" s="220">
        <f t="shared" si="33"/>
        <v>126.246</v>
      </c>
      <c r="AD25" s="289">
        <f t="shared" si="13"/>
        <v>1</v>
      </c>
      <c r="AE25" s="309">
        <v>33.799999999999997</v>
      </c>
      <c r="AF25" s="221">
        <v>33.799999999999997</v>
      </c>
      <c r="AG25" s="221">
        <v>33.799999999999997</v>
      </c>
      <c r="AH25" s="221">
        <v>33.799999999999997</v>
      </c>
      <c r="AI25" s="221">
        <v>33.799999999999997</v>
      </c>
      <c r="AJ25" s="211">
        <f t="shared" si="14"/>
        <v>1145.482</v>
      </c>
      <c r="AK25" s="211">
        <f t="shared" si="15"/>
        <v>1145.482</v>
      </c>
      <c r="AL25" s="211">
        <f t="shared" si="16"/>
        <v>415.334</v>
      </c>
      <c r="AM25" s="211">
        <f t="shared" si="17"/>
        <v>415.334</v>
      </c>
      <c r="AN25" s="211">
        <f t="shared" si="18"/>
        <v>1145.482</v>
      </c>
      <c r="AO25" s="295">
        <f t="shared" si="19"/>
        <v>4267.1139999999996</v>
      </c>
      <c r="AP25" s="211">
        <f t="shared" si="34"/>
        <v>0</v>
      </c>
      <c r="AQ25" s="211">
        <f t="shared" si="20"/>
        <v>0</v>
      </c>
      <c r="AR25" s="211">
        <f t="shared" si="20"/>
        <v>0</v>
      </c>
      <c r="AS25" s="211">
        <f t="shared" si="20"/>
        <v>0</v>
      </c>
      <c r="AT25" s="211">
        <f t="shared" si="20"/>
        <v>0</v>
      </c>
      <c r="AU25" s="211">
        <f t="shared" si="21"/>
        <v>0</v>
      </c>
      <c r="AV25" s="312">
        <f t="shared" si="22"/>
        <v>0</v>
      </c>
      <c r="AW25" s="277">
        <f t="shared" si="35"/>
        <v>1145.482</v>
      </c>
      <c r="AX25" s="277">
        <f t="shared" si="23"/>
        <v>1145.482</v>
      </c>
      <c r="AY25" s="277">
        <f t="shared" si="24"/>
        <v>415.334</v>
      </c>
      <c r="AZ25" s="277">
        <f t="shared" si="25"/>
        <v>415.334</v>
      </c>
      <c r="BA25" s="277">
        <f t="shared" si="26"/>
        <v>1145.482</v>
      </c>
      <c r="BB25" s="211">
        <f t="shared" si="27"/>
        <v>4267.1139999999996</v>
      </c>
      <c r="BC25" s="289">
        <f t="shared" si="28"/>
        <v>1</v>
      </c>
      <c r="BD25" s="74"/>
      <c r="BE25" s="1" t="s">
        <v>958</v>
      </c>
      <c r="BF25" s="98" t="s">
        <v>0</v>
      </c>
      <c r="BG25" s="18" t="s">
        <v>11</v>
      </c>
      <c r="BH25" s="16"/>
      <c r="BI25" s="99">
        <f>BH25*K25</f>
        <v>0</v>
      </c>
      <c r="BJ25" s="99">
        <v>0</v>
      </c>
      <c r="BK25" s="99">
        <f>BJ25*K25</f>
        <v>0</v>
      </c>
      <c r="BL25" s="99">
        <v>0</v>
      </c>
      <c r="BM25" s="100">
        <f>BL25*K25</f>
        <v>0</v>
      </c>
      <c r="BO25" s="1" t="s">
        <v>959</v>
      </c>
      <c r="BQ25" s="1">
        <v>32.5</v>
      </c>
      <c r="CD25" s="9" t="s">
        <v>153</v>
      </c>
      <c r="CF25" s="9" t="s">
        <v>149</v>
      </c>
      <c r="CG25" s="9" t="s">
        <v>42</v>
      </c>
      <c r="CK25" s="9" t="s">
        <v>148</v>
      </c>
      <c r="CQ25" s="72">
        <f>IF(BG25="základná",AJ25,0)</f>
        <v>0</v>
      </c>
      <c r="CR25" s="72">
        <f>IF(BG25="znížená",AJ25,0)</f>
        <v>1145.482</v>
      </c>
      <c r="CS25" s="72">
        <f>IF(BG25="zákl. prenesená",AJ25,0)</f>
        <v>0</v>
      </c>
      <c r="CT25" s="72">
        <f>IF(BG25="zníž. prenesená",AJ25,0)</f>
        <v>0</v>
      </c>
      <c r="CU25" s="72">
        <f>IF(BG25="nulová",AJ25,0)</f>
        <v>0</v>
      </c>
      <c r="CV25" s="9" t="s">
        <v>42</v>
      </c>
      <c r="CW25" s="101">
        <f>ROUND(AE25*K25,3)</f>
        <v>1145.482</v>
      </c>
      <c r="CX25" s="9" t="s">
        <v>153</v>
      </c>
      <c r="CY25" s="9" t="s">
        <v>262</v>
      </c>
    </row>
    <row r="26" spans="2:103" s="8" customFormat="1" ht="27.75" customHeight="1">
      <c r="B26" s="107"/>
      <c r="C26" s="93" t="s">
        <v>1104</v>
      </c>
      <c r="D26" s="93" t="s">
        <v>149</v>
      </c>
      <c r="E26" s="94" t="s">
        <v>263</v>
      </c>
      <c r="F26" s="498" t="s">
        <v>1335</v>
      </c>
      <c r="G26" s="498"/>
      <c r="H26" s="498"/>
      <c r="I26" s="498"/>
      <c r="J26" s="95" t="s">
        <v>168</v>
      </c>
      <c r="K26" s="211">
        <v>0</v>
      </c>
      <c r="L26" s="211">
        <v>0</v>
      </c>
      <c r="M26" s="211">
        <v>39.6</v>
      </c>
      <c r="N26" s="211">
        <v>49.6</v>
      </c>
      <c r="O26" s="211">
        <v>0</v>
      </c>
      <c r="P26" s="306">
        <f t="shared" si="29"/>
        <v>89.2</v>
      </c>
      <c r="Q26" s="307">
        <v>0</v>
      </c>
      <c r="R26" s="211">
        <v>0</v>
      </c>
      <c r="S26" s="211">
        <v>0</v>
      </c>
      <c r="T26" s="211">
        <v>0</v>
      </c>
      <c r="U26" s="211">
        <v>0</v>
      </c>
      <c r="V26" s="220">
        <f t="shared" si="30"/>
        <v>0</v>
      </c>
      <c r="W26" s="289">
        <f t="shared" si="31"/>
        <v>0</v>
      </c>
      <c r="X26" s="307">
        <f t="shared" si="32"/>
        <v>0</v>
      </c>
      <c r="Y26" s="211">
        <f t="shared" si="9"/>
        <v>0</v>
      </c>
      <c r="Z26" s="211">
        <f t="shared" si="10"/>
        <v>39.6</v>
      </c>
      <c r="AA26" s="211">
        <f t="shared" si="11"/>
        <v>49.6</v>
      </c>
      <c r="AB26" s="211">
        <f t="shared" si="12"/>
        <v>0</v>
      </c>
      <c r="AC26" s="220">
        <f t="shared" si="33"/>
        <v>89.2</v>
      </c>
      <c r="AD26" s="289">
        <f t="shared" si="13"/>
        <v>1</v>
      </c>
      <c r="AE26" s="309">
        <v>26.77</v>
      </c>
      <c r="AF26" s="221">
        <v>26.77</v>
      </c>
      <c r="AG26" s="221">
        <v>26.77</v>
      </c>
      <c r="AH26" s="221">
        <v>26.77</v>
      </c>
      <c r="AI26" s="221">
        <v>26.77</v>
      </c>
      <c r="AJ26" s="211">
        <f t="shared" si="14"/>
        <v>0</v>
      </c>
      <c r="AK26" s="211">
        <f t="shared" si="15"/>
        <v>0</v>
      </c>
      <c r="AL26" s="211">
        <f t="shared" si="16"/>
        <v>1060.0920000000001</v>
      </c>
      <c r="AM26" s="211">
        <f t="shared" si="17"/>
        <v>1327.7919999999999</v>
      </c>
      <c r="AN26" s="211">
        <f t="shared" si="18"/>
        <v>0</v>
      </c>
      <c r="AO26" s="295">
        <f t="shared" si="19"/>
        <v>2387.884</v>
      </c>
      <c r="AP26" s="211">
        <f t="shared" si="34"/>
        <v>0</v>
      </c>
      <c r="AQ26" s="211">
        <f t="shared" si="20"/>
        <v>0</v>
      </c>
      <c r="AR26" s="211">
        <f t="shared" si="20"/>
        <v>0</v>
      </c>
      <c r="AS26" s="211">
        <f t="shared" si="20"/>
        <v>0</v>
      </c>
      <c r="AT26" s="211">
        <f t="shared" si="20"/>
        <v>0</v>
      </c>
      <c r="AU26" s="211">
        <f t="shared" si="21"/>
        <v>0</v>
      </c>
      <c r="AV26" s="312">
        <f t="shared" si="22"/>
        <v>0</v>
      </c>
      <c r="AW26" s="277">
        <f t="shared" si="35"/>
        <v>0</v>
      </c>
      <c r="AX26" s="277">
        <f t="shared" si="23"/>
        <v>0</v>
      </c>
      <c r="AY26" s="277">
        <f t="shared" si="24"/>
        <v>1060.0920000000001</v>
      </c>
      <c r="AZ26" s="277">
        <f t="shared" si="25"/>
        <v>1327.7919999999999</v>
      </c>
      <c r="BA26" s="277">
        <f t="shared" si="26"/>
        <v>0</v>
      </c>
      <c r="BB26" s="211">
        <f t="shared" si="27"/>
        <v>2387.884</v>
      </c>
      <c r="BC26" s="289">
        <f t="shared" si="28"/>
        <v>1</v>
      </c>
      <c r="BD26" s="108"/>
      <c r="BF26" s="109"/>
      <c r="BG26" s="136"/>
      <c r="BH26" s="136"/>
      <c r="BI26" s="136"/>
      <c r="BJ26" s="136"/>
      <c r="BK26" s="136"/>
      <c r="BL26" s="136"/>
      <c r="BM26" s="110"/>
      <c r="CF26" s="111"/>
      <c r="CG26" s="111"/>
      <c r="CK26" s="111"/>
    </row>
    <row r="27" spans="2:103" s="1" customFormat="1" ht="44.25" customHeight="1">
      <c r="B27" s="73"/>
      <c r="C27" s="93" t="s">
        <v>159</v>
      </c>
      <c r="D27" s="93" t="s">
        <v>149</v>
      </c>
      <c r="E27" s="94" t="s">
        <v>263</v>
      </c>
      <c r="F27" s="498" t="s">
        <v>1336</v>
      </c>
      <c r="G27" s="498"/>
      <c r="H27" s="498"/>
      <c r="I27" s="498"/>
      <c r="J27" s="95" t="s">
        <v>168</v>
      </c>
      <c r="K27" s="211">
        <v>56.68</v>
      </c>
      <c r="L27" s="211">
        <v>56.68</v>
      </c>
      <c r="M27" s="211">
        <v>24</v>
      </c>
      <c r="N27" s="211">
        <v>34</v>
      </c>
      <c r="O27" s="211">
        <v>29.218</v>
      </c>
      <c r="P27" s="306">
        <f t="shared" si="29"/>
        <v>200.578</v>
      </c>
      <c r="Q27" s="307">
        <v>0</v>
      </c>
      <c r="R27" s="211">
        <v>48.158999999999999</v>
      </c>
      <c r="S27" s="211">
        <v>15.93</v>
      </c>
      <c r="T27" s="211">
        <v>0</v>
      </c>
      <c r="U27" s="211">
        <v>15.629</v>
      </c>
      <c r="V27" s="220">
        <f t="shared" si="30"/>
        <v>79.718000000000004</v>
      </c>
      <c r="W27" s="289">
        <f t="shared" si="31"/>
        <v>0.39744139437026993</v>
      </c>
      <c r="X27" s="307">
        <f t="shared" si="32"/>
        <v>56.68</v>
      </c>
      <c r="Y27" s="211">
        <f t="shared" si="9"/>
        <v>8.5210000000000008</v>
      </c>
      <c r="Z27" s="211">
        <f t="shared" si="10"/>
        <v>8.07</v>
      </c>
      <c r="AA27" s="211">
        <f t="shared" si="11"/>
        <v>34</v>
      </c>
      <c r="AB27" s="211">
        <f t="shared" si="12"/>
        <v>13.589</v>
      </c>
      <c r="AC27" s="220">
        <f t="shared" si="33"/>
        <v>120.85999999999999</v>
      </c>
      <c r="AD27" s="289">
        <f t="shared" si="13"/>
        <v>0.60255860562972996</v>
      </c>
      <c r="AE27" s="309">
        <v>36.29</v>
      </c>
      <c r="AF27" s="221">
        <v>36.29</v>
      </c>
      <c r="AG27" s="221">
        <v>36.29</v>
      </c>
      <c r="AH27" s="221">
        <v>36.29</v>
      </c>
      <c r="AI27" s="221">
        <v>36.29</v>
      </c>
      <c r="AJ27" s="211">
        <f t="shared" si="14"/>
        <v>2056.9169999999999</v>
      </c>
      <c r="AK27" s="211">
        <f t="shared" si="15"/>
        <v>2056.9169999999999</v>
      </c>
      <c r="AL27" s="211">
        <f t="shared" si="16"/>
        <v>870.96</v>
      </c>
      <c r="AM27" s="211">
        <f t="shared" si="17"/>
        <v>1233.8599999999999</v>
      </c>
      <c r="AN27" s="211">
        <f t="shared" si="18"/>
        <v>1060.3209999999999</v>
      </c>
      <c r="AO27" s="295">
        <f t="shared" si="19"/>
        <v>7278.9749999999995</v>
      </c>
      <c r="AP27" s="211">
        <f t="shared" si="34"/>
        <v>0</v>
      </c>
      <c r="AQ27" s="211">
        <f t="shared" si="20"/>
        <v>1747.69</v>
      </c>
      <c r="AR27" s="211">
        <f t="shared" si="20"/>
        <v>578.1</v>
      </c>
      <c r="AS27" s="211">
        <f t="shared" si="20"/>
        <v>0</v>
      </c>
      <c r="AT27" s="211">
        <f t="shared" si="20"/>
        <v>567.17600000000004</v>
      </c>
      <c r="AU27" s="211">
        <f t="shared" si="21"/>
        <v>2892.9659999999999</v>
      </c>
      <c r="AV27" s="312">
        <f t="shared" si="22"/>
        <v>0.3974413979990315</v>
      </c>
      <c r="AW27" s="277">
        <f t="shared" si="35"/>
        <v>2056.9169999999999</v>
      </c>
      <c r="AX27" s="277">
        <f t="shared" si="23"/>
        <v>309.22699999999986</v>
      </c>
      <c r="AY27" s="277">
        <f t="shared" si="24"/>
        <v>292.86</v>
      </c>
      <c r="AZ27" s="277">
        <f t="shared" si="25"/>
        <v>1233.8599999999999</v>
      </c>
      <c r="BA27" s="277">
        <f t="shared" si="26"/>
        <v>493.14499999999987</v>
      </c>
      <c r="BB27" s="211">
        <f t="shared" si="27"/>
        <v>4386.0089999999991</v>
      </c>
      <c r="BC27" s="289">
        <f t="shared" si="28"/>
        <v>0.60255860200096845</v>
      </c>
      <c r="BD27" s="74"/>
      <c r="BE27" s="1" t="s">
        <v>954</v>
      </c>
      <c r="BF27" s="98" t="s">
        <v>0</v>
      </c>
      <c r="BG27" s="18" t="s">
        <v>11</v>
      </c>
      <c r="BH27" s="16"/>
      <c r="BI27" s="99">
        <f>BH27*K27</f>
        <v>0</v>
      </c>
      <c r="BJ27" s="99">
        <v>0</v>
      </c>
      <c r="BK27" s="99">
        <f>BJ27*K27</f>
        <v>0</v>
      </c>
      <c r="BL27" s="99">
        <v>0</v>
      </c>
      <c r="BM27" s="100">
        <f>BL27*K27</f>
        <v>0</v>
      </c>
      <c r="BO27" s="1" t="s">
        <v>960</v>
      </c>
      <c r="BQ27" s="1">
        <v>34.89</v>
      </c>
      <c r="CD27" s="9" t="s">
        <v>153</v>
      </c>
      <c r="CF27" s="9" t="s">
        <v>149</v>
      </c>
      <c r="CG27" s="9" t="s">
        <v>42</v>
      </c>
      <c r="CK27" s="9" t="s">
        <v>148</v>
      </c>
      <c r="CQ27" s="72">
        <f>IF(BG27="základná",AJ27,0)</f>
        <v>0</v>
      </c>
      <c r="CR27" s="72">
        <f>IF(BG27="znížená",AJ27,0)</f>
        <v>2056.9169999999999</v>
      </c>
      <c r="CS27" s="72">
        <f>IF(BG27="zákl. prenesená",AJ27,0)</f>
        <v>0</v>
      </c>
      <c r="CT27" s="72">
        <f>IF(BG27="zníž. prenesená",AJ27,0)</f>
        <v>0</v>
      </c>
      <c r="CU27" s="72">
        <f>IF(BG27="nulová",AJ27,0)</f>
        <v>0</v>
      </c>
      <c r="CV27" s="9" t="s">
        <v>42</v>
      </c>
      <c r="CW27" s="101">
        <f>ROUND(AE27*K27,3)</f>
        <v>2056.9169999999999</v>
      </c>
      <c r="CX27" s="9" t="s">
        <v>153</v>
      </c>
      <c r="CY27" s="9" t="s">
        <v>264</v>
      </c>
    </row>
    <row r="28" spans="2:103" s="1" customFormat="1" ht="31.5" customHeight="1">
      <c r="B28" s="73"/>
      <c r="C28" s="93" t="s">
        <v>162</v>
      </c>
      <c r="D28" s="93" t="s">
        <v>149</v>
      </c>
      <c r="E28" s="94" t="s">
        <v>265</v>
      </c>
      <c r="F28" s="498" t="s">
        <v>1334</v>
      </c>
      <c r="G28" s="498"/>
      <c r="H28" s="498"/>
      <c r="I28" s="498"/>
      <c r="J28" s="95" t="s">
        <v>168</v>
      </c>
      <c r="K28" s="211">
        <v>405.62</v>
      </c>
      <c r="L28" s="211">
        <v>405.62</v>
      </c>
      <c r="M28" s="211">
        <v>472.9</v>
      </c>
      <c r="N28" s="211">
        <v>472.9</v>
      </c>
      <c r="O28" s="211">
        <v>29</v>
      </c>
      <c r="P28" s="306">
        <f t="shared" si="29"/>
        <v>1786.04</v>
      </c>
      <c r="Q28" s="307">
        <v>0</v>
      </c>
      <c r="R28" s="211">
        <v>0</v>
      </c>
      <c r="S28" s="211">
        <v>0</v>
      </c>
      <c r="T28" s="211">
        <v>0</v>
      </c>
      <c r="U28" s="211">
        <v>0</v>
      </c>
      <c r="V28" s="220">
        <f t="shared" si="30"/>
        <v>0</v>
      </c>
      <c r="W28" s="289">
        <f t="shared" si="31"/>
        <v>0</v>
      </c>
      <c r="X28" s="307">
        <f t="shared" si="32"/>
        <v>405.62</v>
      </c>
      <c r="Y28" s="211">
        <f t="shared" si="9"/>
        <v>405.62</v>
      </c>
      <c r="Z28" s="211">
        <f t="shared" si="10"/>
        <v>472.9</v>
      </c>
      <c r="AA28" s="211">
        <f t="shared" si="11"/>
        <v>472.9</v>
      </c>
      <c r="AB28" s="211">
        <f t="shared" si="12"/>
        <v>29</v>
      </c>
      <c r="AC28" s="220">
        <f t="shared" si="33"/>
        <v>1786.04</v>
      </c>
      <c r="AD28" s="289">
        <f t="shared" si="13"/>
        <v>1</v>
      </c>
      <c r="AE28" s="309">
        <v>55.05</v>
      </c>
      <c r="AF28" s="221">
        <v>55.05</v>
      </c>
      <c r="AG28" s="221">
        <v>55.05</v>
      </c>
      <c r="AH28" s="221">
        <v>55.05</v>
      </c>
      <c r="AI28" s="221">
        <v>55.05</v>
      </c>
      <c r="AJ28" s="211">
        <f t="shared" si="14"/>
        <v>22329.381000000001</v>
      </c>
      <c r="AK28" s="211">
        <f t="shared" si="15"/>
        <v>22329.381000000001</v>
      </c>
      <c r="AL28" s="211">
        <f t="shared" si="16"/>
        <v>26033.145</v>
      </c>
      <c r="AM28" s="211">
        <f t="shared" si="17"/>
        <v>26033.145</v>
      </c>
      <c r="AN28" s="211">
        <f t="shared" si="18"/>
        <v>1596.45</v>
      </c>
      <c r="AO28" s="295">
        <f t="shared" si="19"/>
        <v>98321.502000000008</v>
      </c>
      <c r="AP28" s="211">
        <f t="shared" si="34"/>
        <v>0</v>
      </c>
      <c r="AQ28" s="211">
        <f t="shared" si="20"/>
        <v>0</v>
      </c>
      <c r="AR28" s="211">
        <f t="shared" si="20"/>
        <v>0</v>
      </c>
      <c r="AS28" s="211">
        <f t="shared" si="20"/>
        <v>0</v>
      </c>
      <c r="AT28" s="211">
        <f t="shared" si="20"/>
        <v>0</v>
      </c>
      <c r="AU28" s="211">
        <f t="shared" si="21"/>
        <v>0</v>
      </c>
      <c r="AV28" s="312">
        <f t="shared" si="22"/>
        <v>0</v>
      </c>
      <c r="AW28" s="277">
        <f t="shared" si="35"/>
        <v>22329.381000000001</v>
      </c>
      <c r="AX28" s="277">
        <f t="shared" si="23"/>
        <v>22329.381000000001</v>
      </c>
      <c r="AY28" s="277">
        <f t="shared" si="24"/>
        <v>26033.145</v>
      </c>
      <c r="AZ28" s="277">
        <f t="shared" si="25"/>
        <v>26033.145</v>
      </c>
      <c r="BA28" s="277">
        <f t="shared" si="26"/>
        <v>1596.45</v>
      </c>
      <c r="BB28" s="211">
        <f t="shared" si="27"/>
        <v>98321.502000000008</v>
      </c>
      <c r="BC28" s="289">
        <f t="shared" si="28"/>
        <v>1</v>
      </c>
      <c r="BD28" s="74"/>
      <c r="BE28" s="1" t="s">
        <v>953</v>
      </c>
      <c r="BF28" s="98" t="s">
        <v>0</v>
      </c>
      <c r="BG28" s="18" t="s">
        <v>11</v>
      </c>
      <c r="BH28" s="16"/>
      <c r="BI28" s="99">
        <f>BH28*K28</f>
        <v>0</v>
      </c>
      <c r="BJ28" s="99">
        <v>0</v>
      </c>
      <c r="BK28" s="99">
        <f>BJ28*K28</f>
        <v>0</v>
      </c>
      <c r="BL28" s="99">
        <v>0</v>
      </c>
      <c r="BM28" s="100">
        <f>BL28*K28</f>
        <v>0</v>
      </c>
      <c r="BO28" s="1" t="s">
        <v>961</v>
      </c>
      <c r="BQ28" s="1">
        <v>52.93</v>
      </c>
      <c r="CD28" s="9" t="s">
        <v>153</v>
      </c>
      <c r="CF28" s="9" t="s">
        <v>149</v>
      </c>
      <c r="CG28" s="9" t="s">
        <v>42</v>
      </c>
      <c r="CK28" s="9" t="s">
        <v>148</v>
      </c>
      <c r="CQ28" s="72">
        <f>IF(BG28="základná",AJ28,0)</f>
        <v>0</v>
      </c>
      <c r="CR28" s="72">
        <f>IF(BG28="znížená",AJ28,0)</f>
        <v>22329.381000000001</v>
      </c>
      <c r="CS28" s="72">
        <f>IF(BG28="zákl. prenesená",AJ28,0)</f>
        <v>0</v>
      </c>
      <c r="CT28" s="72">
        <f>IF(BG28="zníž. prenesená",AJ28,0)</f>
        <v>0</v>
      </c>
      <c r="CU28" s="72">
        <f>IF(BG28="nulová",AJ28,0)</f>
        <v>0</v>
      </c>
      <c r="CV28" s="9" t="s">
        <v>42</v>
      </c>
      <c r="CW28" s="101">
        <f>ROUND(AE28*K28,3)</f>
        <v>22329.381000000001</v>
      </c>
      <c r="CX28" s="9" t="s">
        <v>153</v>
      </c>
      <c r="CY28" s="9" t="s">
        <v>266</v>
      </c>
    </row>
    <row r="29" spans="2:103" s="1" customFormat="1" ht="31.5" customHeight="1">
      <c r="B29" s="73"/>
      <c r="C29" s="93" t="s">
        <v>165</v>
      </c>
      <c r="D29" s="93" t="s">
        <v>149</v>
      </c>
      <c r="E29" s="94" t="s">
        <v>267</v>
      </c>
      <c r="F29" s="498" t="s">
        <v>1332</v>
      </c>
      <c r="G29" s="498"/>
      <c r="H29" s="498"/>
      <c r="I29" s="498"/>
      <c r="J29" s="95" t="s">
        <v>168</v>
      </c>
      <c r="K29" s="211">
        <v>13.782999999999999</v>
      </c>
      <c r="L29" s="211">
        <v>13.782999999999999</v>
      </c>
      <c r="M29" s="211">
        <v>13.989000000000001</v>
      </c>
      <c r="N29" s="211">
        <v>19.989000000000001</v>
      </c>
      <c r="O29" s="211">
        <v>13.782999999999999</v>
      </c>
      <c r="P29" s="306">
        <f t="shared" si="29"/>
        <v>75.326999999999998</v>
      </c>
      <c r="Q29" s="307">
        <v>0</v>
      </c>
      <c r="R29" s="211">
        <v>0</v>
      </c>
      <c r="S29" s="211">
        <v>0</v>
      </c>
      <c r="T29" s="211">
        <v>0</v>
      </c>
      <c r="U29" s="211">
        <v>0</v>
      </c>
      <c r="V29" s="220">
        <f t="shared" si="30"/>
        <v>0</v>
      </c>
      <c r="W29" s="289">
        <f t="shared" si="31"/>
        <v>0</v>
      </c>
      <c r="X29" s="307">
        <f t="shared" si="32"/>
        <v>13.782999999999999</v>
      </c>
      <c r="Y29" s="211">
        <f t="shared" si="9"/>
        <v>13.782999999999999</v>
      </c>
      <c r="Z29" s="211">
        <f t="shared" si="10"/>
        <v>13.989000000000001</v>
      </c>
      <c r="AA29" s="211">
        <f t="shared" si="11"/>
        <v>19.989000000000001</v>
      </c>
      <c r="AB29" s="211">
        <f t="shared" si="12"/>
        <v>13.782999999999999</v>
      </c>
      <c r="AC29" s="220">
        <f t="shared" si="33"/>
        <v>75.326999999999998</v>
      </c>
      <c r="AD29" s="289">
        <f t="shared" si="13"/>
        <v>1</v>
      </c>
      <c r="AE29" s="310">
        <v>34.06</v>
      </c>
      <c r="AF29" s="230">
        <v>34.06</v>
      </c>
      <c r="AG29" s="230">
        <v>34.06</v>
      </c>
      <c r="AH29" s="230">
        <v>34.06</v>
      </c>
      <c r="AI29" s="230">
        <v>34.06</v>
      </c>
      <c r="AJ29" s="211">
        <f t="shared" si="14"/>
        <v>469.44900000000001</v>
      </c>
      <c r="AK29" s="211">
        <f t="shared" si="15"/>
        <v>469.44900000000001</v>
      </c>
      <c r="AL29" s="211">
        <f t="shared" si="16"/>
        <v>476.46499999999997</v>
      </c>
      <c r="AM29" s="211">
        <f t="shared" si="17"/>
        <v>680.82500000000005</v>
      </c>
      <c r="AN29" s="211">
        <f t="shared" si="18"/>
        <v>469.44900000000001</v>
      </c>
      <c r="AO29" s="295">
        <f t="shared" si="19"/>
        <v>2565.6370000000002</v>
      </c>
      <c r="AP29" s="211">
        <f t="shared" si="34"/>
        <v>0</v>
      </c>
      <c r="AQ29" s="211">
        <f t="shared" si="20"/>
        <v>0</v>
      </c>
      <c r="AR29" s="211">
        <f t="shared" si="20"/>
        <v>0</v>
      </c>
      <c r="AS29" s="211">
        <f t="shared" si="20"/>
        <v>0</v>
      </c>
      <c r="AT29" s="211">
        <f t="shared" si="20"/>
        <v>0</v>
      </c>
      <c r="AU29" s="211">
        <f t="shared" si="21"/>
        <v>0</v>
      </c>
      <c r="AV29" s="312">
        <f t="shared" si="22"/>
        <v>0</v>
      </c>
      <c r="AW29" s="277">
        <f t="shared" si="35"/>
        <v>469.44900000000001</v>
      </c>
      <c r="AX29" s="277">
        <f t="shared" si="23"/>
        <v>469.44900000000001</v>
      </c>
      <c r="AY29" s="277">
        <f t="shared" si="24"/>
        <v>476.46499999999997</v>
      </c>
      <c r="AZ29" s="277">
        <f t="shared" si="25"/>
        <v>680.82500000000005</v>
      </c>
      <c r="BA29" s="277">
        <f t="shared" si="26"/>
        <v>469.44900000000001</v>
      </c>
      <c r="BB29" s="211">
        <f t="shared" si="27"/>
        <v>2565.6370000000002</v>
      </c>
      <c r="BC29" s="289">
        <f t="shared" si="28"/>
        <v>1</v>
      </c>
      <c r="BD29" s="74"/>
      <c r="BE29" s="1" t="s">
        <v>953</v>
      </c>
      <c r="BF29" s="98" t="s">
        <v>0</v>
      </c>
      <c r="BG29" s="18" t="s">
        <v>11</v>
      </c>
      <c r="BH29" s="16"/>
      <c r="BI29" s="99">
        <f>BH29*K29</f>
        <v>0</v>
      </c>
      <c r="BJ29" s="99">
        <v>0</v>
      </c>
      <c r="BK29" s="99">
        <f>BJ29*K29</f>
        <v>0</v>
      </c>
      <c r="BL29" s="99">
        <v>0</v>
      </c>
      <c r="BM29" s="100">
        <f>BL29*K29</f>
        <v>0</v>
      </c>
      <c r="BO29" s="1" t="s">
        <v>961</v>
      </c>
      <c r="BQ29" s="1">
        <v>32.75</v>
      </c>
      <c r="CD29" s="9" t="s">
        <v>153</v>
      </c>
      <c r="CF29" s="9" t="s">
        <v>149</v>
      </c>
      <c r="CG29" s="9" t="s">
        <v>42</v>
      </c>
      <c r="CK29" s="9" t="s">
        <v>148</v>
      </c>
      <c r="CQ29" s="72">
        <f>IF(BG29="základná",AJ29,0)</f>
        <v>0</v>
      </c>
      <c r="CR29" s="72">
        <f>IF(BG29="znížená",AJ29,0)</f>
        <v>469.44900000000001</v>
      </c>
      <c r="CS29" s="72">
        <f>IF(BG29="zákl. prenesená",AJ29,0)</f>
        <v>0</v>
      </c>
      <c r="CT29" s="72">
        <f>IF(BG29="zníž. prenesená",AJ29,0)</f>
        <v>0</v>
      </c>
      <c r="CU29" s="72">
        <f>IF(BG29="nulová",AJ29,0)</f>
        <v>0</v>
      </c>
      <c r="CV29" s="9" t="s">
        <v>42</v>
      </c>
      <c r="CW29" s="101">
        <f>ROUND(AE29*K29,3)</f>
        <v>469.44900000000001</v>
      </c>
      <c r="CX29" s="9" t="s">
        <v>153</v>
      </c>
      <c r="CY29" s="9" t="s">
        <v>268</v>
      </c>
    </row>
    <row r="30" spans="2:103" s="7" customFormat="1" ht="29.85" customHeight="1">
      <c r="B30" s="82"/>
      <c r="C30" s="83"/>
      <c r="D30" s="92" t="s">
        <v>128</v>
      </c>
      <c r="E30" s="92"/>
      <c r="F30" s="92"/>
      <c r="G30" s="92"/>
      <c r="H30" s="92"/>
      <c r="I30" s="92"/>
      <c r="J30" s="92"/>
      <c r="K30" s="219"/>
      <c r="L30" s="219"/>
      <c r="M30" s="219"/>
      <c r="N30" s="219"/>
      <c r="O30" s="219"/>
      <c r="P30" s="222"/>
      <c r="Q30" s="219"/>
      <c r="R30" s="219"/>
      <c r="S30" s="219"/>
      <c r="T30" s="219"/>
      <c r="U30" s="219"/>
      <c r="V30" s="222"/>
      <c r="W30" s="286"/>
      <c r="X30" s="219"/>
      <c r="Y30" s="219"/>
      <c r="Z30" s="219"/>
      <c r="AA30" s="219"/>
      <c r="AB30" s="219"/>
      <c r="AC30" s="222"/>
      <c r="AD30" s="286"/>
      <c r="AE30" s="219"/>
      <c r="AF30" s="219"/>
      <c r="AG30" s="219"/>
      <c r="AH30" s="219"/>
      <c r="AI30" s="219"/>
      <c r="AJ30" s="213">
        <f t="shared" ref="AJ30:AO30" si="36">SUM(AJ31:AJ42)</f>
        <v>5353.9220000000005</v>
      </c>
      <c r="AK30" s="213">
        <f t="shared" si="36"/>
        <v>5353.9220000000005</v>
      </c>
      <c r="AL30" s="213">
        <f t="shared" si="36"/>
        <v>6192.5400000000009</v>
      </c>
      <c r="AM30" s="213">
        <f t="shared" si="36"/>
        <v>5952.5400000000009</v>
      </c>
      <c r="AN30" s="213">
        <f t="shared" si="36"/>
        <v>1328.9279999999999</v>
      </c>
      <c r="AO30" s="294">
        <f t="shared" si="36"/>
        <v>24181.851999999999</v>
      </c>
      <c r="AP30" s="213">
        <f t="shared" ref="AP30:AU30" si="37">SUM(AP31:AP42)</f>
        <v>0</v>
      </c>
      <c r="AQ30" s="213">
        <f t="shared" si="37"/>
        <v>295.74900000000002</v>
      </c>
      <c r="AR30" s="213">
        <f t="shared" si="37"/>
        <v>85.626999999999995</v>
      </c>
      <c r="AS30" s="213">
        <f t="shared" si="37"/>
        <v>0</v>
      </c>
      <c r="AT30" s="213">
        <f t="shared" si="37"/>
        <v>53.352000000000004</v>
      </c>
      <c r="AU30" s="213">
        <f t="shared" si="37"/>
        <v>434.72799999999995</v>
      </c>
      <c r="AV30" s="317"/>
      <c r="AW30" s="213">
        <f t="shared" ref="AW30:BB30" si="38">SUM(AW31:AW42)</f>
        <v>5353.9220000000005</v>
      </c>
      <c r="AX30" s="213">
        <f t="shared" si="38"/>
        <v>5058.1729999999998</v>
      </c>
      <c r="AY30" s="213">
        <f t="shared" si="38"/>
        <v>6106.9130000000005</v>
      </c>
      <c r="AZ30" s="213">
        <f t="shared" si="38"/>
        <v>5952.5400000000009</v>
      </c>
      <c r="BA30" s="213">
        <f t="shared" si="38"/>
        <v>1275.576</v>
      </c>
      <c r="BB30" s="213">
        <f t="shared" si="38"/>
        <v>23747.124000000003</v>
      </c>
      <c r="BC30" s="317"/>
      <c r="BD30" s="85"/>
      <c r="BF30" s="86"/>
      <c r="BG30" s="83"/>
      <c r="BH30" s="83"/>
      <c r="BI30" s="87">
        <f>SUM(BI31:BI42)</f>
        <v>0</v>
      </c>
      <c r="BJ30" s="83"/>
      <c r="BK30" s="87">
        <f>SUM(BK31:BK42)</f>
        <v>0</v>
      </c>
      <c r="BL30" s="83"/>
      <c r="BM30" s="88">
        <f>SUM(BM31:BM42)</f>
        <v>0</v>
      </c>
      <c r="CD30" s="89" t="s">
        <v>38</v>
      </c>
      <c r="CF30" s="90" t="s">
        <v>30</v>
      </c>
      <c r="CG30" s="90" t="s">
        <v>38</v>
      </c>
      <c r="CK30" s="89" t="s">
        <v>148</v>
      </c>
      <c r="CW30" s="91">
        <f>SUM(CW31:CW42)</f>
        <v>5353.9220000000005</v>
      </c>
    </row>
    <row r="31" spans="2:103" s="1" customFormat="1" ht="31.5" customHeight="1">
      <c r="B31" s="73"/>
      <c r="C31" s="93" t="s">
        <v>170</v>
      </c>
      <c r="D31" s="93" t="s">
        <v>149</v>
      </c>
      <c r="E31" s="94" t="s">
        <v>269</v>
      </c>
      <c r="F31" s="498" t="s">
        <v>270</v>
      </c>
      <c r="G31" s="498"/>
      <c r="H31" s="498"/>
      <c r="I31" s="498"/>
      <c r="J31" s="95" t="s">
        <v>168</v>
      </c>
      <c r="K31" s="211">
        <v>470</v>
      </c>
      <c r="L31" s="211">
        <v>470</v>
      </c>
      <c r="M31" s="211">
        <v>550</v>
      </c>
      <c r="N31" s="211">
        <v>450</v>
      </c>
      <c r="O31" s="211">
        <v>30.227</v>
      </c>
      <c r="P31" s="306">
        <f t="shared" ref="P31:P42" si="39">SUM(K31:O31)</f>
        <v>1970.2270000000001</v>
      </c>
      <c r="Q31" s="307">
        <v>0</v>
      </c>
      <c r="R31" s="211">
        <v>0</v>
      </c>
      <c r="S31" s="211">
        <v>0</v>
      </c>
      <c r="T31" s="211">
        <v>0</v>
      </c>
      <c r="U31" s="211">
        <v>0</v>
      </c>
      <c r="V31" s="220">
        <f t="shared" ref="V31:V42" si="40">SUM(Q31:U31)</f>
        <v>0</v>
      </c>
      <c r="W31" s="289">
        <f t="shared" ref="W31:W42" si="41">V31/P31</f>
        <v>0</v>
      </c>
      <c r="X31" s="307">
        <f t="shared" ref="X31:X42" si="42">K31-Q31</f>
        <v>470</v>
      </c>
      <c r="Y31" s="211">
        <f t="shared" ref="Y31:Y42" si="43">L31-R31</f>
        <v>470</v>
      </c>
      <c r="Z31" s="211">
        <f t="shared" ref="Z31:Z42" si="44">M31-S31</f>
        <v>550</v>
      </c>
      <c r="AA31" s="211">
        <f t="shared" ref="AA31:AA42" si="45">N31-T31</f>
        <v>450</v>
      </c>
      <c r="AB31" s="211">
        <f t="shared" ref="AB31:AB42" si="46">O31-U31</f>
        <v>30.227</v>
      </c>
      <c r="AC31" s="220">
        <f t="shared" ref="AC31:AC42" si="47">SUM(X31:AB31)</f>
        <v>1970.2270000000001</v>
      </c>
      <c r="AD31" s="289">
        <f t="shared" ref="AD31:AD42" si="48">AC31/P31</f>
        <v>1</v>
      </c>
      <c r="AE31" s="310">
        <v>1.3</v>
      </c>
      <c r="AF31" s="230">
        <v>1.3</v>
      </c>
      <c r="AG31" s="230">
        <v>1.3</v>
      </c>
      <c r="AH31" s="230">
        <v>1.3</v>
      </c>
      <c r="AI31" s="230">
        <v>1.3</v>
      </c>
      <c r="AJ31" s="211">
        <f t="shared" ref="AJ31:AJ42" si="49">ROUND(AE31*K31,3)</f>
        <v>611</v>
      </c>
      <c r="AK31" s="211">
        <f t="shared" ref="AK31:AK42" si="50">ROUND(AE31*L31,3)</f>
        <v>611</v>
      </c>
      <c r="AL31" s="211">
        <f t="shared" ref="AL31:AL42" si="51">ROUND(AE31*M31,3)</f>
        <v>715</v>
      </c>
      <c r="AM31" s="211">
        <f t="shared" ref="AM31:AM42" si="52">ROUND(AE31*N31,3)</f>
        <v>585</v>
      </c>
      <c r="AN31" s="211">
        <f t="shared" ref="AN31:AN42" si="53">ROUND(AE31*O31,3)</f>
        <v>39.295000000000002</v>
      </c>
      <c r="AO31" s="295">
        <f t="shared" ref="AO31:AO42" si="54">AJ31+AK31+AL31+AM31+AN31</f>
        <v>2561.2950000000001</v>
      </c>
      <c r="AP31" s="211">
        <f t="shared" ref="AP31:AP42" si="55">ROUND(AE31*Q31,3)</f>
        <v>0</v>
      </c>
      <c r="AQ31" s="211">
        <f t="shared" ref="AQ31:AQ42" si="56">ROUND(AF31*R31,3)</f>
        <v>0</v>
      </c>
      <c r="AR31" s="211">
        <f t="shared" ref="AR31:AR42" si="57">ROUND(AG31*S31,3)</f>
        <v>0</v>
      </c>
      <c r="AS31" s="211">
        <f t="shared" ref="AS31:AS42" si="58">ROUND(AH31*T31,3)</f>
        <v>0</v>
      </c>
      <c r="AT31" s="211">
        <f t="shared" ref="AT31:AT42" si="59">ROUND(AI31*U31,3)</f>
        <v>0</v>
      </c>
      <c r="AU31" s="211">
        <f t="shared" ref="AU31:AU42" si="60">AP31+AQ31+AR31+AS31+AT31</f>
        <v>0</v>
      </c>
      <c r="AV31" s="312">
        <f t="shared" ref="AV31:AV42" si="61">AU31/AO31</f>
        <v>0</v>
      </c>
      <c r="AW31" s="277">
        <f t="shared" ref="AW31:AW42" si="62">AJ31-AP31</f>
        <v>611</v>
      </c>
      <c r="AX31" s="277">
        <f t="shared" ref="AX31:AX42" si="63">AK31-AQ31</f>
        <v>611</v>
      </c>
      <c r="AY31" s="277">
        <f t="shared" ref="AY31:AY42" si="64">AL31-AR31</f>
        <v>715</v>
      </c>
      <c r="AZ31" s="277">
        <f t="shared" ref="AZ31:AZ42" si="65">AM31-AS31</f>
        <v>585</v>
      </c>
      <c r="BA31" s="277">
        <f t="shared" ref="BA31:BA42" si="66">AN31-AT31</f>
        <v>39.295000000000002</v>
      </c>
      <c r="BB31" s="211">
        <f t="shared" ref="BB31:BB42" si="67">AW31+AX31+AY31+AZ31+BA31</f>
        <v>2561.2950000000001</v>
      </c>
      <c r="BC31" s="289">
        <f t="shared" ref="BC31:BC42" si="68">BB31/AO31</f>
        <v>1</v>
      </c>
      <c r="BD31" s="74"/>
      <c r="BF31" s="98" t="s">
        <v>0</v>
      </c>
      <c r="BG31" s="18" t="s">
        <v>11</v>
      </c>
      <c r="BH31" s="16"/>
      <c r="BI31" s="99">
        <f t="shared" ref="BI31:BI37" si="69">BH31*K31</f>
        <v>0</v>
      </c>
      <c r="BJ31" s="99">
        <v>0</v>
      </c>
      <c r="BK31" s="99">
        <f t="shared" ref="BK31:BK37" si="70">BJ31*K31</f>
        <v>0</v>
      </c>
      <c r="BL31" s="99">
        <v>0</v>
      </c>
      <c r="BM31" s="100">
        <f t="shared" ref="BM31:BM37" si="71">BL31*K31</f>
        <v>0</v>
      </c>
      <c r="BQ31" s="1">
        <v>1.25</v>
      </c>
      <c r="CD31" s="9" t="s">
        <v>153</v>
      </c>
      <c r="CF31" s="9" t="s">
        <v>149</v>
      </c>
      <c r="CG31" s="9" t="s">
        <v>42</v>
      </c>
      <c r="CK31" s="9" t="s">
        <v>148</v>
      </c>
      <c r="CQ31" s="72">
        <f t="shared" ref="CQ31:CQ37" si="72">IF(BG31="základná",AJ31,0)</f>
        <v>0</v>
      </c>
      <c r="CR31" s="72">
        <f t="shared" ref="CR31:CR37" si="73">IF(BG31="znížená",AJ31,0)</f>
        <v>611</v>
      </c>
      <c r="CS31" s="72">
        <f t="shared" ref="CS31:CS37" si="74">IF(BG31="zákl. prenesená",AJ31,0)</f>
        <v>0</v>
      </c>
      <c r="CT31" s="72">
        <f t="shared" ref="CT31:CT37" si="75">IF(BG31="zníž. prenesená",AJ31,0)</f>
        <v>0</v>
      </c>
      <c r="CU31" s="72">
        <f t="shared" ref="CU31:CU37" si="76">IF(BG31="nulová",AJ31,0)</f>
        <v>0</v>
      </c>
      <c r="CV31" s="9" t="s">
        <v>42</v>
      </c>
      <c r="CW31" s="101">
        <f t="shared" ref="CW31:CW42" si="77">ROUND(AE31*K31,3)</f>
        <v>611</v>
      </c>
      <c r="CX31" s="9" t="s">
        <v>153</v>
      </c>
      <c r="CY31" s="9" t="s">
        <v>271</v>
      </c>
    </row>
    <row r="32" spans="2:103" s="1" customFormat="1" ht="31.5" customHeight="1">
      <c r="B32" s="73"/>
      <c r="C32" s="93" t="s">
        <v>175</v>
      </c>
      <c r="D32" s="93" t="s">
        <v>149</v>
      </c>
      <c r="E32" s="94" t="s">
        <v>272</v>
      </c>
      <c r="F32" s="498" t="s">
        <v>273</v>
      </c>
      <c r="G32" s="498"/>
      <c r="H32" s="498"/>
      <c r="I32" s="498"/>
      <c r="J32" s="95" t="s">
        <v>168</v>
      </c>
      <c r="K32" s="211">
        <v>470</v>
      </c>
      <c r="L32" s="211">
        <v>470</v>
      </c>
      <c r="M32" s="211">
        <v>550</v>
      </c>
      <c r="N32" s="211">
        <v>450</v>
      </c>
      <c r="O32" s="211">
        <v>30.227</v>
      </c>
      <c r="P32" s="306">
        <f t="shared" si="39"/>
        <v>1970.2270000000001</v>
      </c>
      <c r="Q32" s="307">
        <v>0</v>
      </c>
      <c r="R32" s="211">
        <v>0</v>
      </c>
      <c r="S32" s="211">
        <v>0</v>
      </c>
      <c r="T32" s="211">
        <v>0</v>
      </c>
      <c r="U32" s="211">
        <v>0</v>
      </c>
      <c r="V32" s="220">
        <f t="shared" si="40"/>
        <v>0</v>
      </c>
      <c r="W32" s="289">
        <f t="shared" si="41"/>
        <v>0</v>
      </c>
      <c r="X32" s="307">
        <f t="shared" si="42"/>
        <v>470</v>
      </c>
      <c r="Y32" s="211">
        <f t="shared" si="43"/>
        <v>470</v>
      </c>
      <c r="Z32" s="211">
        <f t="shared" si="44"/>
        <v>550</v>
      </c>
      <c r="AA32" s="211">
        <f t="shared" si="45"/>
        <v>450</v>
      </c>
      <c r="AB32" s="211">
        <f t="shared" si="46"/>
        <v>30.227</v>
      </c>
      <c r="AC32" s="220">
        <f t="shared" si="47"/>
        <v>1970.2270000000001</v>
      </c>
      <c r="AD32" s="289">
        <f t="shared" si="48"/>
        <v>1</v>
      </c>
      <c r="AE32" s="310">
        <v>1.1000000000000001</v>
      </c>
      <c r="AF32" s="230">
        <v>1.1000000000000001</v>
      </c>
      <c r="AG32" s="230">
        <v>1.1000000000000001</v>
      </c>
      <c r="AH32" s="230">
        <v>1.1000000000000001</v>
      </c>
      <c r="AI32" s="230">
        <v>1.1000000000000001</v>
      </c>
      <c r="AJ32" s="211">
        <f t="shared" si="49"/>
        <v>517</v>
      </c>
      <c r="AK32" s="211">
        <f t="shared" si="50"/>
        <v>517</v>
      </c>
      <c r="AL32" s="211">
        <f t="shared" si="51"/>
        <v>605</v>
      </c>
      <c r="AM32" s="211">
        <f t="shared" si="52"/>
        <v>495</v>
      </c>
      <c r="AN32" s="211">
        <f t="shared" si="53"/>
        <v>33.25</v>
      </c>
      <c r="AO32" s="295">
        <f t="shared" si="54"/>
        <v>2167.25</v>
      </c>
      <c r="AP32" s="211">
        <f t="shared" si="55"/>
        <v>0</v>
      </c>
      <c r="AQ32" s="211">
        <f t="shared" si="56"/>
        <v>0</v>
      </c>
      <c r="AR32" s="211">
        <f t="shared" si="57"/>
        <v>0</v>
      </c>
      <c r="AS32" s="211">
        <f t="shared" si="58"/>
        <v>0</v>
      </c>
      <c r="AT32" s="211">
        <f t="shared" si="59"/>
        <v>0</v>
      </c>
      <c r="AU32" s="211">
        <f t="shared" si="60"/>
        <v>0</v>
      </c>
      <c r="AV32" s="312">
        <f t="shared" si="61"/>
        <v>0</v>
      </c>
      <c r="AW32" s="277">
        <f t="shared" si="62"/>
        <v>517</v>
      </c>
      <c r="AX32" s="277">
        <f t="shared" si="63"/>
        <v>517</v>
      </c>
      <c r="AY32" s="277">
        <f t="shared" si="64"/>
        <v>605</v>
      </c>
      <c r="AZ32" s="277">
        <f t="shared" si="65"/>
        <v>495</v>
      </c>
      <c r="BA32" s="277">
        <f t="shared" si="66"/>
        <v>33.25</v>
      </c>
      <c r="BB32" s="211">
        <f t="shared" si="67"/>
        <v>2167.25</v>
      </c>
      <c r="BC32" s="289">
        <f t="shared" si="68"/>
        <v>1</v>
      </c>
      <c r="BD32" s="74"/>
      <c r="BF32" s="98" t="s">
        <v>0</v>
      </c>
      <c r="BG32" s="18" t="s">
        <v>11</v>
      </c>
      <c r="BH32" s="16"/>
      <c r="BI32" s="99">
        <f t="shared" si="69"/>
        <v>0</v>
      </c>
      <c r="BJ32" s="99">
        <v>0</v>
      </c>
      <c r="BK32" s="99">
        <f t="shared" si="70"/>
        <v>0</v>
      </c>
      <c r="BL32" s="99">
        <v>0</v>
      </c>
      <c r="BM32" s="100">
        <f t="shared" si="71"/>
        <v>0</v>
      </c>
      <c r="BQ32" s="1">
        <v>1.06</v>
      </c>
      <c r="CD32" s="9" t="s">
        <v>153</v>
      </c>
      <c r="CF32" s="9" t="s">
        <v>149</v>
      </c>
      <c r="CG32" s="9" t="s">
        <v>42</v>
      </c>
      <c r="CK32" s="9" t="s">
        <v>148</v>
      </c>
      <c r="CQ32" s="72">
        <f t="shared" si="72"/>
        <v>0</v>
      </c>
      <c r="CR32" s="72">
        <f t="shared" si="73"/>
        <v>517</v>
      </c>
      <c r="CS32" s="72">
        <f t="shared" si="74"/>
        <v>0</v>
      </c>
      <c r="CT32" s="72">
        <f t="shared" si="75"/>
        <v>0</v>
      </c>
      <c r="CU32" s="72">
        <f t="shared" si="76"/>
        <v>0</v>
      </c>
      <c r="CV32" s="9" t="s">
        <v>42</v>
      </c>
      <c r="CW32" s="101">
        <f t="shared" si="77"/>
        <v>517</v>
      </c>
      <c r="CX32" s="9" t="s">
        <v>153</v>
      </c>
      <c r="CY32" s="9" t="s">
        <v>274</v>
      </c>
    </row>
    <row r="33" spans="2:103" s="1" customFormat="1" ht="44.25" customHeight="1">
      <c r="B33" s="73"/>
      <c r="C33" s="93" t="s">
        <v>178</v>
      </c>
      <c r="D33" s="93" t="s">
        <v>149</v>
      </c>
      <c r="E33" s="94" t="s">
        <v>275</v>
      </c>
      <c r="F33" s="498" t="s">
        <v>276</v>
      </c>
      <c r="G33" s="498"/>
      <c r="H33" s="498"/>
      <c r="I33" s="498"/>
      <c r="J33" s="95" t="s">
        <v>168</v>
      </c>
      <c r="K33" s="211">
        <v>2629.8</v>
      </c>
      <c r="L33" s="211">
        <v>2629.8</v>
      </c>
      <c r="M33" s="211">
        <v>2629.8</v>
      </c>
      <c r="N33" s="211">
        <v>2629.8</v>
      </c>
      <c r="O33" s="211">
        <v>80.453999999999994</v>
      </c>
      <c r="P33" s="306">
        <f t="shared" si="39"/>
        <v>10599.654</v>
      </c>
      <c r="Q33" s="307">
        <v>0</v>
      </c>
      <c r="R33" s="211">
        <v>0</v>
      </c>
      <c r="S33" s="211">
        <v>0</v>
      </c>
      <c r="T33" s="211">
        <v>0</v>
      </c>
      <c r="U33" s="211">
        <v>0</v>
      </c>
      <c r="V33" s="220">
        <f t="shared" si="40"/>
        <v>0</v>
      </c>
      <c r="W33" s="289">
        <f t="shared" si="41"/>
        <v>0</v>
      </c>
      <c r="X33" s="307">
        <f t="shared" si="42"/>
        <v>2629.8</v>
      </c>
      <c r="Y33" s="211">
        <f t="shared" si="43"/>
        <v>2629.8</v>
      </c>
      <c r="Z33" s="211">
        <f t="shared" si="44"/>
        <v>2629.8</v>
      </c>
      <c r="AA33" s="211">
        <f t="shared" si="45"/>
        <v>2629.8</v>
      </c>
      <c r="AB33" s="211">
        <f t="shared" si="46"/>
        <v>80.453999999999994</v>
      </c>
      <c r="AC33" s="220">
        <f t="shared" si="47"/>
        <v>10599.654</v>
      </c>
      <c r="AD33" s="289">
        <f t="shared" si="48"/>
        <v>1</v>
      </c>
      <c r="AE33" s="310">
        <v>0.89</v>
      </c>
      <c r="AF33" s="230">
        <v>0.89</v>
      </c>
      <c r="AG33" s="230">
        <v>0.89</v>
      </c>
      <c r="AH33" s="230">
        <v>0.89</v>
      </c>
      <c r="AI33" s="230">
        <v>0.89</v>
      </c>
      <c r="AJ33" s="211">
        <f t="shared" si="49"/>
        <v>2340.5219999999999</v>
      </c>
      <c r="AK33" s="211">
        <f t="shared" si="50"/>
        <v>2340.5219999999999</v>
      </c>
      <c r="AL33" s="211">
        <f t="shared" si="51"/>
        <v>2340.5219999999999</v>
      </c>
      <c r="AM33" s="211">
        <f t="shared" si="52"/>
        <v>2340.5219999999999</v>
      </c>
      <c r="AN33" s="211">
        <f t="shared" si="53"/>
        <v>71.603999999999999</v>
      </c>
      <c r="AO33" s="295">
        <f t="shared" si="54"/>
        <v>9433.6919999999991</v>
      </c>
      <c r="AP33" s="211">
        <f t="shared" si="55"/>
        <v>0</v>
      </c>
      <c r="AQ33" s="211">
        <f t="shared" si="56"/>
        <v>0</v>
      </c>
      <c r="AR33" s="211">
        <f t="shared" si="57"/>
        <v>0</v>
      </c>
      <c r="AS33" s="211">
        <f t="shared" si="58"/>
        <v>0</v>
      </c>
      <c r="AT33" s="211">
        <f t="shared" si="59"/>
        <v>0</v>
      </c>
      <c r="AU33" s="211">
        <f t="shared" si="60"/>
        <v>0</v>
      </c>
      <c r="AV33" s="312">
        <f t="shared" si="61"/>
        <v>0</v>
      </c>
      <c r="AW33" s="277">
        <f t="shared" si="62"/>
        <v>2340.5219999999999</v>
      </c>
      <c r="AX33" s="277">
        <f t="shared" si="63"/>
        <v>2340.5219999999999</v>
      </c>
      <c r="AY33" s="277">
        <f t="shared" si="64"/>
        <v>2340.5219999999999</v>
      </c>
      <c r="AZ33" s="277">
        <f t="shared" si="65"/>
        <v>2340.5219999999999</v>
      </c>
      <c r="BA33" s="277">
        <f t="shared" si="66"/>
        <v>71.603999999999999</v>
      </c>
      <c r="BB33" s="211">
        <f t="shared" si="67"/>
        <v>9433.6919999999991</v>
      </c>
      <c r="BC33" s="289">
        <f t="shared" si="68"/>
        <v>1</v>
      </c>
      <c r="BD33" s="74"/>
      <c r="BF33" s="98" t="s">
        <v>0</v>
      </c>
      <c r="BG33" s="18" t="s">
        <v>11</v>
      </c>
      <c r="BH33" s="16"/>
      <c r="BI33" s="99">
        <f t="shared" si="69"/>
        <v>0</v>
      </c>
      <c r="BJ33" s="99">
        <v>0</v>
      </c>
      <c r="BK33" s="99">
        <f t="shared" si="70"/>
        <v>0</v>
      </c>
      <c r="BL33" s="99">
        <v>0</v>
      </c>
      <c r="BM33" s="100">
        <f t="shared" si="71"/>
        <v>0</v>
      </c>
      <c r="BQ33" s="1">
        <v>0.86</v>
      </c>
      <c r="CD33" s="9" t="s">
        <v>153</v>
      </c>
      <c r="CF33" s="9" t="s">
        <v>149</v>
      </c>
      <c r="CG33" s="9" t="s">
        <v>42</v>
      </c>
      <c r="CK33" s="9" t="s">
        <v>148</v>
      </c>
      <c r="CQ33" s="72">
        <f t="shared" si="72"/>
        <v>0</v>
      </c>
      <c r="CR33" s="72">
        <f t="shared" si="73"/>
        <v>2340.5219999999999</v>
      </c>
      <c r="CS33" s="72">
        <f t="shared" si="74"/>
        <v>0</v>
      </c>
      <c r="CT33" s="72">
        <f t="shared" si="75"/>
        <v>0</v>
      </c>
      <c r="CU33" s="72">
        <f t="shared" si="76"/>
        <v>0</v>
      </c>
      <c r="CV33" s="9" t="s">
        <v>42</v>
      </c>
      <c r="CW33" s="101">
        <f t="shared" si="77"/>
        <v>2340.5219999999999</v>
      </c>
      <c r="CX33" s="9" t="s">
        <v>153</v>
      </c>
      <c r="CY33" s="9" t="s">
        <v>277</v>
      </c>
    </row>
    <row r="34" spans="2:103" s="1" customFormat="1" ht="22.5" customHeight="1">
      <c r="B34" s="73"/>
      <c r="C34" s="93" t="s">
        <v>181</v>
      </c>
      <c r="D34" s="93" t="s">
        <v>149</v>
      </c>
      <c r="E34" s="94" t="s">
        <v>278</v>
      </c>
      <c r="F34" s="498" t="s">
        <v>279</v>
      </c>
      <c r="G34" s="498"/>
      <c r="H34" s="498"/>
      <c r="I34" s="498"/>
      <c r="J34" s="95" t="s">
        <v>198</v>
      </c>
      <c r="K34" s="211">
        <v>70</v>
      </c>
      <c r="L34" s="211">
        <v>70</v>
      </c>
      <c r="M34" s="211">
        <v>80</v>
      </c>
      <c r="N34" s="211">
        <v>80</v>
      </c>
      <c r="O34" s="211">
        <v>43.25</v>
      </c>
      <c r="P34" s="306">
        <f t="shared" si="39"/>
        <v>343.25</v>
      </c>
      <c r="Q34" s="307">
        <v>0</v>
      </c>
      <c r="R34" s="211">
        <v>0</v>
      </c>
      <c r="S34" s="211">
        <v>0</v>
      </c>
      <c r="T34" s="211">
        <v>0</v>
      </c>
      <c r="U34" s="211">
        <v>0</v>
      </c>
      <c r="V34" s="220">
        <f t="shared" si="40"/>
        <v>0</v>
      </c>
      <c r="W34" s="289">
        <f t="shared" si="41"/>
        <v>0</v>
      </c>
      <c r="X34" s="307">
        <f t="shared" si="42"/>
        <v>70</v>
      </c>
      <c r="Y34" s="211">
        <f t="shared" si="43"/>
        <v>70</v>
      </c>
      <c r="Z34" s="211">
        <f t="shared" si="44"/>
        <v>80</v>
      </c>
      <c r="AA34" s="211">
        <f t="shared" si="45"/>
        <v>80</v>
      </c>
      <c r="AB34" s="211">
        <f t="shared" si="46"/>
        <v>43.25</v>
      </c>
      <c r="AC34" s="220">
        <f t="shared" si="47"/>
        <v>343.25</v>
      </c>
      <c r="AD34" s="289">
        <f t="shared" si="48"/>
        <v>1</v>
      </c>
      <c r="AE34" s="310">
        <v>5.55</v>
      </c>
      <c r="AF34" s="230">
        <v>5.55</v>
      </c>
      <c r="AG34" s="230">
        <v>5.55</v>
      </c>
      <c r="AH34" s="230">
        <v>5.55</v>
      </c>
      <c r="AI34" s="230">
        <v>5.55</v>
      </c>
      <c r="AJ34" s="211">
        <f t="shared" si="49"/>
        <v>388.5</v>
      </c>
      <c r="AK34" s="211">
        <f t="shared" si="50"/>
        <v>388.5</v>
      </c>
      <c r="AL34" s="211">
        <f t="shared" si="51"/>
        <v>444</v>
      </c>
      <c r="AM34" s="211">
        <f t="shared" si="52"/>
        <v>444</v>
      </c>
      <c r="AN34" s="211">
        <f t="shared" si="53"/>
        <v>240.03800000000001</v>
      </c>
      <c r="AO34" s="295">
        <f t="shared" si="54"/>
        <v>1905.038</v>
      </c>
      <c r="AP34" s="211">
        <f t="shared" si="55"/>
        <v>0</v>
      </c>
      <c r="AQ34" s="211">
        <f t="shared" si="56"/>
        <v>0</v>
      </c>
      <c r="AR34" s="211">
        <f t="shared" si="57"/>
        <v>0</v>
      </c>
      <c r="AS34" s="211">
        <f t="shared" si="58"/>
        <v>0</v>
      </c>
      <c r="AT34" s="211">
        <f t="shared" si="59"/>
        <v>0</v>
      </c>
      <c r="AU34" s="211">
        <f t="shared" si="60"/>
        <v>0</v>
      </c>
      <c r="AV34" s="312">
        <f t="shared" si="61"/>
        <v>0</v>
      </c>
      <c r="AW34" s="277">
        <f t="shared" si="62"/>
        <v>388.5</v>
      </c>
      <c r="AX34" s="277">
        <f t="shared" si="63"/>
        <v>388.5</v>
      </c>
      <c r="AY34" s="277">
        <f t="shared" si="64"/>
        <v>444</v>
      </c>
      <c r="AZ34" s="277">
        <f t="shared" si="65"/>
        <v>444</v>
      </c>
      <c r="BA34" s="277">
        <f t="shared" si="66"/>
        <v>240.03800000000001</v>
      </c>
      <c r="BB34" s="211">
        <f t="shared" si="67"/>
        <v>1905.038</v>
      </c>
      <c r="BC34" s="289">
        <f t="shared" si="68"/>
        <v>1</v>
      </c>
      <c r="BD34" s="74"/>
      <c r="BE34" s="1" t="s">
        <v>956</v>
      </c>
      <c r="BF34" s="98" t="s">
        <v>0</v>
      </c>
      <c r="BG34" s="18" t="s">
        <v>11</v>
      </c>
      <c r="BH34" s="16"/>
      <c r="BI34" s="99">
        <f t="shared" si="69"/>
        <v>0</v>
      </c>
      <c r="BJ34" s="99">
        <v>0</v>
      </c>
      <c r="BK34" s="99">
        <f t="shared" si="70"/>
        <v>0</v>
      </c>
      <c r="BL34" s="99">
        <v>0</v>
      </c>
      <c r="BM34" s="100">
        <f t="shared" si="71"/>
        <v>0</v>
      </c>
      <c r="BO34" s="1" t="s">
        <v>962</v>
      </c>
      <c r="BQ34" s="1">
        <v>5.34</v>
      </c>
      <c r="CD34" s="9" t="s">
        <v>153</v>
      </c>
      <c r="CF34" s="9" t="s">
        <v>149</v>
      </c>
      <c r="CG34" s="9" t="s">
        <v>42</v>
      </c>
      <c r="CK34" s="9" t="s">
        <v>148</v>
      </c>
      <c r="CQ34" s="72">
        <f t="shared" si="72"/>
        <v>0</v>
      </c>
      <c r="CR34" s="72">
        <f t="shared" si="73"/>
        <v>388.5</v>
      </c>
      <c r="CS34" s="72">
        <f t="shared" si="74"/>
        <v>0</v>
      </c>
      <c r="CT34" s="72">
        <f t="shared" si="75"/>
        <v>0</v>
      </c>
      <c r="CU34" s="72">
        <f t="shared" si="76"/>
        <v>0</v>
      </c>
      <c r="CV34" s="9" t="s">
        <v>42</v>
      </c>
      <c r="CW34" s="101">
        <f t="shared" si="77"/>
        <v>388.5</v>
      </c>
      <c r="CX34" s="9" t="s">
        <v>153</v>
      </c>
      <c r="CY34" s="9" t="s">
        <v>280</v>
      </c>
    </row>
    <row r="35" spans="2:103" s="1" customFormat="1" ht="22.5" customHeight="1">
      <c r="B35" s="73"/>
      <c r="C35" s="93" t="s">
        <v>185</v>
      </c>
      <c r="D35" s="93" t="s">
        <v>149</v>
      </c>
      <c r="E35" s="94" t="s">
        <v>282</v>
      </c>
      <c r="F35" s="498" t="s">
        <v>283</v>
      </c>
      <c r="G35" s="498"/>
      <c r="H35" s="498"/>
      <c r="I35" s="498"/>
      <c r="J35" s="95" t="s">
        <v>198</v>
      </c>
      <c r="K35" s="211">
        <v>118.7</v>
      </c>
      <c r="L35" s="211">
        <v>118.7</v>
      </c>
      <c r="M35" s="231">
        <v>270.83999999999997</v>
      </c>
      <c r="N35" s="211">
        <v>270.83999999999997</v>
      </c>
      <c r="O35" s="211">
        <v>72.48</v>
      </c>
      <c r="P35" s="306">
        <f t="shared" si="39"/>
        <v>851.56</v>
      </c>
      <c r="Q35" s="307">
        <v>0</v>
      </c>
      <c r="R35" s="211">
        <v>0</v>
      </c>
      <c r="S35" s="231">
        <v>0</v>
      </c>
      <c r="T35" s="211">
        <v>0</v>
      </c>
      <c r="U35" s="211">
        <v>0</v>
      </c>
      <c r="V35" s="220">
        <f t="shared" si="40"/>
        <v>0</v>
      </c>
      <c r="W35" s="289">
        <f t="shared" si="41"/>
        <v>0</v>
      </c>
      <c r="X35" s="307">
        <f t="shared" si="42"/>
        <v>118.7</v>
      </c>
      <c r="Y35" s="211">
        <f t="shared" si="43"/>
        <v>118.7</v>
      </c>
      <c r="Z35" s="231">
        <f t="shared" si="44"/>
        <v>270.83999999999997</v>
      </c>
      <c r="AA35" s="211">
        <f t="shared" si="45"/>
        <v>270.83999999999997</v>
      </c>
      <c r="AB35" s="211">
        <f t="shared" si="46"/>
        <v>72.48</v>
      </c>
      <c r="AC35" s="220">
        <f t="shared" si="47"/>
        <v>851.56</v>
      </c>
      <c r="AD35" s="289">
        <f t="shared" si="48"/>
        <v>1</v>
      </c>
      <c r="AE35" s="310">
        <v>3.09</v>
      </c>
      <c r="AF35" s="230">
        <v>3.09</v>
      </c>
      <c r="AG35" s="230">
        <v>3.09</v>
      </c>
      <c r="AH35" s="230">
        <v>3.09</v>
      </c>
      <c r="AI35" s="230">
        <v>3.09</v>
      </c>
      <c r="AJ35" s="211">
        <f t="shared" si="49"/>
        <v>366.78300000000002</v>
      </c>
      <c r="AK35" s="211">
        <f t="shared" si="50"/>
        <v>366.78300000000002</v>
      </c>
      <c r="AL35" s="211">
        <f t="shared" si="51"/>
        <v>836.89599999999996</v>
      </c>
      <c r="AM35" s="211">
        <f t="shared" si="52"/>
        <v>836.89599999999996</v>
      </c>
      <c r="AN35" s="211">
        <f t="shared" si="53"/>
        <v>223.96299999999999</v>
      </c>
      <c r="AO35" s="295">
        <f t="shared" si="54"/>
        <v>2631.3210000000004</v>
      </c>
      <c r="AP35" s="211">
        <f t="shared" si="55"/>
        <v>0</v>
      </c>
      <c r="AQ35" s="211">
        <f t="shared" si="56"/>
        <v>0</v>
      </c>
      <c r="AR35" s="211">
        <f t="shared" si="57"/>
        <v>0</v>
      </c>
      <c r="AS35" s="211">
        <f t="shared" si="58"/>
        <v>0</v>
      </c>
      <c r="AT35" s="211">
        <f t="shared" si="59"/>
        <v>0</v>
      </c>
      <c r="AU35" s="211">
        <f t="shared" si="60"/>
        <v>0</v>
      </c>
      <c r="AV35" s="312">
        <f t="shared" si="61"/>
        <v>0</v>
      </c>
      <c r="AW35" s="277">
        <f t="shared" si="62"/>
        <v>366.78300000000002</v>
      </c>
      <c r="AX35" s="277">
        <f t="shared" si="63"/>
        <v>366.78300000000002</v>
      </c>
      <c r="AY35" s="277">
        <f t="shared" si="64"/>
        <v>836.89599999999996</v>
      </c>
      <c r="AZ35" s="277">
        <f t="shared" si="65"/>
        <v>836.89599999999996</v>
      </c>
      <c r="BA35" s="277">
        <f t="shared" si="66"/>
        <v>223.96299999999999</v>
      </c>
      <c r="BB35" s="211">
        <f t="shared" si="67"/>
        <v>2631.3210000000004</v>
      </c>
      <c r="BC35" s="289">
        <f t="shared" si="68"/>
        <v>1</v>
      </c>
      <c r="BD35" s="74"/>
      <c r="BE35" s="113" t="s">
        <v>963</v>
      </c>
      <c r="BF35" s="98" t="s">
        <v>0</v>
      </c>
      <c r="BG35" s="18" t="s">
        <v>11</v>
      </c>
      <c r="BH35" s="16"/>
      <c r="BI35" s="99">
        <f t="shared" si="69"/>
        <v>0</v>
      </c>
      <c r="BJ35" s="99">
        <v>0</v>
      </c>
      <c r="BK35" s="99">
        <f t="shared" si="70"/>
        <v>0</v>
      </c>
      <c r="BL35" s="99">
        <v>0</v>
      </c>
      <c r="BM35" s="100">
        <f t="shared" si="71"/>
        <v>0</v>
      </c>
      <c r="BO35" s="1" t="s">
        <v>964</v>
      </c>
      <c r="BQ35" s="1">
        <v>2.97</v>
      </c>
      <c r="CD35" s="9" t="s">
        <v>153</v>
      </c>
      <c r="CF35" s="9" t="s">
        <v>149</v>
      </c>
      <c r="CG35" s="9" t="s">
        <v>42</v>
      </c>
      <c r="CK35" s="9" t="s">
        <v>148</v>
      </c>
      <c r="CQ35" s="72">
        <f t="shared" si="72"/>
        <v>0</v>
      </c>
      <c r="CR35" s="72">
        <f t="shared" si="73"/>
        <v>366.78300000000002</v>
      </c>
      <c r="CS35" s="72">
        <f t="shared" si="74"/>
        <v>0</v>
      </c>
      <c r="CT35" s="72">
        <f t="shared" si="75"/>
        <v>0</v>
      </c>
      <c r="CU35" s="72">
        <f t="shared" si="76"/>
        <v>0</v>
      </c>
      <c r="CV35" s="9" t="s">
        <v>42</v>
      </c>
      <c r="CW35" s="101">
        <f t="shared" si="77"/>
        <v>366.78300000000002</v>
      </c>
      <c r="CX35" s="9" t="s">
        <v>153</v>
      </c>
      <c r="CY35" s="9" t="s">
        <v>284</v>
      </c>
    </row>
    <row r="36" spans="2:103" s="1" customFormat="1" ht="22.5" customHeight="1">
      <c r="B36" s="73"/>
      <c r="C36" s="93" t="s">
        <v>188</v>
      </c>
      <c r="D36" s="93" t="s">
        <v>149</v>
      </c>
      <c r="E36" s="94" t="s">
        <v>285</v>
      </c>
      <c r="F36" s="498" t="s">
        <v>286</v>
      </c>
      <c r="G36" s="498"/>
      <c r="H36" s="498"/>
      <c r="I36" s="498"/>
      <c r="J36" s="95" t="s">
        <v>198</v>
      </c>
      <c r="K36" s="211">
        <v>49.5</v>
      </c>
      <c r="L36" s="211">
        <v>49.5</v>
      </c>
      <c r="M36" s="231">
        <v>55.8</v>
      </c>
      <c r="N36" s="211">
        <v>55.8</v>
      </c>
      <c r="O36" s="211">
        <v>56.5</v>
      </c>
      <c r="P36" s="306">
        <f t="shared" si="39"/>
        <v>267.10000000000002</v>
      </c>
      <c r="Q36" s="307">
        <v>0</v>
      </c>
      <c r="R36" s="211">
        <v>0</v>
      </c>
      <c r="S36" s="231">
        <v>0</v>
      </c>
      <c r="T36" s="211">
        <v>0</v>
      </c>
      <c r="U36" s="211">
        <v>0</v>
      </c>
      <c r="V36" s="220">
        <f t="shared" si="40"/>
        <v>0</v>
      </c>
      <c r="W36" s="289">
        <f t="shared" si="41"/>
        <v>0</v>
      </c>
      <c r="X36" s="307">
        <f t="shared" si="42"/>
        <v>49.5</v>
      </c>
      <c r="Y36" s="211">
        <f t="shared" si="43"/>
        <v>49.5</v>
      </c>
      <c r="Z36" s="231">
        <f t="shared" si="44"/>
        <v>55.8</v>
      </c>
      <c r="AA36" s="211">
        <f t="shared" si="45"/>
        <v>55.8</v>
      </c>
      <c r="AB36" s="211">
        <f t="shared" si="46"/>
        <v>56.5</v>
      </c>
      <c r="AC36" s="220">
        <f t="shared" si="47"/>
        <v>267.10000000000002</v>
      </c>
      <c r="AD36" s="289">
        <f t="shared" si="48"/>
        <v>1</v>
      </c>
      <c r="AE36" s="310">
        <v>3.31</v>
      </c>
      <c r="AF36" s="230">
        <v>3.31</v>
      </c>
      <c r="AG36" s="230">
        <v>3.31</v>
      </c>
      <c r="AH36" s="230">
        <v>3.31</v>
      </c>
      <c r="AI36" s="230">
        <v>3.31</v>
      </c>
      <c r="AJ36" s="211">
        <f t="shared" si="49"/>
        <v>163.845</v>
      </c>
      <c r="AK36" s="211">
        <f t="shared" si="50"/>
        <v>163.845</v>
      </c>
      <c r="AL36" s="211">
        <f t="shared" si="51"/>
        <v>184.69800000000001</v>
      </c>
      <c r="AM36" s="211">
        <f t="shared" si="52"/>
        <v>184.69800000000001</v>
      </c>
      <c r="AN36" s="211">
        <f t="shared" si="53"/>
        <v>187.01499999999999</v>
      </c>
      <c r="AO36" s="295">
        <f t="shared" si="54"/>
        <v>884.101</v>
      </c>
      <c r="AP36" s="211">
        <f t="shared" si="55"/>
        <v>0</v>
      </c>
      <c r="AQ36" s="211">
        <f t="shared" si="56"/>
        <v>0</v>
      </c>
      <c r="AR36" s="211">
        <f t="shared" si="57"/>
        <v>0</v>
      </c>
      <c r="AS36" s="211">
        <f t="shared" si="58"/>
        <v>0</v>
      </c>
      <c r="AT36" s="211">
        <f t="shared" si="59"/>
        <v>0</v>
      </c>
      <c r="AU36" s="211">
        <f t="shared" si="60"/>
        <v>0</v>
      </c>
      <c r="AV36" s="312">
        <f t="shared" si="61"/>
        <v>0</v>
      </c>
      <c r="AW36" s="277">
        <f t="shared" si="62"/>
        <v>163.845</v>
      </c>
      <c r="AX36" s="277">
        <f t="shared" si="63"/>
        <v>163.845</v>
      </c>
      <c r="AY36" s="277">
        <f t="shared" si="64"/>
        <v>184.69800000000001</v>
      </c>
      <c r="AZ36" s="277">
        <f t="shared" si="65"/>
        <v>184.69800000000001</v>
      </c>
      <c r="BA36" s="277">
        <f t="shared" si="66"/>
        <v>187.01499999999999</v>
      </c>
      <c r="BB36" s="211">
        <f t="shared" si="67"/>
        <v>884.101</v>
      </c>
      <c r="BC36" s="289">
        <f t="shared" si="68"/>
        <v>1</v>
      </c>
      <c r="BD36" s="74"/>
      <c r="BE36" s="113" t="s">
        <v>963</v>
      </c>
      <c r="BF36" s="98" t="s">
        <v>0</v>
      </c>
      <c r="BG36" s="18" t="s">
        <v>11</v>
      </c>
      <c r="BH36" s="112"/>
      <c r="BI36" s="99">
        <f t="shared" si="69"/>
        <v>0</v>
      </c>
      <c r="BJ36" s="99">
        <v>0</v>
      </c>
      <c r="BK36" s="99">
        <f t="shared" si="70"/>
        <v>0</v>
      </c>
      <c r="BL36" s="99">
        <v>0</v>
      </c>
      <c r="BM36" s="100">
        <f t="shared" si="71"/>
        <v>0</v>
      </c>
      <c r="BO36" s="1" t="s">
        <v>965</v>
      </c>
      <c r="BQ36" s="1">
        <v>3.18</v>
      </c>
      <c r="CD36" s="9" t="s">
        <v>153</v>
      </c>
      <c r="CF36" s="9" t="s">
        <v>149</v>
      </c>
      <c r="CG36" s="9" t="s">
        <v>42</v>
      </c>
      <c r="CK36" s="9" t="s">
        <v>148</v>
      </c>
      <c r="CQ36" s="72">
        <f t="shared" si="72"/>
        <v>0</v>
      </c>
      <c r="CR36" s="72">
        <f t="shared" si="73"/>
        <v>163.845</v>
      </c>
      <c r="CS36" s="72">
        <f t="shared" si="74"/>
        <v>0</v>
      </c>
      <c r="CT36" s="72">
        <f t="shared" si="75"/>
        <v>0</v>
      </c>
      <c r="CU36" s="72">
        <f t="shared" si="76"/>
        <v>0</v>
      </c>
      <c r="CV36" s="9" t="s">
        <v>42</v>
      </c>
      <c r="CW36" s="101">
        <f t="shared" si="77"/>
        <v>163.845</v>
      </c>
      <c r="CX36" s="9" t="s">
        <v>153</v>
      </c>
      <c r="CY36" s="9" t="s">
        <v>287</v>
      </c>
    </row>
    <row r="37" spans="2:103" s="1" customFormat="1" ht="22.5" customHeight="1">
      <c r="B37" s="73"/>
      <c r="C37" s="93" t="s">
        <v>191</v>
      </c>
      <c r="D37" s="93" t="s">
        <v>149</v>
      </c>
      <c r="E37" s="94" t="s">
        <v>288</v>
      </c>
      <c r="F37" s="498" t="s">
        <v>289</v>
      </c>
      <c r="G37" s="498"/>
      <c r="H37" s="498"/>
      <c r="I37" s="498"/>
      <c r="J37" s="95" t="s">
        <v>198</v>
      </c>
      <c r="K37" s="211">
        <v>43.5</v>
      </c>
      <c r="L37" s="211">
        <v>43.5</v>
      </c>
      <c r="M37" s="231">
        <v>46.2</v>
      </c>
      <c r="N37" s="211">
        <v>46.2</v>
      </c>
      <c r="O37" s="211">
        <v>52</v>
      </c>
      <c r="P37" s="306">
        <f t="shared" si="39"/>
        <v>231.39999999999998</v>
      </c>
      <c r="Q37" s="307">
        <v>0</v>
      </c>
      <c r="R37" s="211">
        <v>0</v>
      </c>
      <c r="S37" s="231">
        <v>0</v>
      </c>
      <c r="T37" s="211">
        <v>0</v>
      </c>
      <c r="U37" s="211">
        <v>0</v>
      </c>
      <c r="V37" s="220">
        <f t="shared" si="40"/>
        <v>0</v>
      </c>
      <c r="W37" s="289">
        <f t="shared" si="41"/>
        <v>0</v>
      </c>
      <c r="X37" s="307">
        <f t="shared" si="42"/>
        <v>43.5</v>
      </c>
      <c r="Y37" s="211">
        <f t="shared" si="43"/>
        <v>43.5</v>
      </c>
      <c r="Z37" s="231">
        <f t="shared" si="44"/>
        <v>46.2</v>
      </c>
      <c r="AA37" s="211">
        <f t="shared" si="45"/>
        <v>46.2</v>
      </c>
      <c r="AB37" s="211">
        <f t="shared" si="46"/>
        <v>52</v>
      </c>
      <c r="AC37" s="220">
        <f t="shared" si="47"/>
        <v>231.39999999999998</v>
      </c>
      <c r="AD37" s="289">
        <f t="shared" si="48"/>
        <v>1</v>
      </c>
      <c r="AE37" s="310">
        <v>3.49</v>
      </c>
      <c r="AF37" s="230">
        <v>3.49</v>
      </c>
      <c r="AG37" s="230">
        <v>3.49</v>
      </c>
      <c r="AH37" s="230">
        <v>3.49</v>
      </c>
      <c r="AI37" s="230">
        <v>3.49</v>
      </c>
      <c r="AJ37" s="211">
        <f t="shared" si="49"/>
        <v>151.815</v>
      </c>
      <c r="AK37" s="211">
        <f t="shared" si="50"/>
        <v>151.815</v>
      </c>
      <c r="AL37" s="211">
        <f t="shared" si="51"/>
        <v>161.238</v>
      </c>
      <c r="AM37" s="211">
        <f t="shared" si="52"/>
        <v>161.238</v>
      </c>
      <c r="AN37" s="211">
        <f t="shared" si="53"/>
        <v>181.48</v>
      </c>
      <c r="AO37" s="295">
        <f t="shared" si="54"/>
        <v>807.58600000000001</v>
      </c>
      <c r="AP37" s="211">
        <f t="shared" si="55"/>
        <v>0</v>
      </c>
      <c r="AQ37" s="211">
        <f t="shared" si="56"/>
        <v>0</v>
      </c>
      <c r="AR37" s="211">
        <f t="shared" si="57"/>
        <v>0</v>
      </c>
      <c r="AS37" s="211">
        <f t="shared" si="58"/>
        <v>0</v>
      </c>
      <c r="AT37" s="211">
        <f t="shared" si="59"/>
        <v>0</v>
      </c>
      <c r="AU37" s="211">
        <f t="shared" si="60"/>
        <v>0</v>
      </c>
      <c r="AV37" s="312">
        <f t="shared" si="61"/>
        <v>0</v>
      </c>
      <c r="AW37" s="277">
        <f t="shared" si="62"/>
        <v>151.815</v>
      </c>
      <c r="AX37" s="277">
        <f t="shared" si="63"/>
        <v>151.815</v>
      </c>
      <c r="AY37" s="277">
        <f t="shared" si="64"/>
        <v>161.238</v>
      </c>
      <c r="AZ37" s="277">
        <f t="shared" si="65"/>
        <v>161.238</v>
      </c>
      <c r="BA37" s="277">
        <f t="shared" si="66"/>
        <v>181.48</v>
      </c>
      <c r="BB37" s="211">
        <f t="shared" si="67"/>
        <v>807.58600000000001</v>
      </c>
      <c r="BC37" s="289">
        <f t="shared" si="68"/>
        <v>1</v>
      </c>
      <c r="BD37" s="74"/>
      <c r="BE37" s="113" t="s">
        <v>963</v>
      </c>
      <c r="BF37" s="98" t="s">
        <v>0</v>
      </c>
      <c r="BG37" s="18" t="s">
        <v>11</v>
      </c>
      <c r="BH37" s="112"/>
      <c r="BI37" s="99">
        <f t="shared" si="69"/>
        <v>0</v>
      </c>
      <c r="BJ37" s="99">
        <v>0</v>
      </c>
      <c r="BK37" s="99">
        <f t="shared" si="70"/>
        <v>0</v>
      </c>
      <c r="BL37" s="99">
        <v>0</v>
      </c>
      <c r="BM37" s="100">
        <f t="shared" si="71"/>
        <v>0</v>
      </c>
      <c r="BO37" s="1" t="s">
        <v>966</v>
      </c>
      <c r="BQ37" s="1">
        <v>3.36</v>
      </c>
      <c r="CD37" s="9" t="s">
        <v>153</v>
      </c>
      <c r="CF37" s="9" t="s">
        <v>149</v>
      </c>
      <c r="CG37" s="9" t="s">
        <v>42</v>
      </c>
      <c r="CK37" s="9" t="s">
        <v>148</v>
      </c>
      <c r="CQ37" s="72">
        <f t="shared" si="72"/>
        <v>0</v>
      </c>
      <c r="CR37" s="72">
        <f t="shared" si="73"/>
        <v>151.815</v>
      </c>
      <c r="CS37" s="72">
        <f t="shared" si="74"/>
        <v>0</v>
      </c>
      <c r="CT37" s="72">
        <f t="shared" si="75"/>
        <v>0</v>
      </c>
      <c r="CU37" s="72">
        <f t="shared" si="76"/>
        <v>0</v>
      </c>
      <c r="CV37" s="9" t="s">
        <v>42</v>
      </c>
      <c r="CW37" s="101">
        <f t="shared" si="77"/>
        <v>151.815</v>
      </c>
      <c r="CX37" s="9" t="s">
        <v>153</v>
      </c>
      <c r="CY37" s="9" t="s">
        <v>290</v>
      </c>
    </row>
    <row r="38" spans="2:103" s="1" customFormat="1" ht="27.75" customHeight="1">
      <c r="B38" s="73"/>
      <c r="C38" s="93" t="s">
        <v>1105</v>
      </c>
      <c r="D38" s="93" t="s">
        <v>149</v>
      </c>
      <c r="E38" s="94" t="s">
        <v>476</v>
      </c>
      <c r="F38" s="498" t="s">
        <v>477</v>
      </c>
      <c r="G38" s="498"/>
      <c r="H38" s="498"/>
      <c r="I38" s="498"/>
      <c r="J38" s="95" t="s">
        <v>168</v>
      </c>
      <c r="K38" s="211">
        <v>0</v>
      </c>
      <c r="L38" s="211">
        <v>0</v>
      </c>
      <c r="M38" s="211">
        <v>29.65</v>
      </c>
      <c r="N38" s="211">
        <v>29.65</v>
      </c>
      <c r="O38" s="211">
        <v>17.71</v>
      </c>
      <c r="P38" s="306">
        <f t="shared" si="39"/>
        <v>77.009999999999991</v>
      </c>
      <c r="Q38" s="307">
        <v>0</v>
      </c>
      <c r="R38" s="211">
        <v>0</v>
      </c>
      <c r="S38" s="211">
        <v>0</v>
      </c>
      <c r="T38" s="211">
        <v>0</v>
      </c>
      <c r="U38" s="211">
        <v>0</v>
      </c>
      <c r="V38" s="220">
        <f t="shared" si="40"/>
        <v>0</v>
      </c>
      <c r="W38" s="289">
        <f t="shared" si="41"/>
        <v>0</v>
      </c>
      <c r="X38" s="307">
        <f t="shared" si="42"/>
        <v>0</v>
      </c>
      <c r="Y38" s="211">
        <f t="shared" si="43"/>
        <v>0</v>
      </c>
      <c r="Z38" s="211">
        <f t="shared" si="44"/>
        <v>29.65</v>
      </c>
      <c r="AA38" s="211">
        <f t="shared" si="45"/>
        <v>29.65</v>
      </c>
      <c r="AB38" s="211">
        <f t="shared" si="46"/>
        <v>17.71</v>
      </c>
      <c r="AC38" s="220">
        <f t="shared" si="47"/>
        <v>77.009999999999991</v>
      </c>
      <c r="AD38" s="289">
        <f t="shared" si="48"/>
        <v>1</v>
      </c>
      <c r="AE38" s="310">
        <v>3.06</v>
      </c>
      <c r="AF38" s="230">
        <v>3.06</v>
      </c>
      <c r="AG38" s="230">
        <v>3.06</v>
      </c>
      <c r="AH38" s="230">
        <v>3.06</v>
      </c>
      <c r="AI38" s="230">
        <v>3.06</v>
      </c>
      <c r="AJ38" s="211">
        <f t="shared" si="49"/>
        <v>0</v>
      </c>
      <c r="AK38" s="211">
        <f t="shared" si="50"/>
        <v>0</v>
      </c>
      <c r="AL38" s="211">
        <f t="shared" si="51"/>
        <v>90.728999999999999</v>
      </c>
      <c r="AM38" s="211">
        <f t="shared" si="52"/>
        <v>90.728999999999999</v>
      </c>
      <c r="AN38" s="211">
        <f t="shared" si="53"/>
        <v>54.192999999999998</v>
      </c>
      <c r="AO38" s="295">
        <f t="shared" si="54"/>
        <v>235.65100000000001</v>
      </c>
      <c r="AP38" s="211">
        <f t="shared" si="55"/>
        <v>0</v>
      </c>
      <c r="AQ38" s="211">
        <f t="shared" si="56"/>
        <v>0</v>
      </c>
      <c r="AR38" s="211">
        <f t="shared" si="57"/>
        <v>0</v>
      </c>
      <c r="AS38" s="211">
        <f t="shared" si="58"/>
        <v>0</v>
      </c>
      <c r="AT38" s="211">
        <f t="shared" si="59"/>
        <v>0</v>
      </c>
      <c r="AU38" s="211">
        <f t="shared" si="60"/>
        <v>0</v>
      </c>
      <c r="AV38" s="312">
        <f t="shared" si="61"/>
        <v>0</v>
      </c>
      <c r="AW38" s="277">
        <f t="shared" si="62"/>
        <v>0</v>
      </c>
      <c r="AX38" s="277">
        <f t="shared" si="63"/>
        <v>0</v>
      </c>
      <c r="AY38" s="277">
        <f t="shared" si="64"/>
        <v>90.728999999999999</v>
      </c>
      <c r="AZ38" s="277">
        <f t="shared" si="65"/>
        <v>90.728999999999999</v>
      </c>
      <c r="BA38" s="277">
        <f t="shared" si="66"/>
        <v>54.192999999999998</v>
      </c>
      <c r="BB38" s="211">
        <f t="shared" si="67"/>
        <v>235.65100000000001</v>
      </c>
      <c r="BC38" s="289">
        <f t="shared" si="68"/>
        <v>1</v>
      </c>
      <c r="BD38" s="74"/>
      <c r="BE38" s="113"/>
      <c r="BF38" s="98"/>
      <c r="BG38" s="18"/>
      <c r="BH38" s="123"/>
      <c r="BI38" s="99"/>
      <c r="BJ38" s="99"/>
      <c r="BK38" s="99"/>
      <c r="BL38" s="99"/>
      <c r="BM38" s="100"/>
      <c r="CD38" s="9"/>
      <c r="CF38" s="9"/>
      <c r="CG38" s="9"/>
      <c r="CK38" s="9"/>
      <c r="CQ38" s="72"/>
      <c r="CR38" s="72"/>
      <c r="CS38" s="72"/>
      <c r="CT38" s="72"/>
      <c r="CU38" s="72"/>
      <c r="CV38" s="9"/>
      <c r="CW38" s="101">
        <f t="shared" si="77"/>
        <v>0</v>
      </c>
      <c r="CX38" s="9"/>
      <c r="CY38" s="9"/>
    </row>
    <row r="39" spans="2:103" s="1" customFormat="1" ht="31.5" customHeight="1">
      <c r="B39" s="73"/>
      <c r="C39" s="93" t="s">
        <v>169</v>
      </c>
      <c r="D39" s="93" t="s">
        <v>149</v>
      </c>
      <c r="E39" s="94" t="s">
        <v>150</v>
      </c>
      <c r="F39" s="498" t="s">
        <v>151</v>
      </c>
      <c r="G39" s="498"/>
      <c r="H39" s="498"/>
      <c r="I39" s="498"/>
      <c r="J39" s="95" t="s">
        <v>152</v>
      </c>
      <c r="K39" s="211">
        <v>5.907</v>
      </c>
      <c r="L39" s="211">
        <v>5.907</v>
      </c>
      <c r="M39" s="211">
        <v>5.907</v>
      </c>
      <c r="N39" s="211">
        <v>5.907</v>
      </c>
      <c r="O39" s="211">
        <v>0</v>
      </c>
      <c r="P39" s="306">
        <f t="shared" si="39"/>
        <v>23.628</v>
      </c>
      <c r="Q39" s="307">
        <v>0</v>
      </c>
      <c r="R39" s="211">
        <v>2.1379999999999999</v>
      </c>
      <c r="S39" s="211">
        <v>0.61899999999999999</v>
      </c>
      <c r="T39" s="211">
        <v>0</v>
      </c>
      <c r="U39" s="211">
        <v>0</v>
      </c>
      <c r="V39" s="220">
        <f t="shared" si="40"/>
        <v>2.7569999999999997</v>
      </c>
      <c r="W39" s="289">
        <f t="shared" si="41"/>
        <v>0.11668359573387505</v>
      </c>
      <c r="X39" s="307">
        <f t="shared" si="42"/>
        <v>5.907</v>
      </c>
      <c r="Y39" s="211">
        <f t="shared" si="43"/>
        <v>3.7690000000000001</v>
      </c>
      <c r="Z39" s="211">
        <f t="shared" si="44"/>
        <v>5.2880000000000003</v>
      </c>
      <c r="AA39" s="211">
        <f t="shared" si="45"/>
        <v>5.907</v>
      </c>
      <c r="AB39" s="211">
        <f t="shared" si="46"/>
        <v>0</v>
      </c>
      <c r="AC39" s="220">
        <f t="shared" si="47"/>
        <v>20.871000000000002</v>
      </c>
      <c r="AD39" s="289">
        <f t="shared" si="48"/>
        <v>0.88331640426612501</v>
      </c>
      <c r="AE39" s="310">
        <v>52</v>
      </c>
      <c r="AF39" s="230">
        <v>52</v>
      </c>
      <c r="AG39" s="230">
        <v>52</v>
      </c>
      <c r="AH39" s="230">
        <v>52</v>
      </c>
      <c r="AI39" s="230">
        <v>52</v>
      </c>
      <c r="AJ39" s="211">
        <f t="shared" si="49"/>
        <v>307.16399999999999</v>
      </c>
      <c r="AK39" s="211">
        <f t="shared" si="50"/>
        <v>307.16399999999999</v>
      </c>
      <c r="AL39" s="211">
        <f t="shared" si="51"/>
        <v>307.16399999999999</v>
      </c>
      <c r="AM39" s="211">
        <f t="shared" si="52"/>
        <v>307.16399999999999</v>
      </c>
      <c r="AN39" s="211">
        <f t="shared" si="53"/>
        <v>0</v>
      </c>
      <c r="AO39" s="295">
        <f t="shared" si="54"/>
        <v>1228.6559999999999</v>
      </c>
      <c r="AP39" s="211">
        <f t="shared" si="55"/>
        <v>0</v>
      </c>
      <c r="AQ39" s="211">
        <f t="shared" si="56"/>
        <v>111.176</v>
      </c>
      <c r="AR39" s="211">
        <f t="shared" si="57"/>
        <v>32.188000000000002</v>
      </c>
      <c r="AS39" s="211">
        <f t="shared" si="58"/>
        <v>0</v>
      </c>
      <c r="AT39" s="211">
        <f t="shared" si="59"/>
        <v>0</v>
      </c>
      <c r="AU39" s="211">
        <f t="shared" si="60"/>
        <v>143.364</v>
      </c>
      <c r="AV39" s="312">
        <f t="shared" si="61"/>
        <v>0.11668359573387507</v>
      </c>
      <c r="AW39" s="277">
        <f t="shared" si="62"/>
        <v>307.16399999999999</v>
      </c>
      <c r="AX39" s="277">
        <f t="shared" si="63"/>
        <v>195.988</v>
      </c>
      <c r="AY39" s="277">
        <f t="shared" si="64"/>
        <v>274.976</v>
      </c>
      <c r="AZ39" s="277">
        <f t="shared" si="65"/>
        <v>307.16399999999999</v>
      </c>
      <c r="BA39" s="277">
        <f t="shared" si="66"/>
        <v>0</v>
      </c>
      <c r="BB39" s="211">
        <f t="shared" si="67"/>
        <v>1085.2919999999999</v>
      </c>
      <c r="BC39" s="289">
        <f t="shared" si="68"/>
        <v>0.8833164042661249</v>
      </c>
      <c r="BD39" s="74"/>
      <c r="BF39" s="98" t="s">
        <v>0</v>
      </c>
      <c r="BG39" s="18" t="s">
        <v>11</v>
      </c>
      <c r="BH39" s="16"/>
      <c r="BI39" s="99">
        <f>BH39*K39</f>
        <v>0</v>
      </c>
      <c r="BJ39" s="99">
        <v>0</v>
      </c>
      <c r="BK39" s="99">
        <f>BJ39*K39</f>
        <v>0</v>
      </c>
      <c r="BL39" s="99">
        <v>0</v>
      </c>
      <c r="BM39" s="100">
        <f>BL39*K39</f>
        <v>0</v>
      </c>
      <c r="BQ39" s="1">
        <v>50</v>
      </c>
      <c r="CD39" s="9" t="s">
        <v>153</v>
      </c>
      <c r="CF39" s="9" t="s">
        <v>149</v>
      </c>
      <c r="CG39" s="9" t="s">
        <v>42</v>
      </c>
      <c r="CK39" s="9" t="s">
        <v>148</v>
      </c>
      <c r="CQ39" s="72">
        <f>IF(BG39="základná",AJ39,0)</f>
        <v>0</v>
      </c>
      <c r="CR39" s="72">
        <f>IF(BG39="znížená",AJ39,0)</f>
        <v>307.16399999999999</v>
      </c>
      <c r="CS39" s="72">
        <f>IF(BG39="zákl. prenesená",AJ39,0)</f>
        <v>0</v>
      </c>
      <c r="CT39" s="72">
        <f>IF(BG39="zníž. prenesená",AJ39,0)</f>
        <v>0</v>
      </c>
      <c r="CU39" s="72">
        <f>IF(BG39="nulová",AJ39,0)</f>
        <v>0</v>
      </c>
      <c r="CV39" s="9" t="s">
        <v>42</v>
      </c>
      <c r="CW39" s="101">
        <f t="shared" si="77"/>
        <v>307.16399999999999</v>
      </c>
      <c r="CX39" s="9" t="s">
        <v>153</v>
      </c>
      <c r="CY39" s="9" t="s">
        <v>291</v>
      </c>
    </row>
    <row r="40" spans="2:103" s="1" customFormat="1" ht="31.5" customHeight="1">
      <c r="B40" s="73"/>
      <c r="C40" s="93" t="s">
        <v>195</v>
      </c>
      <c r="D40" s="93" t="s">
        <v>149</v>
      </c>
      <c r="E40" s="94" t="s">
        <v>154</v>
      </c>
      <c r="F40" s="498" t="s">
        <v>155</v>
      </c>
      <c r="G40" s="498"/>
      <c r="H40" s="498"/>
      <c r="I40" s="498"/>
      <c r="J40" s="95" t="s">
        <v>152</v>
      </c>
      <c r="K40" s="211">
        <v>5.907</v>
      </c>
      <c r="L40" s="211">
        <v>5.907</v>
      </c>
      <c r="M40" s="211">
        <v>5.907</v>
      </c>
      <c r="N40" s="211">
        <v>5.907</v>
      </c>
      <c r="O40" s="211">
        <v>3.4710000000000001</v>
      </c>
      <c r="P40" s="306">
        <f t="shared" si="39"/>
        <v>27.099</v>
      </c>
      <c r="Q40" s="307">
        <v>0</v>
      </c>
      <c r="R40" s="211">
        <f>R39</f>
        <v>2.1379999999999999</v>
      </c>
      <c r="S40" s="211">
        <f>S39</f>
        <v>0.61899999999999999</v>
      </c>
      <c r="T40" s="211">
        <v>0</v>
      </c>
      <c r="U40" s="211">
        <v>0.61799999999999999</v>
      </c>
      <c r="V40" s="220">
        <f t="shared" si="40"/>
        <v>3.3749999999999996</v>
      </c>
      <c r="W40" s="289">
        <f t="shared" si="41"/>
        <v>0.12454334108269677</v>
      </c>
      <c r="X40" s="307">
        <f t="shared" si="42"/>
        <v>5.907</v>
      </c>
      <c r="Y40" s="211">
        <f t="shared" si="43"/>
        <v>3.7690000000000001</v>
      </c>
      <c r="Z40" s="211">
        <f t="shared" si="44"/>
        <v>5.2880000000000003</v>
      </c>
      <c r="AA40" s="211">
        <f t="shared" si="45"/>
        <v>5.907</v>
      </c>
      <c r="AB40" s="211">
        <f t="shared" si="46"/>
        <v>2.8530000000000002</v>
      </c>
      <c r="AC40" s="220">
        <f t="shared" si="47"/>
        <v>23.724000000000004</v>
      </c>
      <c r="AD40" s="289">
        <f t="shared" si="48"/>
        <v>0.8754566589173034</v>
      </c>
      <c r="AE40" s="310">
        <v>36.4</v>
      </c>
      <c r="AF40" s="230">
        <v>36.4</v>
      </c>
      <c r="AG40" s="230">
        <v>36.4</v>
      </c>
      <c r="AH40" s="230">
        <v>36.4</v>
      </c>
      <c r="AI40" s="230">
        <v>36.4</v>
      </c>
      <c r="AJ40" s="211">
        <f t="shared" si="49"/>
        <v>215.01499999999999</v>
      </c>
      <c r="AK40" s="211">
        <f t="shared" si="50"/>
        <v>215.01499999999999</v>
      </c>
      <c r="AL40" s="211">
        <f t="shared" si="51"/>
        <v>215.01499999999999</v>
      </c>
      <c r="AM40" s="211">
        <f t="shared" si="52"/>
        <v>215.01499999999999</v>
      </c>
      <c r="AN40" s="211">
        <f t="shared" si="53"/>
        <v>126.34399999999999</v>
      </c>
      <c r="AO40" s="295">
        <f t="shared" si="54"/>
        <v>986.404</v>
      </c>
      <c r="AP40" s="211">
        <f t="shared" si="55"/>
        <v>0</v>
      </c>
      <c r="AQ40" s="211">
        <f t="shared" si="56"/>
        <v>77.822999999999993</v>
      </c>
      <c r="AR40" s="211">
        <f t="shared" si="57"/>
        <v>22.532</v>
      </c>
      <c r="AS40" s="211">
        <f t="shared" si="58"/>
        <v>0</v>
      </c>
      <c r="AT40" s="211">
        <f t="shared" si="59"/>
        <v>22.495000000000001</v>
      </c>
      <c r="AU40" s="211">
        <f t="shared" si="60"/>
        <v>122.85</v>
      </c>
      <c r="AV40" s="312">
        <f t="shared" si="61"/>
        <v>0.12454329057870811</v>
      </c>
      <c r="AW40" s="277">
        <f t="shared" si="62"/>
        <v>215.01499999999999</v>
      </c>
      <c r="AX40" s="277">
        <f t="shared" si="63"/>
        <v>137.19200000000001</v>
      </c>
      <c r="AY40" s="277">
        <f t="shared" si="64"/>
        <v>192.48299999999998</v>
      </c>
      <c r="AZ40" s="277">
        <f t="shared" si="65"/>
        <v>215.01499999999999</v>
      </c>
      <c r="BA40" s="277">
        <f t="shared" si="66"/>
        <v>103.84899999999999</v>
      </c>
      <c r="BB40" s="211">
        <f t="shared" si="67"/>
        <v>863.55399999999986</v>
      </c>
      <c r="BC40" s="289">
        <f t="shared" si="68"/>
        <v>0.87545670942129172</v>
      </c>
      <c r="BD40" s="74"/>
      <c r="BF40" s="98" t="s">
        <v>0</v>
      </c>
      <c r="BG40" s="18" t="s">
        <v>11</v>
      </c>
      <c r="BH40" s="16"/>
      <c r="BI40" s="99">
        <f>BH40*K40</f>
        <v>0</v>
      </c>
      <c r="BJ40" s="99">
        <v>0</v>
      </c>
      <c r="BK40" s="99">
        <f>BJ40*K40</f>
        <v>0</v>
      </c>
      <c r="BL40" s="99">
        <v>0</v>
      </c>
      <c r="BM40" s="100">
        <f>BL40*K40</f>
        <v>0</v>
      </c>
      <c r="BQ40" s="1">
        <v>35</v>
      </c>
      <c r="CD40" s="9" t="s">
        <v>153</v>
      </c>
      <c r="CF40" s="9" t="s">
        <v>149</v>
      </c>
      <c r="CG40" s="9" t="s">
        <v>42</v>
      </c>
      <c r="CK40" s="9" t="s">
        <v>148</v>
      </c>
      <c r="CQ40" s="72">
        <f>IF(BG40="základná",AJ40,0)</f>
        <v>0</v>
      </c>
      <c r="CR40" s="72">
        <f>IF(BG40="znížená",AJ40,0)</f>
        <v>215.01499999999999</v>
      </c>
      <c r="CS40" s="72">
        <f>IF(BG40="zákl. prenesená",AJ40,0)</f>
        <v>0</v>
      </c>
      <c r="CT40" s="72">
        <f>IF(BG40="zníž. prenesená",AJ40,0)</f>
        <v>0</v>
      </c>
      <c r="CU40" s="72">
        <f>IF(BG40="nulová",AJ40,0)</f>
        <v>0</v>
      </c>
      <c r="CV40" s="9" t="s">
        <v>42</v>
      </c>
      <c r="CW40" s="101">
        <f t="shared" si="77"/>
        <v>215.01499999999999</v>
      </c>
      <c r="CX40" s="9" t="s">
        <v>153</v>
      </c>
      <c r="CY40" s="9" t="s">
        <v>292</v>
      </c>
    </row>
    <row r="41" spans="2:103" s="1" customFormat="1" ht="31.5" customHeight="1">
      <c r="B41" s="73"/>
      <c r="C41" s="93" t="s">
        <v>199</v>
      </c>
      <c r="D41" s="93" t="s">
        <v>149</v>
      </c>
      <c r="E41" s="94" t="s">
        <v>157</v>
      </c>
      <c r="F41" s="498" t="s">
        <v>158</v>
      </c>
      <c r="G41" s="498"/>
      <c r="H41" s="498"/>
      <c r="I41" s="498"/>
      <c r="J41" s="95" t="s">
        <v>152</v>
      </c>
      <c r="K41" s="211">
        <v>53.162999999999997</v>
      </c>
      <c r="L41" s="211">
        <v>53.162999999999997</v>
      </c>
      <c r="M41" s="211">
        <v>53.162999999999997</v>
      </c>
      <c r="N41" s="211">
        <v>53.162999999999997</v>
      </c>
      <c r="O41" s="211">
        <v>31.239000000000001</v>
      </c>
      <c r="P41" s="306">
        <f t="shared" si="39"/>
        <v>243.89099999999999</v>
      </c>
      <c r="Q41" s="307">
        <v>0</v>
      </c>
      <c r="R41" s="211">
        <f>R40*10</f>
        <v>21.38</v>
      </c>
      <c r="S41" s="211">
        <f>S40*10</f>
        <v>6.1899999999999995</v>
      </c>
      <c r="T41" s="211">
        <v>0</v>
      </c>
      <c r="U41" s="211">
        <v>6.18</v>
      </c>
      <c r="V41" s="220">
        <f t="shared" si="40"/>
        <v>33.75</v>
      </c>
      <c r="W41" s="289">
        <f t="shared" si="41"/>
        <v>0.1383814900918853</v>
      </c>
      <c r="X41" s="307">
        <f t="shared" si="42"/>
        <v>53.162999999999997</v>
      </c>
      <c r="Y41" s="211">
        <f t="shared" si="43"/>
        <v>31.782999999999998</v>
      </c>
      <c r="Z41" s="211">
        <f t="shared" si="44"/>
        <v>46.972999999999999</v>
      </c>
      <c r="AA41" s="211">
        <f t="shared" si="45"/>
        <v>53.162999999999997</v>
      </c>
      <c r="AB41" s="211">
        <f t="shared" si="46"/>
        <v>25.059000000000001</v>
      </c>
      <c r="AC41" s="220">
        <f t="shared" si="47"/>
        <v>210.14099999999999</v>
      </c>
      <c r="AD41" s="289">
        <f t="shared" si="48"/>
        <v>0.86161850990811473</v>
      </c>
      <c r="AE41" s="310">
        <v>0.45</v>
      </c>
      <c r="AF41" s="230">
        <v>0.45</v>
      </c>
      <c r="AG41" s="230">
        <v>0.45</v>
      </c>
      <c r="AH41" s="230">
        <v>0.45</v>
      </c>
      <c r="AI41" s="230">
        <v>0.45</v>
      </c>
      <c r="AJ41" s="211">
        <f t="shared" si="49"/>
        <v>23.922999999999998</v>
      </c>
      <c r="AK41" s="211">
        <f t="shared" si="50"/>
        <v>23.922999999999998</v>
      </c>
      <c r="AL41" s="211">
        <f t="shared" si="51"/>
        <v>23.922999999999998</v>
      </c>
      <c r="AM41" s="211">
        <f t="shared" si="52"/>
        <v>23.922999999999998</v>
      </c>
      <c r="AN41" s="211">
        <f t="shared" si="53"/>
        <v>14.058</v>
      </c>
      <c r="AO41" s="295">
        <f t="shared" si="54"/>
        <v>109.75</v>
      </c>
      <c r="AP41" s="211">
        <f t="shared" si="55"/>
        <v>0</v>
      </c>
      <c r="AQ41" s="211">
        <f t="shared" si="56"/>
        <v>9.6210000000000004</v>
      </c>
      <c r="AR41" s="211">
        <f t="shared" si="57"/>
        <v>2.786</v>
      </c>
      <c r="AS41" s="211">
        <f t="shared" si="58"/>
        <v>0</v>
      </c>
      <c r="AT41" s="211">
        <f t="shared" si="59"/>
        <v>2.7810000000000001</v>
      </c>
      <c r="AU41" s="211">
        <f t="shared" si="60"/>
        <v>15.188000000000001</v>
      </c>
      <c r="AV41" s="312">
        <f t="shared" si="61"/>
        <v>0.13838724373576311</v>
      </c>
      <c r="AW41" s="277">
        <f t="shared" si="62"/>
        <v>23.922999999999998</v>
      </c>
      <c r="AX41" s="277">
        <f t="shared" si="63"/>
        <v>14.301999999999998</v>
      </c>
      <c r="AY41" s="277">
        <f t="shared" si="64"/>
        <v>21.136999999999997</v>
      </c>
      <c r="AZ41" s="277">
        <f t="shared" si="65"/>
        <v>23.922999999999998</v>
      </c>
      <c r="BA41" s="277">
        <f t="shared" si="66"/>
        <v>11.276999999999999</v>
      </c>
      <c r="BB41" s="211">
        <f t="shared" si="67"/>
        <v>94.561999999999998</v>
      </c>
      <c r="BC41" s="289">
        <f t="shared" si="68"/>
        <v>0.86161275626423683</v>
      </c>
      <c r="BD41" s="74"/>
      <c r="BF41" s="98" t="s">
        <v>0</v>
      </c>
      <c r="BG41" s="18" t="s">
        <v>11</v>
      </c>
      <c r="BH41" s="16"/>
      <c r="BI41" s="99">
        <f>BH41*K41</f>
        <v>0</v>
      </c>
      <c r="BJ41" s="99">
        <v>0</v>
      </c>
      <c r="BK41" s="99">
        <f>BJ41*K41</f>
        <v>0</v>
      </c>
      <c r="BL41" s="99">
        <v>0</v>
      </c>
      <c r="BM41" s="100">
        <f>BL41*K41</f>
        <v>0</v>
      </c>
      <c r="BQ41" s="1">
        <v>0.43</v>
      </c>
      <c r="CD41" s="9" t="s">
        <v>153</v>
      </c>
      <c r="CF41" s="9" t="s">
        <v>149</v>
      </c>
      <c r="CG41" s="9" t="s">
        <v>42</v>
      </c>
      <c r="CK41" s="9" t="s">
        <v>148</v>
      </c>
      <c r="CQ41" s="72">
        <f>IF(BG41="základná",AJ41,0)</f>
        <v>0</v>
      </c>
      <c r="CR41" s="72">
        <f>IF(BG41="znížená",AJ41,0)</f>
        <v>23.922999999999998</v>
      </c>
      <c r="CS41" s="72">
        <f>IF(BG41="zákl. prenesená",AJ41,0)</f>
        <v>0</v>
      </c>
      <c r="CT41" s="72">
        <f>IF(BG41="zníž. prenesená",AJ41,0)</f>
        <v>0</v>
      </c>
      <c r="CU41" s="72">
        <f>IF(BG41="nulová",AJ41,0)</f>
        <v>0</v>
      </c>
      <c r="CV41" s="9" t="s">
        <v>42</v>
      </c>
      <c r="CW41" s="101">
        <f t="shared" si="77"/>
        <v>23.922999999999998</v>
      </c>
      <c r="CX41" s="9" t="s">
        <v>153</v>
      </c>
      <c r="CY41" s="9" t="s">
        <v>293</v>
      </c>
    </row>
    <row r="42" spans="2:103" s="1" customFormat="1" ht="31.5" customHeight="1">
      <c r="B42" s="73"/>
      <c r="C42" s="93" t="s">
        <v>200</v>
      </c>
      <c r="D42" s="93" t="s">
        <v>149</v>
      </c>
      <c r="E42" s="94" t="s">
        <v>160</v>
      </c>
      <c r="F42" s="498" t="s">
        <v>161</v>
      </c>
      <c r="G42" s="498"/>
      <c r="H42" s="498"/>
      <c r="I42" s="498"/>
      <c r="J42" s="95" t="s">
        <v>152</v>
      </c>
      <c r="K42" s="211">
        <v>5.907</v>
      </c>
      <c r="L42" s="211">
        <v>5.907</v>
      </c>
      <c r="M42" s="211">
        <v>5.907</v>
      </c>
      <c r="N42" s="211">
        <v>5.907</v>
      </c>
      <c r="O42" s="211">
        <v>3.4710000000000001</v>
      </c>
      <c r="P42" s="306">
        <f t="shared" si="39"/>
        <v>27.099</v>
      </c>
      <c r="Q42" s="307">
        <v>0</v>
      </c>
      <c r="R42" s="211">
        <f>R39</f>
        <v>2.1379999999999999</v>
      </c>
      <c r="S42" s="211">
        <f>S39</f>
        <v>0.61899999999999999</v>
      </c>
      <c r="T42" s="211">
        <v>0</v>
      </c>
      <c r="U42" s="211">
        <v>0.61799999999999999</v>
      </c>
      <c r="V42" s="220">
        <f t="shared" si="40"/>
        <v>3.3749999999999996</v>
      </c>
      <c r="W42" s="289">
        <f t="shared" si="41"/>
        <v>0.12454334108269677</v>
      </c>
      <c r="X42" s="307">
        <f t="shared" si="42"/>
        <v>5.907</v>
      </c>
      <c r="Y42" s="211">
        <f t="shared" si="43"/>
        <v>3.7690000000000001</v>
      </c>
      <c r="Z42" s="211">
        <f t="shared" si="44"/>
        <v>5.2880000000000003</v>
      </c>
      <c r="AA42" s="211">
        <f t="shared" si="45"/>
        <v>5.907</v>
      </c>
      <c r="AB42" s="211">
        <f t="shared" si="46"/>
        <v>2.8530000000000002</v>
      </c>
      <c r="AC42" s="220">
        <f t="shared" si="47"/>
        <v>23.724000000000004</v>
      </c>
      <c r="AD42" s="289">
        <f t="shared" si="48"/>
        <v>0.8754566589173034</v>
      </c>
      <c r="AE42" s="310">
        <v>45.43</v>
      </c>
      <c r="AF42" s="230">
        <v>45.43</v>
      </c>
      <c r="AG42" s="230">
        <v>45.43</v>
      </c>
      <c r="AH42" s="230">
        <v>45.43</v>
      </c>
      <c r="AI42" s="230">
        <v>45.43</v>
      </c>
      <c r="AJ42" s="211">
        <f t="shared" si="49"/>
        <v>268.35500000000002</v>
      </c>
      <c r="AK42" s="211">
        <f t="shared" si="50"/>
        <v>268.35500000000002</v>
      </c>
      <c r="AL42" s="211">
        <f t="shared" si="51"/>
        <v>268.35500000000002</v>
      </c>
      <c r="AM42" s="211">
        <f t="shared" si="52"/>
        <v>268.35500000000002</v>
      </c>
      <c r="AN42" s="211">
        <f t="shared" si="53"/>
        <v>157.68799999999999</v>
      </c>
      <c r="AO42" s="295">
        <f t="shared" si="54"/>
        <v>1231.1080000000002</v>
      </c>
      <c r="AP42" s="211">
        <f t="shared" si="55"/>
        <v>0</v>
      </c>
      <c r="AQ42" s="211">
        <f t="shared" si="56"/>
        <v>97.129000000000005</v>
      </c>
      <c r="AR42" s="211">
        <f t="shared" si="57"/>
        <v>28.120999999999999</v>
      </c>
      <c r="AS42" s="211">
        <f t="shared" si="58"/>
        <v>0</v>
      </c>
      <c r="AT42" s="211">
        <f t="shared" si="59"/>
        <v>28.076000000000001</v>
      </c>
      <c r="AU42" s="211">
        <f t="shared" si="60"/>
        <v>153.32599999999999</v>
      </c>
      <c r="AV42" s="312">
        <f t="shared" si="61"/>
        <v>0.12454309451323521</v>
      </c>
      <c r="AW42" s="277">
        <f t="shared" si="62"/>
        <v>268.35500000000002</v>
      </c>
      <c r="AX42" s="277">
        <f t="shared" si="63"/>
        <v>171.226</v>
      </c>
      <c r="AY42" s="277">
        <f t="shared" si="64"/>
        <v>240.23400000000001</v>
      </c>
      <c r="AZ42" s="277">
        <f t="shared" si="65"/>
        <v>268.35500000000002</v>
      </c>
      <c r="BA42" s="277">
        <f t="shared" si="66"/>
        <v>129.61199999999999</v>
      </c>
      <c r="BB42" s="211">
        <f t="shared" si="67"/>
        <v>1077.7820000000002</v>
      </c>
      <c r="BC42" s="289">
        <f t="shared" si="68"/>
        <v>0.8754569054867648</v>
      </c>
      <c r="BD42" s="74"/>
      <c r="BF42" s="98" t="s">
        <v>0</v>
      </c>
      <c r="BG42" s="18" t="s">
        <v>11</v>
      </c>
      <c r="BH42" s="16"/>
      <c r="BI42" s="99">
        <f>BH42*K42</f>
        <v>0</v>
      </c>
      <c r="BJ42" s="99">
        <v>0</v>
      </c>
      <c r="BK42" s="99">
        <f>BJ42*K42</f>
        <v>0</v>
      </c>
      <c r="BL42" s="99">
        <v>0</v>
      </c>
      <c r="BM42" s="100">
        <f>BL42*K42</f>
        <v>0</v>
      </c>
      <c r="BQ42" s="1">
        <v>45.43</v>
      </c>
      <c r="CD42" s="9" t="s">
        <v>153</v>
      </c>
      <c r="CF42" s="9" t="s">
        <v>149</v>
      </c>
      <c r="CG42" s="9" t="s">
        <v>42</v>
      </c>
      <c r="CK42" s="9" t="s">
        <v>148</v>
      </c>
      <c r="CQ42" s="72">
        <f>IF(BG42="základná",AJ42,0)</f>
        <v>0</v>
      </c>
      <c r="CR42" s="72">
        <f>IF(BG42="znížená",AJ42,0)</f>
        <v>268.35500000000002</v>
      </c>
      <c r="CS42" s="72">
        <f>IF(BG42="zákl. prenesená",AJ42,0)</f>
        <v>0</v>
      </c>
      <c r="CT42" s="72">
        <f>IF(BG42="zníž. prenesená",AJ42,0)</f>
        <v>0</v>
      </c>
      <c r="CU42" s="72">
        <f>IF(BG42="nulová",AJ42,0)</f>
        <v>0</v>
      </c>
      <c r="CV42" s="9" t="s">
        <v>42</v>
      </c>
      <c r="CW42" s="101">
        <f t="shared" si="77"/>
        <v>268.35500000000002</v>
      </c>
      <c r="CX42" s="9" t="s">
        <v>153</v>
      </c>
      <c r="CY42" s="9" t="s">
        <v>294</v>
      </c>
    </row>
    <row r="43" spans="2:103" s="1" customFormat="1" ht="31.5" customHeight="1">
      <c r="B43" s="73"/>
      <c r="C43" s="83"/>
      <c r="D43" s="92" t="s">
        <v>129</v>
      </c>
      <c r="E43" s="92"/>
      <c r="F43" s="92"/>
      <c r="G43" s="92"/>
      <c r="H43" s="92"/>
      <c r="I43" s="92"/>
      <c r="J43" s="92"/>
      <c r="K43" s="219"/>
      <c r="L43" s="227"/>
      <c r="M43" s="227"/>
      <c r="N43" s="227"/>
      <c r="O43" s="227"/>
      <c r="P43" s="226"/>
      <c r="Q43" s="219"/>
      <c r="R43" s="227"/>
      <c r="S43" s="227"/>
      <c r="T43" s="227"/>
      <c r="U43" s="227"/>
      <c r="V43" s="226"/>
      <c r="W43" s="303"/>
      <c r="X43" s="219"/>
      <c r="Y43" s="227"/>
      <c r="Z43" s="227"/>
      <c r="AA43" s="227"/>
      <c r="AB43" s="227"/>
      <c r="AC43" s="226"/>
      <c r="AD43" s="303"/>
      <c r="AE43" s="232"/>
      <c r="AF43" s="232"/>
      <c r="AG43" s="232"/>
      <c r="AH43" s="232"/>
      <c r="AI43" s="232"/>
      <c r="AJ43" s="213">
        <f t="shared" ref="AJ43:BB43" si="78">AJ44</f>
        <v>0</v>
      </c>
      <c r="AK43" s="213">
        <f t="shared" si="78"/>
        <v>0</v>
      </c>
      <c r="AL43" s="213">
        <f t="shared" si="78"/>
        <v>267.21899999999999</v>
      </c>
      <c r="AM43" s="213">
        <f t="shared" si="78"/>
        <v>267.21899999999999</v>
      </c>
      <c r="AN43" s="213">
        <f t="shared" si="78"/>
        <v>69.873000000000005</v>
      </c>
      <c r="AO43" s="294">
        <f t="shared" si="78"/>
        <v>604.31100000000004</v>
      </c>
      <c r="AP43" s="213">
        <f t="shared" si="78"/>
        <v>0</v>
      </c>
      <c r="AQ43" s="213">
        <f t="shared" si="78"/>
        <v>0</v>
      </c>
      <c r="AR43" s="213">
        <f t="shared" si="78"/>
        <v>0</v>
      </c>
      <c r="AS43" s="213">
        <f t="shared" si="78"/>
        <v>0</v>
      </c>
      <c r="AT43" s="213">
        <f t="shared" si="78"/>
        <v>0</v>
      </c>
      <c r="AU43" s="213">
        <f t="shared" si="78"/>
        <v>0</v>
      </c>
      <c r="AV43" s="318"/>
      <c r="AW43" s="213">
        <f t="shared" si="78"/>
        <v>0</v>
      </c>
      <c r="AX43" s="213">
        <f t="shared" si="78"/>
        <v>0</v>
      </c>
      <c r="AY43" s="213">
        <f t="shared" si="78"/>
        <v>267.21899999999999</v>
      </c>
      <c r="AZ43" s="213">
        <f t="shared" si="78"/>
        <v>267.21899999999999</v>
      </c>
      <c r="BA43" s="213">
        <f t="shared" si="78"/>
        <v>69.873000000000005</v>
      </c>
      <c r="BB43" s="213">
        <f t="shared" si="78"/>
        <v>604.31100000000004</v>
      </c>
      <c r="BC43" s="318"/>
      <c r="BD43" s="74"/>
      <c r="BF43" s="164"/>
      <c r="BG43" s="18"/>
      <c r="BH43" s="123"/>
      <c r="BI43" s="99"/>
      <c r="BJ43" s="99"/>
      <c r="BK43" s="99"/>
      <c r="BL43" s="99"/>
      <c r="BM43" s="100"/>
      <c r="CD43" s="9"/>
      <c r="CF43" s="9"/>
      <c r="CG43" s="9"/>
      <c r="CK43" s="9"/>
      <c r="CQ43" s="72"/>
      <c r="CR43" s="72"/>
      <c r="CS43" s="72"/>
      <c r="CT43" s="72"/>
      <c r="CU43" s="72"/>
      <c r="CV43" s="9"/>
      <c r="CW43" s="101"/>
      <c r="CX43" s="9"/>
      <c r="CY43" s="9"/>
    </row>
    <row r="44" spans="2:103" s="1" customFormat="1" ht="31.5" customHeight="1">
      <c r="B44" s="73"/>
      <c r="C44" s="93" t="s">
        <v>208</v>
      </c>
      <c r="D44" s="93" t="s">
        <v>149</v>
      </c>
      <c r="E44" s="94" t="s">
        <v>163</v>
      </c>
      <c r="F44" s="498" t="s">
        <v>164</v>
      </c>
      <c r="G44" s="498"/>
      <c r="H44" s="498"/>
      <c r="I44" s="498"/>
      <c r="J44" s="95" t="s">
        <v>152</v>
      </c>
      <c r="K44" s="211">
        <v>0</v>
      </c>
      <c r="L44" s="211">
        <v>0</v>
      </c>
      <c r="M44" s="211">
        <v>26.327000000000002</v>
      </c>
      <c r="N44" s="231">
        <v>26.327000000000002</v>
      </c>
      <c r="O44" s="231">
        <v>6.8840000000000003</v>
      </c>
      <c r="P44" s="306">
        <f>SUM(K44:O44)</f>
        <v>59.538000000000004</v>
      </c>
      <c r="Q44" s="307">
        <v>0</v>
      </c>
      <c r="R44" s="211">
        <v>0</v>
      </c>
      <c r="S44" s="211">
        <v>0</v>
      </c>
      <c r="T44" s="231">
        <v>0</v>
      </c>
      <c r="U44" s="231">
        <v>0</v>
      </c>
      <c r="V44" s="220">
        <f>SUM(Q44:U44)</f>
        <v>0</v>
      </c>
      <c r="W44" s="289">
        <f>V44/P44</f>
        <v>0</v>
      </c>
      <c r="X44" s="307">
        <f t="shared" ref="X44:AB44" si="79">K44-Q44</f>
        <v>0</v>
      </c>
      <c r="Y44" s="211">
        <f t="shared" si="79"/>
        <v>0</v>
      </c>
      <c r="Z44" s="211">
        <f t="shared" si="79"/>
        <v>26.327000000000002</v>
      </c>
      <c r="AA44" s="231">
        <f t="shared" si="79"/>
        <v>26.327000000000002</v>
      </c>
      <c r="AB44" s="231">
        <f t="shared" si="79"/>
        <v>6.8840000000000003</v>
      </c>
      <c r="AC44" s="220">
        <f>SUM(X44:AB44)</f>
        <v>59.538000000000004</v>
      </c>
      <c r="AD44" s="289">
        <f>AC44/P44</f>
        <v>1</v>
      </c>
      <c r="AE44" s="310">
        <v>10.15</v>
      </c>
      <c r="AF44" s="230">
        <v>10.15</v>
      </c>
      <c r="AG44" s="230">
        <v>10.15</v>
      </c>
      <c r="AH44" s="230">
        <v>10.15</v>
      </c>
      <c r="AI44" s="230">
        <v>10.15</v>
      </c>
      <c r="AJ44" s="211">
        <f>ROUND(AE44*K44,3)</f>
        <v>0</v>
      </c>
      <c r="AK44" s="211">
        <f>ROUND(AE44*L44,3)</f>
        <v>0</v>
      </c>
      <c r="AL44" s="211">
        <f>ROUND(AE44*M44,3)</f>
        <v>267.21899999999999</v>
      </c>
      <c r="AM44" s="211">
        <f>ROUND(AE44*N44,3)</f>
        <v>267.21899999999999</v>
      </c>
      <c r="AN44" s="211">
        <f>ROUND(AE44*O44,3)</f>
        <v>69.873000000000005</v>
      </c>
      <c r="AO44" s="295">
        <f>AJ44+AK44+AL44+AM44+AN44</f>
        <v>604.31100000000004</v>
      </c>
      <c r="AP44" s="211">
        <f t="shared" ref="AP44" si="80">ROUND(AE44*Q44,3)</f>
        <v>0</v>
      </c>
      <c r="AQ44" s="211">
        <f t="shared" ref="AQ44" si="81">ROUND(AF44*R44,3)</f>
        <v>0</v>
      </c>
      <c r="AR44" s="211">
        <f t="shared" ref="AR44" si="82">ROUND(AG44*S44,3)</f>
        <v>0</v>
      </c>
      <c r="AS44" s="211">
        <f t="shared" ref="AS44" si="83">ROUND(AH44*T44,3)</f>
        <v>0</v>
      </c>
      <c r="AT44" s="211">
        <f t="shared" ref="AT44" si="84">ROUND(AI44*U44,3)</f>
        <v>0</v>
      </c>
      <c r="AU44" s="211">
        <f>AP44+AQ44+AR44+AS44+AT44</f>
        <v>0</v>
      </c>
      <c r="AV44" s="312">
        <f t="shared" ref="AV44" si="85">AU44/AO44</f>
        <v>0</v>
      </c>
      <c r="AW44" s="277">
        <f t="shared" ref="AW44:BA44" si="86">AJ44-AP44</f>
        <v>0</v>
      </c>
      <c r="AX44" s="277">
        <f t="shared" si="86"/>
        <v>0</v>
      </c>
      <c r="AY44" s="277">
        <f t="shared" si="86"/>
        <v>267.21899999999999</v>
      </c>
      <c r="AZ44" s="277">
        <f t="shared" si="86"/>
        <v>267.21899999999999</v>
      </c>
      <c r="BA44" s="277">
        <f t="shared" si="86"/>
        <v>69.873000000000005</v>
      </c>
      <c r="BB44" s="211">
        <f>AW44+AX44+AY44+AZ44+BA44</f>
        <v>604.31100000000004</v>
      </c>
      <c r="BC44" s="289">
        <f>BB44/AO44</f>
        <v>1</v>
      </c>
      <c r="BD44" s="74"/>
      <c r="BF44" s="164"/>
      <c r="BG44" s="18"/>
      <c r="BH44" s="123"/>
      <c r="BI44" s="99"/>
      <c r="BJ44" s="99"/>
      <c r="BK44" s="99"/>
      <c r="BL44" s="99"/>
      <c r="BM44" s="100"/>
      <c r="CD44" s="9"/>
      <c r="CF44" s="9"/>
      <c r="CG44" s="9"/>
      <c r="CK44" s="9"/>
      <c r="CQ44" s="72"/>
      <c r="CR44" s="72"/>
      <c r="CS44" s="72"/>
      <c r="CT44" s="72"/>
      <c r="CU44" s="72"/>
      <c r="CV44" s="9"/>
      <c r="CW44" s="101"/>
      <c r="CX44" s="9"/>
      <c r="CY44" s="9"/>
    </row>
    <row r="45" spans="2:103" s="238" customFormat="1" ht="37.35" customHeight="1">
      <c r="B45" s="235"/>
      <c r="C45" s="384"/>
      <c r="D45" s="385" t="s">
        <v>130</v>
      </c>
      <c r="E45" s="385"/>
      <c r="F45" s="385"/>
      <c r="G45" s="385"/>
      <c r="H45" s="385"/>
      <c r="I45" s="385"/>
      <c r="J45" s="385"/>
      <c r="K45" s="386"/>
      <c r="L45" s="386"/>
      <c r="M45" s="386"/>
      <c r="N45" s="386"/>
      <c r="O45" s="386"/>
      <c r="P45" s="387"/>
      <c r="Q45" s="386"/>
      <c r="R45" s="386"/>
      <c r="S45" s="386"/>
      <c r="T45" s="386"/>
      <c r="U45" s="386"/>
      <c r="V45" s="387"/>
      <c r="W45" s="388"/>
      <c r="X45" s="386"/>
      <c r="Y45" s="386"/>
      <c r="Z45" s="386"/>
      <c r="AA45" s="386"/>
      <c r="AB45" s="386"/>
      <c r="AC45" s="387"/>
      <c r="AD45" s="388"/>
      <c r="AE45" s="386"/>
      <c r="AF45" s="386"/>
      <c r="AG45" s="386"/>
      <c r="AH45" s="386"/>
      <c r="AI45" s="386"/>
      <c r="AJ45" s="389">
        <f t="shared" ref="AJ45:AO45" si="87">AJ46+AJ51+AJ55+AJ60</f>
        <v>5255.1549999999997</v>
      </c>
      <c r="AK45" s="389">
        <f t="shared" si="87"/>
        <v>5255.1549999999997</v>
      </c>
      <c r="AL45" s="389">
        <f t="shared" si="87"/>
        <v>9109.5460000000003</v>
      </c>
      <c r="AM45" s="389">
        <f t="shared" si="87"/>
        <v>9267.8460000000014</v>
      </c>
      <c r="AN45" s="389">
        <f t="shared" si="87"/>
        <v>3058.8810000000003</v>
      </c>
      <c r="AO45" s="390">
        <f t="shared" si="87"/>
        <v>31946.582999999999</v>
      </c>
      <c r="AP45" s="391">
        <f t="shared" ref="AP45:AU45" si="88">AP46+AP51+AP55+AP60</f>
        <v>0</v>
      </c>
      <c r="AQ45" s="391">
        <f t="shared" si="88"/>
        <v>1502.97</v>
      </c>
      <c r="AR45" s="391">
        <f t="shared" si="88"/>
        <v>629.46199999999999</v>
      </c>
      <c r="AS45" s="391">
        <f t="shared" si="88"/>
        <v>0</v>
      </c>
      <c r="AT45" s="391">
        <f t="shared" si="88"/>
        <v>628.19500000000005</v>
      </c>
      <c r="AU45" s="391">
        <f t="shared" si="88"/>
        <v>2760.627</v>
      </c>
      <c r="AV45" s="392"/>
      <c r="AW45" s="391">
        <f t="shared" ref="AW45:BB45" si="89">AW46+AW51+AW55+AW60</f>
        <v>5255.1549999999997</v>
      </c>
      <c r="AX45" s="391">
        <f t="shared" si="89"/>
        <v>3752.1850000000004</v>
      </c>
      <c r="AY45" s="391">
        <f t="shared" si="89"/>
        <v>8480.0839999999989</v>
      </c>
      <c r="AZ45" s="391">
        <f t="shared" si="89"/>
        <v>9267.8460000000014</v>
      </c>
      <c r="BA45" s="391">
        <f t="shared" si="89"/>
        <v>2430.6860000000001</v>
      </c>
      <c r="BB45" s="391">
        <f t="shared" si="89"/>
        <v>29185.955999999998</v>
      </c>
      <c r="BC45" s="319"/>
      <c r="BD45" s="237"/>
      <c r="BF45" s="239"/>
      <c r="BG45" s="236"/>
      <c r="BH45" s="236"/>
      <c r="BI45" s="240">
        <f>BI46+BI51+BI55+BI60</f>
        <v>0</v>
      </c>
      <c r="BJ45" s="236"/>
      <c r="BK45" s="240">
        <f>BK46+BK51+BK55+BK60</f>
        <v>0</v>
      </c>
      <c r="BL45" s="236"/>
      <c r="BM45" s="241">
        <f>BM46+BM51+BM55+BM60</f>
        <v>0</v>
      </c>
      <c r="CD45" s="242" t="s">
        <v>42</v>
      </c>
      <c r="CF45" s="243" t="s">
        <v>30</v>
      </c>
      <c r="CG45" s="243" t="s">
        <v>31</v>
      </c>
      <c r="CK45" s="242" t="s">
        <v>148</v>
      </c>
      <c r="CW45" s="244">
        <f>CW46+CW51+CW55+CW60</f>
        <v>5255.1549999999997</v>
      </c>
    </row>
    <row r="46" spans="2:103" s="7" customFormat="1" ht="19.899999999999999" customHeight="1">
      <c r="B46" s="82"/>
      <c r="C46" s="83"/>
      <c r="D46" s="92" t="s">
        <v>246</v>
      </c>
      <c r="E46" s="92"/>
      <c r="F46" s="92"/>
      <c r="G46" s="92"/>
      <c r="H46" s="92"/>
      <c r="I46" s="92"/>
      <c r="J46" s="92"/>
      <c r="K46" s="219"/>
      <c r="L46" s="219"/>
      <c r="M46" s="219"/>
      <c r="N46" s="219"/>
      <c r="O46" s="219"/>
      <c r="P46" s="222"/>
      <c r="Q46" s="219"/>
      <c r="R46" s="219"/>
      <c r="S46" s="219"/>
      <c r="T46" s="219"/>
      <c r="U46" s="219"/>
      <c r="V46" s="222"/>
      <c r="W46" s="286"/>
      <c r="X46" s="219"/>
      <c r="Y46" s="219"/>
      <c r="Z46" s="219"/>
      <c r="AA46" s="219"/>
      <c r="AB46" s="219"/>
      <c r="AC46" s="222"/>
      <c r="AD46" s="286"/>
      <c r="AE46" s="219"/>
      <c r="AF46" s="219"/>
      <c r="AG46" s="219"/>
      <c r="AH46" s="219"/>
      <c r="AI46" s="219"/>
      <c r="AJ46" s="213">
        <f t="shared" ref="AJ46:AO46" si="90">SUM(AJ47:AJ50)</f>
        <v>1527.0720000000001</v>
      </c>
      <c r="AK46" s="213">
        <f t="shared" si="90"/>
        <v>1527.0720000000001</v>
      </c>
      <c r="AL46" s="213">
        <f t="shared" si="90"/>
        <v>2831.3359999999998</v>
      </c>
      <c r="AM46" s="213">
        <f t="shared" si="90"/>
        <v>2819.4360000000001</v>
      </c>
      <c r="AN46" s="213">
        <f t="shared" si="90"/>
        <v>1046.5249999999999</v>
      </c>
      <c r="AO46" s="294">
        <f t="shared" si="90"/>
        <v>9751.4410000000007</v>
      </c>
      <c r="AP46" s="213">
        <f t="shared" ref="AP46:AU46" si="91">SUM(AP47:AP50)</f>
        <v>0</v>
      </c>
      <c r="AQ46" s="213">
        <f t="shared" si="91"/>
        <v>1502.97</v>
      </c>
      <c r="AR46" s="213">
        <f t="shared" si="91"/>
        <v>629.46199999999999</v>
      </c>
      <c r="AS46" s="213">
        <f t="shared" si="91"/>
        <v>0</v>
      </c>
      <c r="AT46" s="213">
        <f t="shared" si="91"/>
        <v>628.19500000000005</v>
      </c>
      <c r="AU46" s="213">
        <f t="shared" si="91"/>
        <v>2760.627</v>
      </c>
      <c r="AV46" s="317"/>
      <c r="AW46" s="213">
        <f t="shared" ref="AW46:BB46" si="92">SUM(AW47:AW50)</f>
        <v>1527.0720000000001</v>
      </c>
      <c r="AX46" s="213">
        <f t="shared" si="92"/>
        <v>24.102</v>
      </c>
      <c r="AY46" s="213">
        <f t="shared" si="92"/>
        <v>2201.8739999999993</v>
      </c>
      <c r="AZ46" s="213">
        <f t="shared" si="92"/>
        <v>2819.4360000000001</v>
      </c>
      <c r="BA46" s="213">
        <f t="shared" si="92"/>
        <v>418.32999999999993</v>
      </c>
      <c r="BB46" s="213">
        <f t="shared" si="92"/>
        <v>6990.8140000000003</v>
      </c>
      <c r="BC46" s="317"/>
      <c r="BD46" s="85"/>
      <c r="BF46" s="86"/>
      <c r="BG46" s="83"/>
      <c r="BH46" s="83"/>
      <c r="BI46" s="87">
        <f>SUM(BI47:BI50)</f>
        <v>0</v>
      </c>
      <c r="BJ46" s="83"/>
      <c r="BK46" s="87">
        <f>SUM(BK47:BK50)</f>
        <v>0</v>
      </c>
      <c r="BL46" s="83"/>
      <c r="BM46" s="88">
        <f>SUM(BM47:BM50)</f>
        <v>0</v>
      </c>
      <c r="CD46" s="89" t="s">
        <v>42</v>
      </c>
      <c r="CF46" s="90" t="s">
        <v>30</v>
      </c>
      <c r="CG46" s="90" t="s">
        <v>38</v>
      </c>
      <c r="CK46" s="89" t="s">
        <v>148</v>
      </c>
      <c r="CW46" s="91">
        <f>SUM(CW47:CW50)</f>
        <v>1527.0720000000001</v>
      </c>
    </row>
    <row r="47" spans="2:103" s="1" customFormat="1" ht="22.5" customHeight="1">
      <c r="B47" s="73"/>
      <c r="C47" s="93" t="s">
        <v>1</v>
      </c>
      <c r="D47" s="93" t="s">
        <v>149</v>
      </c>
      <c r="E47" s="94" t="s">
        <v>295</v>
      </c>
      <c r="F47" s="498" t="s">
        <v>296</v>
      </c>
      <c r="G47" s="498"/>
      <c r="H47" s="498"/>
      <c r="I47" s="498"/>
      <c r="J47" s="95" t="s">
        <v>168</v>
      </c>
      <c r="K47" s="211">
        <v>42.1</v>
      </c>
      <c r="L47" s="211">
        <v>42.1</v>
      </c>
      <c r="M47" s="211">
        <v>85.846000000000004</v>
      </c>
      <c r="N47" s="211">
        <v>85.846000000000004</v>
      </c>
      <c r="O47" s="211">
        <v>29.928000000000001</v>
      </c>
      <c r="P47" s="306">
        <f>SUM(K47:O47)</f>
        <v>285.82</v>
      </c>
      <c r="Q47" s="307">
        <v>0</v>
      </c>
      <c r="R47" s="211">
        <v>42.1</v>
      </c>
      <c r="S47" s="211">
        <v>17.399999999999999</v>
      </c>
      <c r="T47" s="211">
        <v>0</v>
      </c>
      <c r="U47" s="211">
        <v>17.364999999999998</v>
      </c>
      <c r="V47" s="220">
        <f>SUM(Q47:U47)</f>
        <v>76.864999999999995</v>
      </c>
      <c r="W47" s="289">
        <f t="shared" ref="W47:W50" si="93">V47/P47</f>
        <v>0.26892799664124273</v>
      </c>
      <c r="X47" s="307">
        <f t="shared" ref="X47:X50" si="94">K47-Q47</f>
        <v>42.1</v>
      </c>
      <c r="Y47" s="211">
        <f t="shared" ref="Y47:Y50" si="95">L47-R47</f>
        <v>0</v>
      </c>
      <c r="Z47" s="211">
        <f t="shared" ref="Z47:Z50" si="96">M47-S47</f>
        <v>68.445999999999998</v>
      </c>
      <c r="AA47" s="211">
        <f t="shared" ref="AA47:AA50" si="97">N47-T47</f>
        <v>85.846000000000004</v>
      </c>
      <c r="AB47" s="211">
        <f t="shared" ref="AB47:AB50" si="98">O47-U47</f>
        <v>12.563000000000002</v>
      </c>
      <c r="AC47" s="220">
        <f>SUM(X47:AB47)</f>
        <v>208.95499999999998</v>
      </c>
      <c r="AD47" s="289">
        <f>AC47/P47</f>
        <v>0.73107200335875722</v>
      </c>
      <c r="AE47" s="310">
        <v>30.93</v>
      </c>
      <c r="AF47" s="230">
        <v>30.93</v>
      </c>
      <c r="AG47" s="230">
        <v>30.93</v>
      </c>
      <c r="AH47" s="230">
        <v>30.93</v>
      </c>
      <c r="AI47" s="230">
        <v>30.93</v>
      </c>
      <c r="AJ47" s="211">
        <f>ROUND(AE47*K47,3)</f>
        <v>1302.153</v>
      </c>
      <c r="AK47" s="211">
        <f>ROUND(AE47*L47,3)</f>
        <v>1302.153</v>
      </c>
      <c r="AL47" s="211">
        <f>ROUND(AE47*M47,3)</f>
        <v>2655.2170000000001</v>
      </c>
      <c r="AM47" s="211">
        <f>ROUND(AE47*N47,3)</f>
        <v>2655.2170000000001</v>
      </c>
      <c r="AN47" s="211">
        <f>ROUND(AE47*O47,3)</f>
        <v>925.673</v>
      </c>
      <c r="AO47" s="295">
        <f>AJ47+AK47+AL47+AM47+AN47</f>
        <v>8840.4130000000005</v>
      </c>
      <c r="AP47" s="277">
        <f t="shared" ref="AP47:AP50" si="99">ROUND(AE47*Q47,3)</f>
        <v>0</v>
      </c>
      <c r="AQ47" s="211">
        <f t="shared" ref="AQ47:AQ50" si="100">ROUND(AF47*R47,3)</f>
        <v>1302.153</v>
      </c>
      <c r="AR47" s="211">
        <f t="shared" ref="AR47:AR50" si="101">ROUND(AG47*S47,3)</f>
        <v>538.18200000000002</v>
      </c>
      <c r="AS47" s="211">
        <f t="shared" ref="AS47:AS50" si="102">ROUND(AH47*T47,3)</f>
        <v>0</v>
      </c>
      <c r="AT47" s="211">
        <f t="shared" ref="AT47:AT50" si="103">ROUND(AI47*U47,3)</f>
        <v>537.09900000000005</v>
      </c>
      <c r="AU47" s="211">
        <f>AP47+AQ47+AR47+AS47+AT47</f>
        <v>2377.4340000000002</v>
      </c>
      <c r="AV47" s="312">
        <f t="shared" ref="AV47:AV50" si="104">AU47/AO47</f>
        <v>0.26892793357052436</v>
      </c>
      <c r="AW47" s="277">
        <f t="shared" ref="AW47:AW50" si="105">AJ47-AP47</f>
        <v>1302.153</v>
      </c>
      <c r="AX47" s="211">
        <f t="shared" ref="AX47:AX50" si="106">AK47-AQ47</f>
        <v>0</v>
      </c>
      <c r="AY47" s="211">
        <f t="shared" ref="AY47:AY50" si="107">AL47-AR47</f>
        <v>2117.0349999999999</v>
      </c>
      <c r="AZ47" s="211">
        <f t="shared" ref="AZ47:AZ50" si="108">AM47-AS47</f>
        <v>2655.2170000000001</v>
      </c>
      <c r="BA47" s="211">
        <f t="shared" ref="BA47:BA50" si="109">AN47-AT47</f>
        <v>388.57399999999996</v>
      </c>
      <c r="BB47" s="211">
        <f>AW47+AX47+AY47+AZ47+BA47</f>
        <v>6462.9790000000003</v>
      </c>
      <c r="BC47" s="289">
        <f t="shared" ref="BC47:BC50" si="110">BB47/AO47</f>
        <v>0.73107206642947564</v>
      </c>
      <c r="BD47" s="74"/>
      <c r="BE47" s="1" t="s">
        <v>973</v>
      </c>
      <c r="BF47" s="98" t="s">
        <v>0</v>
      </c>
      <c r="BG47" s="18" t="s">
        <v>11</v>
      </c>
      <c r="BH47" s="16"/>
      <c r="BI47" s="99">
        <f>BH47*K47</f>
        <v>0</v>
      </c>
      <c r="BJ47" s="99">
        <v>0</v>
      </c>
      <c r="BK47" s="99">
        <f>BJ47*K47</f>
        <v>0</v>
      </c>
      <c r="BL47" s="99">
        <v>0</v>
      </c>
      <c r="BM47" s="100">
        <f>BL47*K47</f>
        <v>0</v>
      </c>
      <c r="BO47" s="1" t="s">
        <v>974</v>
      </c>
      <c r="BQ47" s="1">
        <v>29.74</v>
      </c>
      <c r="CD47" s="9" t="s">
        <v>169</v>
      </c>
      <c r="CF47" s="9" t="s">
        <v>149</v>
      </c>
      <c r="CG47" s="9" t="s">
        <v>42</v>
      </c>
      <c r="CK47" s="9" t="s">
        <v>148</v>
      </c>
      <c r="CQ47" s="72">
        <f>IF(BG47="základná",AJ47,0)</f>
        <v>0</v>
      </c>
      <c r="CR47" s="72">
        <f>IF(BG47="znížená",AJ47,0)</f>
        <v>1302.153</v>
      </c>
      <c r="CS47" s="72">
        <f>IF(BG47="zákl. prenesená",AJ47,0)</f>
        <v>0</v>
      </c>
      <c r="CT47" s="72">
        <f>IF(BG47="zníž. prenesená",AJ47,0)</f>
        <v>0</v>
      </c>
      <c r="CU47" s="72">
        <f>IF(BG47="nulová",AJ47,0)</f>
        <v>0</v>
      </c>
      <c r="CV47" s="9" t="s">
        <v>42</v>
      </c>
      <c r="CW47" s="101">
        <f>ROUND(AE47*K47,3)</f>
        <v>1302.153</v>
      </c>
      <c r="CX47" s="9" t="s">
        <v>169</v>
      </c>
      <c r="CY47" s="9" t="s">
        <v>297</v>
      </c>
    </row>
    <row r="48" spans="2:103" s="1" customFormat="1" ht="44.25" customHeight="1">
      <c r="B48" s="73"/>
      <c r="C48" s="93" t="s">
        <v>205</v>
      </c>
      <c r="D48" s="93" t="s">
        <v>149</v>
      </c>
      <c r="E48" s="94" t="s">
        <v>298</v>
      </c>
      <c r="F48" s="498" t="s">
        <v>299</v>
      </c>
      <c r="G48" s="498"/>
      <c r="H48" s="498"/>
      <c r="I48" s="498"/>
      <c r="J48" s="95" t="s">
        <v>168</v>
      </c>
      <c r="K48" s="211">
        <v>42.1</v>
      </c>
      <c r="L48" s="211">
        <v>42.1</v>
      </c>
      <c r="M48" s="211">
        <v>29.65</v>
      </c>
      <c r="N48" s="211">
        <v>29.65</v>
      </c>
      <c r="O48" s="211">
        <v>17.71</v>
      </c>
      <c r="P48" s="306">
        <f>SUM(K48:O48)</f>
        <v>161.21</v>
      </c>
      <c r="Q48" s="307">
        <v>0</v>
      </c>
      <c r="R48" s="211">
        <v>42.1</v>
      </c>
      <c r="S48" s="211">
        <v>17.399999999999999</v>
      </c>
      <c r="T48" s="211">
        <v>0</v>
      </c>
      <c r="U48" s="211">
        <v>17.364999999999998</v>
      </c>
      <c r="V48" s="220">
        <f>SUM(Q48:U48)</f>
        <v>76.864999999999995</v>
      </c>
      <c r="W48" s="289">
        <f t="shared" si="93"/>
        <v>0.47680044662241788</v>
      </c>
      <c r="X48" s="307">
        <f t="shared" si="94"/>
        <v>42.1</v>
      </c>
      <c r="Y48" s="211">
        <f t="shared" si="95"/>
        <v>0</v>
      </c>
      <c r="Z48" s="211">
        <f t="shared" si="96"/>
        <v>12.25</v>
      </c>
      <c r="AA48" s="211">
        <f t="shared" si="97"/>
        <v>29.65</v>
      </c>
      <c r="AB48" s="211">
        <f t="shared" si="98"/>
        <v>0.34500000000000242</v>
      </c>
      <c r="AC48" s="220">
        <f>SUM(X48:AB48)</f>
        <v>84.344999999999999</v>
      </c>
      <c r="AD48" s="289">
        <f>AC48/P48</f>
        <v>0.52319955337758195</v>
      </c>
      <c r="AE48" s="310">
        <v>2.39</v>
      </c>
      <c r="AF48" s="230">
        <v>2.39</v>
      </c>
      <c r="AG48" s="230">
        <v>2.39</v>
      </c>
      <c r="AH48" s="230">
        <v>2.39</v>
      </c>
      <c r="AI48" s="230">
        <v>2.39</v>
      </c>
      <c r="AJ48" s="211">
        <f>ROUND(AE48*K48,3)</f>
        <v>100.619</v>
      </c>
      <c r="AK48" s="211">
        <f>ROUND(AE48*L48,3)</f>
        <v>100.619</v>
      </c>
      <c r="AL48" s="211">
        <f>ROUND(AE48*M48,3)</f>
        <v>70.864000000000004</v>
      </c>
      <c r="AM48" s="211">
        <f>ROUND(AE48*N48,3)</f>
        <v>70.864000000000004</v>
      </c>
      <c r="AN48" s="211">
        <f>ROUND(AE48*O48,3)</f>
        <v>42.326999999999998</v>
      </c>
      <c r="AO48" s="295">
        <f>AJ48+AK48+AL48+AM48+AN48</f>
        <v>385.29300000000001</v>
      </c>
      <c r="AP48" s="277">
        <f t="shared" si="99"/>
        <v>0</v>
      </c>
      <c r="AQ48" s="211">
        <f t="shared" si="100"/>
        <v>100.619</v>
      </c>
      <c r="AR48" s="211">
        <f t="shared" si="101"/>
        <v>41.585999999999999</v>
      </c>
      <c r="AS48" s="211">
        <f t="shared" si="102"/>
        <v>0</v>
      </c>
      <c r="AT48" s="211">
        <f t="shared" si="103"/>
        <v>41.502000000000002</v>
      </c>
      <c r="AU48" s="211">
        <f>AP48+AQ48+AR48+AS48+AT48</f>
        <v>183.70699999999999</v>
      </c>
      <c r="AV48" s="312">
        <f t="shared" si="104"/>
        <v>0.47679817697181104</v>
      </c>
      <c r="AW48" s="277">
        <f t="shared" si="105"/>
        <v>100.619</v>
      </c>
      <c r="AX48" s="211">
        <f t="shared" si="106"/>
        <v>0</v>
      </c>
      <c r="AY48" s="211">
        <f t="shared" si="107"/>
        <v>29.278000000000006</v>
      </c>
      <c r="AZ48" s="211">
        <f t="shared" si="108"/>
        <v>70.864000000000004</v>
      </c>
      <c r="BA48" s="211">
        <f t="shared" si="109"/>
        <v>0.82499999999999574</v>
      </c>
      <c r="BB48" s="211">
        <f>AW48+AX48+AY48+AZ48+BA48</f>
        <v>201.58599999999998</v>
      </c>
      <c r="BC48" s="289">
        <f t="shared" si="110"/>
        <v>0.52320182302818885</v>
      </c>
      <c r="BD48" s="74"/>
      <c r="BF48" s="98" t="s">
        <v>0</v>
      </c>
      <c r="BG48" s="18" t="s">
        <v>11</v>
      </c>
      <c r="BH48" s="16"/>
      <c r="BI48" s="99">
        <f>BH48*K48</f>
        <v>0</v>
      </c>
      <c r="BJ48" s="99">
        <v>0</v>
      </c>
      <c r="BK48" s="99">
        <f>BJ48*K48</f>
        <v>0</v>
      </c>
      <c r="BL48" s="99">
        <v>0</v>
      </c>
      <c r="BM48" s="100">
        <f>BL48*K48</f>
        <v>0</v>
      </c>
      <c r="BQ48" s="1">
        <v>2.2999999999999998</v>
      </c>
      <c r="CD48" s="9" t="s">
        <v>169</v>
      </c>
      <c r="CF48" s="9" t="s">
        <v>149</v>
      </c>
      <c r="CG48" s="9" t="s">
        <v>42</v>
      </c>
      <c r="CK48" s="9" t="s">
        <v>148</v>
      </c>
      <c r="CQ48" s="72">
        <f>IF(BG48="základná",AJ48,0)</f>
        <v>0</v>
      </c>
      <c r="CR48" s="72">
        <f>IF(BG48="znížená",AJ48,0)</f>
        <v>100.619</v>
      </c>
      <c r="CS48" s="72">
        <f>IF(BG48="zákl. prenesená",AJ48,0)</f>
        <v>0</v>
      </c>
      <c r="CT48" s="72">
        <f>IF(BG48="zníž. prenesená",AJ48,0)</f>
        <v>0</v>
      </c>
      <c r="CU48" s="72">
        <f>IF(BG48="nulová",AJ48,0)</f>
        <v>0</v>
      </c>
      <c r="CV48" s="9" t="s">
        <v>42</v>
      </c>
      <c r="CW48" s="101">
        <f>ROUND(AE48*K48,3)</f>
        <v>100.619</v>
      </c>
      <c r="CX48" s="9" t="s">
        <v>169</v>
      </c>
      <c r="CY48" s="9" t="s">
        <v>300</v>
      </c>
    </row>
    <row r="49" spans="2:103" s="1" customFormat="1" ht="31.5" customHeight="1">
      <c r="B49" s="73"/>
      <c r="C49" s="102" t="s">
        <v>208</v>
      </c>
      <c r="D49" s="102" t="s">
        <v>171</v>
      </c>
      <c r="E49" s="103" t="s">
        <v>301</v>
      </c>
      <c r="F49" s="499" t="s">
        <v>302</v>
      </c>
      <c r="G49" s="499"/>
      <c r="H49" s="499"/>
      <c r="I49" s="499"/>
      <c r="J49" s="104" t="s">
        <v>168</v>
      </c>
      <c r="K49" s="223">
        <v>42.1</v>
      </c>
      <c r="L49" s="223">
        <v>42.1</v>
      </c>
      <c r="M49" s="223">
        <v>34.097999999999999</v>
      </c>
      <c r="N49" s="223">
        <v>29.097999999999999</v>
      </c>
      <c r="O49" s="223">
        <v>26.367000000000001</v>
      </c>
      <c r="P49" s="306">
        <f>SUM(K49:O49)</f>
        <v>173.76300000000001</v>
      </c>
      <c r="Q49" s="308">
        <v>0</v>
      </c>
      <c r="R49" s="223">
        <v>42.1</v>
      </c>
      <c r="S49" s="223">
        <f>S48*1.2</f>
        <v>20.88</v>
      </c>
      <c r="T49" s="223">
        <v>0</v>
      </c>
      <c r="U49" s="223">
        <f>U48*1.2</f>
        <v>20.837999999999997</v>
      </c>
      <c r="V49" s="220">
        <f>SUM(Q49:U49)</f>
        <v>83.817999999999998</v>
      </c>
      <c r="W49" s="289">
        <f t="shared" si="93"/>
        <v>0.48236966442798523</v>
      </c>
      <c r="X49" s="308">
        <f t="shared" si="94"/>
        <v>42.1</v>
      </c>
      <c r="Y49" s="223">
        <f t="shared" si="95"/>
        <v>0</v>
      </c>
      <c r="Z49" s="223">
        <f t="shared" si="96"/>
        <v>13.218</v>
      </c>
      <c r="AA49" s="223">
        <f t="shared" si="97"/>
        <v>29.097999999999999</v>
      </c>
      <c r="AB49" s="223">
        <f t="shared" si="98"/>
        <v>5.5290000000000035</v>
      </c>
      <c r="AC49" s="220">
        <f>SUM(X49:AB49)</f>
        <v>89.944999999999993</v>
      </c>
      <c r="AD49" s="289">
        <f>AC49/P49</f>
        <v>0.51763033557201465</v>
      </c>
      <c r="AE49" s="311">
        <v>2.38</v>
      </c>
      <c r="AF49" s="233">
        <v>2.38</v>
      </c>
      <c r="AG49" s="233">
        <v>2.38</v>
      </c>
      <c r="AH49" s="233">
        <v>2.38</v>
      </c>
      <c r="AI49" s="233">
        <v>2.38</v>
      </c>
      <c r="AJ49" s="223">
        <f>ROUND(AE49*K49,3)</f>
        <v>100.19799999999999</v>
      </c>
      <c r="AK49" s="223">
        <f>ROUND(AE49*L49,3)</f>
        <v>100.19799999999999</v>
      </c>
      <c r="AL49" s="223">
        <f>ROUND(AE49*M49,3)</f>
        <v>81.153000000000006</v>
      </c>
      <c r="AM49" s="223">
        <f>ROUND(AE49*N49,3)</f>
        <v>69.253</v>
      </c>
      <c r="AN49" s="223">
        <f>ROUND(AE49*O49,3)</f>
        <v>62.753</v>
      </c>
      <c r="AO49" s="295">
        <f>AJ49+AK49+AL49+AM49+AN49</f>
        <v>413.55499999999995</v>
      </c>
      <c r="AP49" s="278">
        <f t="shared" si="99"/>
        <v>0</v>
      </c>
      <c r="AQ49" s="223">
        <f t="shared" si="100"/>
        <v>100.19799999999999</v>
      </c>
      <c r="AR49" s="223">
        <f t="shared" si="101"/>
        <v>49.694000000000003</v>
      </c>
      <c r="AS49" s="223">
        <f t="shared" si="102"/>
        <v>0</v>
      </c>
      <c r="AT49" s="223">
        <f t="shared" si="103"/>
        <v>49.594000000000001</v>
      </c>
      <c r="AU49" s="211">
        <f>AP49+AQ49+AR49+AS49+AT49</f>
        <v>199.48599999999999</v>
      </c>
      <c r="AV49" s="312">
        <f t="shared" si="104"/>
        <v>0.48236872967319949</v>
      </c>
      <c r="AW49" s="278">
        <f t="shared" si="105"/>
        <v>100.19799999999999</v>
      </c>
      <c r="AX49" s="223">
        <f t="shared" si="106"/>
        <v>0</v>
      </c>
      <c r="AY49" s="223">
        <f t="shared" si="107"/>
        <v>31.459000000000003</v>
      </c>
      <c r="AZ49" s="223">
        <f t="shared" si="108"/>
        <v>69.253</v>
      </c>
      <c r="BA49" s="223">
        <f t="shared" si="109"/>
        <v>13.158999999999999</v>
      </c>
      <c r="BB49" s="211">
        <f>AW49+AX49+AY49+AZ49+BA49</f>
        <v>214.06899999999996</v>
      </c>
      <c r="BC49" s="289">
        <f t="shared" si="110"/>
        <v>0.51763127032680056</v>
      </c>
      <c r="BD49" s="74"/>
      <c r="BE49" s="1" t="s">
        <v>967</v>
      </c>
      <c r="BF49" s="98" t="s">
        <v>0</v>
      </c>
      <c r="BG49" s="18" t="s">
        <v>11</v>
      </c>
      <c r="BH49" s="16"/>
      <c r="BI49" s="99">
        <f>BH49*K49</f>
        <v>0</v>
      </c>
      <c r="BJ49" s="99">
        <v>0</v>
      </c>
      <c r="BK49" s="99">
        <f>BJ49*K49</f>
        <v>0</v>
      </c>
      <c r="BL49" s="99">
        <v>0</v>
      </c>
      <c r="BM49" s="100">
        <f>BL49*K49</f>
        <v>0</v>
      </c>
      <c r="BO49" s="1" t="s">
        <v>968</v>
      </c>
      <c r="BQ49" s="1">
        <v>2.29</v>
      </c>
      <c r="CD49" s="9" t="s">
        <v>174</v>
      </c>
      <c r="CF49" s="9" t="s">
        <v>171</v>
      </c>
      <c r="CG49" s="9" t="s">
        <v>42</v>
      </c>
      <c r="CK49" s="9" t="s">
        <v>148</v>
      </c>
      <c r="CQ49" s="72">
        <f>IF(BG49="základná",AJ49,0)</f>
        <v>0</v>
      </c>
      <c r="CR49" s="72">
        <f>IF(BG49="znížená",AJ49,0)</f>
        <v>100.19799999999999</v>
      </c>
      <c r="CS49" s="72">
        <f>IF(BG49="zákl. prenesená",AJ49,0)</f>
        <v>0</v>
      </c>
      <c r="CT49" s="72">
        <f>IF(BG49="zníž. prenesená",AJ49,0)</f>
        <v>0</v>
      </c>
      <c r="CU49" s="72">
        <f>IF(BG49="nulová",AJ49,0)</f>
        <v>0</v>
      </c>
      <c r="CV49" s="9" t="s">
        <v>42</v>
      </c>
      <c r="CW49" s="101">
        <f>ROUND(AE49*K49,3)</f>
        <v>100.19799999999999</v>
      </c>
      <c r="CX49" s="9" t="s">
        <v>169</v>
      </c>
      <c r="CY49" s="9" t="s">
        <v>303</v>
      </c>
    </row>
    <row r="50" spans="2:103" s="1" customFormat="1" ht="31.5" customHeight="1">
      <c r="B50" s="73"/>
      <c r="C50" s="93" t="s">
        <v>211</v>
      </c>
      <c r="D50" s="93" t="s">
        <v>149</v>
      </c>
      <c r="E50" s="94" t="s">
        <v>304</v>
      </c>
      <c r="F50" s="498" t="s">
        <v>305</v>
      </c>
      <c r="G50" s="498"/>
      <c r="H50" s="498"/>
      <c r="I50" s="498"/>
      <c r="J50" s="95" t="s">
        <v>152</v>
      </c>
      <c r="K50" s="211">
        <v>0.51500000000000001</v>
      </c>
      <c r="L50" s="211">
        <v>0.51500000000000001</v>
      </c>
      <c r="M50" s="211">
        <v>0.51500000000000001</v>
      </c>
      <c r="N50" s="211">
        <v>0.51500000000000001</v>
      </c>
      <c r="O50" s="211">
        <v>0.33700000000000002</v>
      </c>
      <c r="P50" s="306">
        <f>SUM(K50:O50)</f>
        <v>2.3970000000000002</v>
      </c>
      <c r="Q50" s="307">
        <v>0</v>
      </c>
      <c r="R50" s="211">
        <v>0</v>
      </c>
      <c r="S50" s="211">
        <v>0</v>
      </c>
      <c r="T50" s="211">
        <v>0</v>
      </c>
      <c r="U50" s="211">
        <v>0</v>
      </c>
      <c r="V50" s="220">
        <f>SUM(Q50:U50)</f>
        <v>0</v>
      </c>
      <c r="W50" s="289">
        <f t="shared" si="93"/>
        <v>0</v>
      </c>
      <c r="X50" s="307">
        <f t="shared" si="94"/>
        <v>0.51500000000000001</v>
      </c>
      <c r="Y50" s="211">
        <f t="shared" si="95"/>
        <v>0.51500000000000001</v>
      </c>
      <c r="Z50" s="211">
        <f t="shared" si="96"/>
        <v>0.51500000000000001</v>
      </c>
      <c r="AA50" s="211">
        <f t="shared" si="97"/>
        <v>0.51500000000000001</v>
      </c>
      <c r="AB50" s="211">
        <f t="shared" si="98"/>
        <v>0.33700000000000002</v>
      </c>
      <c r="AC50" s="220">
        <f>SUM(X50:AB50)</f>
        <v>2.3970000000000002</v>
      </c>
      <c r="AD50" s="289">
        <f>AC50/P50</f>
        <v>1</v>
      </c>
      <c r="AE50" s="310">
        <v>46.8</v>
      </c>
      <c r="AF50" s="230">
        <v>46.8</v>
      </c>
      <c r="AG50" s="230">
        <v>46.8</v>
      </c>
      <c r="AH50" s="230">
        <v>46.8</v>
      </c>
      <c r="AI50" s="230">
        <v>46.8</v>
      </c>
      <c r="AJ50" s="211">
        <f>ROUND(AE50*K50,3)</f>
        <v>24.102</v>
      </c>
      <c r="AK50" s="211">
        <f>ROUND(AE50*L50,3)</f>
        <v>24.102</v>
      </c>
      <c r="AL50" s="211">
        <f>ROUND(AE50*M50,3)</f>
        <v>24.102</v>
      </c>
      <c r="AM50" s="211">
        <f>ROUND(AE50*N50,3)</f>
        <v>24.102</v>
      </c>
      <c r="AN50" s="211">
        <f>ROUND(AE50*O50,3)</f>
        <v>15.772</v>
      </c>
      <c r="AO50" s="295">
        <f>AJ50+AK50+AL50+AM50+AN50</f>
        <v>112.18</v>
      </c>
      <c r="AP50" s="277">
        <f t="shared" si="99"/>
        <v>0</v>
      </c>
      <c r="AQ50" s="211">
        <f t="shared" si="100"/>
        <v>0</v>
      </c>
      <c r="AR50" s="211">
        <f t="shared" si="101"/>
        <v>0</v>
      </c>
      <c r="AS50" s="211">
        <f t="shared" si="102"/>
        <v>0</v>
      </c>
      <c r="AT50" s="211">
        <f t="shared" si="103"/>
        <v>0</v>
      </c>
      <c r="AU50" s="211">
        <f>AP50+AQ50+AR50+AS50+AT50</f>
        <v>0</v>
      </c>
      <c r="AV50" s="312">
        <f t="shared" si="104"/>
        <v>0</v>
      </c>
      <c r="AW50" s="277">
        <f t="shared" si="105"/>
        <v>24.102</v>
      </c>
      <c r="AX50" s="211">
        <f t="shared" si="106"/>
        <v>24.102</v>
      </c>
      <c r="AY50" s="211">
        <f t="shared" si="107"/>
        <v>24.102</v>
      </c>
      <c r="AZ50" s="211">
        <f t="shared" si="108"/>
        <v>24.102</v>
      </c>
      <c r="BA50" s="211">
        <f t="shared" si="109"/>
        <v>15.772</v>
      </c>
      <c r="BB50" s="211">
        <f>AW50+AX50+AY50+AZ50+BA50</f>
        <v>112.18</v>
      </c>
      <c r="BC50" s="289">
        <f t="shared" si="110"/>
        <v>1</v>
      </c>
      <c r="BD50" s="74"/>
      <c r="BF50" s="98" t="s">
        <v>0</v>
      </c>
      <c r="BG50" s="18" t="s">
        <v>11</v>
      </c>
      <c r="BH50" s="16"/>
      <c r="BI50" s="99">
        <f>BH50*K50</f>
        <v>0</v>
      </c>
      <c r="BJ50" s="99">
        <v>0</v>
      </c>
      <c r="BK50" s="99">
        <f>BJ50*K50</f>
        <v>0</v>
      </c>
      <c r="BL50" s="99">
        <v>0</v>
      </c>
      <c r="BM50" s="100">
        <f>BL50*K50</f>
        <v>0</v>
      </c>
      <c r="BQ50" s="1">
        <v>45</v>
      </c>
      <c r="CD50" s="9" t="s">
        <v>169</v>
      </c>
      <c r="CF50" s="9" t="s">
        <v>149</v>
      </c>
      <c r="CG50" s="9" t="s">
        <v>42</v>
      </c>
      <c r="CK50" s="9" t="s">
        <v>148</v>
      </c>
      <c r="CQ50" s="72">
        <f>IF(BG50="základná",AJ50,0)</f>
        <v>0</v>
      </c>
      <c r="CR50" s="72">
        <f>IF(BG50="znížená",AJ50,0)</f>
        <v>24.102</v>
      </c>
      <c r="CS50" s="72">
        <f>IF(BG50="zákl. prenesená",AJ50,0)</f>
        <v>0</v>
      </c>
      <c r="CT50" s="72">
        <f>IF(BG50="zníž. prenesená",AJ50,0)</f>
        <v>0</v>
      </c>
      <c r="CU50" s="72">
        <f>IF(BG50="nulová",AJ50,0)</f>
        <v>0</v>
      </c>
      <c r="CV50" s="9" t="s">
        <v>42</v>
      </c>
      <c r="CW50" s="101">
        <f>ROUND(AE50*K50,3)</f>
        <v>24.102</v>
      </c>
      <c r="CX50" s="9" t="s">
        <v>169</v>
      </c>
      <c r="CY50" s="9" t="s">
        <v>306</v>
      </c>
    </row>
    <row r="51" spans="2:103" s="7" customFormat="1" ht="29.85" customHeight="1">
      <c r="B51" s="82"/>
      <c r="C51" s="83"/>
      <c r="D51" s="92" t="s">
        <v>132</v>
      </c>
      <c r="E51" s="92"/>
      <c r="F51" s="92"/>
      <c r="G51" s="92"/>
      <c r="H51" s="92"/>
      <c r="I51" s="92"/>
      <c r="J51" s="92"/>
      <c r="K51" s="219"/>
      <c r="L51" s="219"/>
      <c r="M51" s="219"/>
      <c r="N51" s="219"/>
      <c r="O51" s="219"/>
      <c r="P51" s="222"/>
      <c r="Q51" s="219"/>
      <c r="R51" s="219"/>
      <c r="S51" s="219"/>
      <c r="T51" s="219"/>
      <c r="U51" s="219"/>
      <c r="V51" s="222"/>
      <c r="W51" s="286"/>
      <c r="X51" s="219"/>
      <c r="Y51" s="219"/>
      <c r="Z51" s="219"/>
      <c r="AA51" s="219"/>
      <c r="AB51" s="219"/>
      <c r="AC51" s="222"/>
      <c r="AD51" s="286"/>
      <c r="AE51" s="219"/>
      <c r="AF51" s="219"/>
      <c r="AG51" s="219"/>
      <c r="AH51" s="219"/>
      <c r="AI51" s="219"/>
      <c r="AJ51" s="212">
        <f t="shared" ref="AJ51:AO51" si="111">SUM(AJ52:AJ54)</f>
        <v>895.98599999999999</v>
      </c>
      <c r="AK51" s="212">
        <f t="shared" si="111"/>
        <v>895.98599999999999</v>
      </c>
      <c r="AL51" s="212">
        <f t="shared" si="111"/>
        <v>643.75799999999992</v>
      </c>
      <c r="AM51" s="212">
        <f t="shared" si="111"/>
        <v>813.95799999999997</v>
      </c>
      <c r="AN51" s="212">
        <f t="shared" si="111"/>
        <v>384.51</v>
      </c>
      <c r="AO51" s="296">
        <f t="shared" si="111"/>
        <v>3634.1980000000003</v>
      </c>
      <c r="AP51" s="212">
        <f t="shared" ref="AP51:AU51" si="112">SUM(AP52:AP54)</f>
        <v>0</v>
      </c>
      <c r="AQ51" s="212">
        <f t="shared" si="112"/>
        <v>0</v>
      </c>
      <c r="AR51" s="212">
        <f t="shared" si="112"/>
        <v>0</v>
      </c>
      <c r="AS51" s="212">
        <f t="shared" si="112"/>
        <v>0</v>
      </c>
      <c r="AT51" s="212">
        <f t="shared" si="112"/>
        <v>0</v>
      </c>
      <c r="AU51" s="212">
        <f t="shared" si="112"/>
        <v>0</v>
      </c>
      <c r="AV51" s="317"/>
      <c r="AW51" s="212">
        <f t="shared" ref="AW51:BB51" si="113">SUM(AW52:AW54)</f>
        <v>895.98599999999999</v>
      </c>
      <c r="AX51" s="212">
        <f t="shared" si="113"/>
        <v>895.98599999999999</v>
      </c>
      <c r="AY51" s="212">
        <f t="shared" si="113"/>
        <v>643.75799999999992</v>
      </c>
      <c r="AZ51" s="212">
        <f t="shared" si="113"/>
        <v>813.95799999999997</v>
      </c>
      <c r="BA51" s="212">
        <f t="shared" si="113"/>
        <v>384.51</v>
      </c>
      <c r="BB51" s="212">
        <f t="shared" si="113"/>
        <v>3634.1980000000003</v>
      </c>
      <c r="BC51" s="317"/>
      <c r="BD51" s="85"/>
      <c r="BF51" s="86"/>
      <c r="BG51" s="83"/>
      <c r="BH51" s="83"/>
      <c r="BI51" s="87">
        <f>SUM(BI52:BI54)</f>
        <v>0</v>
      </c>
      <c r="BJ51" s="83"/>
      <c r="BK51" s="87">
        <f>SUM(BK52:BK54)</f>
        <v>0</v>
      </c>
      <c r="BL51" s="83"/>
      <c r="BM51" s="88">
        <f>SUM(BM52:BM54)</f>
        <v>0</v>
      </c>
      <c r="CD51" s="89" t="s">
        <v>42</v>
      </c>
      <c r="CF51" s="90" t="s">
        <v>30</v>
      </c>
      <c r="CG51" s="90" t="s">
        <v>38</v>
      </c>
      <c r="CK51" s="89" t="s">
        <v>148</v>
      </c>
      <c r="CW51" s="91">
        <f>SUM(CW52:CW54)</f>
        <v>895.98599999999999</v>
      </c>
    </row>
    <row r="52" spans="2:103" s="1" customFormat="1" ht="31.5" customHeight="1">
      <c r="B52" s="73"/>
      <c r="C52" s="93" t="s">
        <v>214</v>
      </c>
      <c r="D52" s="93" t="s">
        <v>149</v>
      </c>
      <c r="E52" s="94" t="s">
        <v>307</v>
      </c>
      <c r="F52" s="498" t="s">
        <v>308</v>
      </c>
      <c r="G52" s="498"/>
      <c r="H52" s="498"/>
      <c r="I52" s="498"/>
      <c r="J52" s="95" t="s">
        <v>168</v>
      </c>
      <c r="K52" s="211">
        <v>42.1</v>
      </c>
      <c r="L52" s="211">
        <v>42.1</v>
      </c>
      <c r="M52" s="211">
        <v>29.65</v>
      </c>
      <c r="N52" s="211">
        <v>29.65</v>
      </c>
      <c r="O52" s="211">
        <v>17.71</v>
      </c>
      <c r="P52" s="306">
        <f>SUM(K52:O52)</f>
        <v>161.21</v>
      </c>
      <c r="Q52" s="307">
        <v>0</v>
      </c>
      <c r="R52" s="211">
        <v>0</v>
      </c>
      <c r="S52" s="211">
        <v>0</v>
      </c>
      <c r="T52" s="211">
        <v>0</v>
      </c>
      <c r="U52" s="211">
        <v>0</v>
      </c>
      <c r="V52" s="220">
        <f>SUM(Q52:U52)</f>
        <v>0</v>
      </c>
      <c r="W52" s="289">
        <f t="shared" ref="W52:W54" si="114">V52/P52</f>
        <v>0</v>
      </c>
      <c r="X52" s="307">
        <f t="shared" ref="X52:X54" si="115">K52-Q52</f>
        <v>42.1</v>
      </c>
      <c r="Y52" s="211">
        <f t="shared" ref="Y52:Y54" si="116">L52-R52</f>
        <v>42.1</v>
      </c>
      <c r="Z52" s="211">
        <f t="shared" ref="Z52:Z54" si="117">M52-S52</f>
        <v>29.65</v>
      </c>
      <c r="AA52" s="211">
        <f t="shared" ref="AA52:AA54" si="118">N52-T52</f>
        <v>29.65</v>
      </c>
      <c r="AB52" s="211">
        <f t="shared" ref="AB52:AB54" si="119">O52-U52</f>
        <v>17.71</v>
      </c>
      <c r="AC52" s="220">
        <f>SUM(X52:AB52)</f>
        <v>161.21</v>
      </c>
      <c r="AD52" s="289">
        <f>AC52/P52</f>
        <v>1</v>
      </c>
      <c r="AE52" s="310">
        <v>4.05</v>
      </c>
      <c r="AF52" s="230">
        <v>4.05</v>
      </c>
      <c r="AG52" s="230">
        <v>4.05</v>
      </c>
      <c r="AH52" s="230">
        <v>4.05</v>
      </c>
      <c r="AI52" s="230">
        <v>4.05</v>
      </c>
      <c r="AJ52" s="211">
        <f>ROUND(AE52*K52,3)</f>
        <v>170.505</v>
      </c>
      <c r="AK52" s="211">
        <f>ROUND(AE52*L52,3)</f>
        <v>170.505</v>
      </c>
      <c r="AL52" s="211">
        <f>ROUND(AE52*M52,3)</f>
        <v>120.083</v>
      </c>
      <c r="AM52" s="211">
        <f>ROUND(AE52*N52,3)</f>
        <v>120.083</v>
      </c>
      <c r="AN52" s="211">
        <f>ROUND(AE52*O52,3)</f>
        <v>71.725999999999999</v>
      </c>
      <c r="AO52" s="295">
        <f>AJ52+AK52+AL52+AM52+AN52</f>
        <v>652.90199999999993</v>
      </c>
      <c r="AP52" s="277">
        <f t="shared" ref="AP52:AP54" si="120">ROUND(AE52*Q52,3)</f>
        <v>0</v>
      </c>
      <c r="AQ52" s="211">
        <f t="shared" ref="AQ52:AQ54" si="121">ROUND(AF52*R52,3)</f>
        <v>0</v>
      </c>
      <c r="AR52" s="211">
        <f t="shared" ref="AR52:AR54" si="122">ROUND(AG52*S52,3)</f>
        <v>0</v>
      </c>
      <c r="AS52" s="211">
        <f t="shared" ref="AS52:AS54" si="123">ROUND(AH52*T52,3)</f>
        <v>0</v>
      </c>
      <c r="AT52" s="211">
        <f t="shared" ref="AT52:AT54" si="124">ROUND(AI52*U52,3)</f>
        <v>0</v>
      </c>
      <c r="AU52" s="211">
        <f>AP52+AQ52+AR52+AS52+AT52</f>
        <v>0</v>
      </c>
      <c r="AV52" s="312">
        <f t="shared" ref="AV52:AV54" si="125">AU52/AO52</f>
        <v>0</v>
      </c>
      <c r="AW52" s="277">
        <f t="shared" ref="AW52:AW54" si="126">AJ52-AP52</f>
        <v>170.505</v>
      </c>
      <c r="AX52" s="211">
        <f t="shared" ref="AX52:AX54" si="127">AK52-AQ52</f>
        <v>170.505</v>
      </c>
      <c r="AY52" s="211">
        <f t="shared" ref="AY52:AY54" si="128">AL52-AR52</f>
        <v>120.083</v>
      </c>
      <c r="AZ52" s="211">
        <f t="shared" ref="AZ52:AZ54" si="129">AM52-AS52</f>
        <v>120.083</v>
      </c>
      <c r="BA52" s="211">
        <f t="shared" ref="BA52:BA54" si="130">AN52-AT52</f>
        <v>71.725999999999999</v>
      </c>
      <c r="BB52" s="211">
        <f>AW52+AX52+AY52+AZ52+BA52</f>
        <v>652.90199999999993</v>
      </c>
      <c r="BC52" s="289">
        <f t="shared" ref="BC52:BC54" si="131">BB52/AO52</f>
        <v>1</v>
      </c>
      <c r="BD52" s="74"/>
      <c r="BF52" s="98" t="s">
        <v>0</v>
      </c>
      <c r="BG52" s="18" t="s">
        <v>11</v>
      </c>
      <c r="BH52" s="16"/>
      <c r="BI52" s="99">
        <f>BH52*K52</f>
        <v>0</v>
      </c>
      <c r="BJ52" s="99">
        <v>0</v>
      </c>
      <c r="BK52" s="99">
        <f>BJ52*K52</f>
        <v>0</v>
      </c>
      <c r="BL52" s="99">
        <v>0</v>
      </c>
      <c r="BM52" s="100">
        <f>BL52*K52</f>
        <v>0</v>
      </c>
      <c r="BQ52" s="1">
        <v>3.89</v>
      </c>
      <c r="CD52" s="9" t="s">
        <v>169</v>
      </c>
      <c r="CF52" s="9" t="s">
        <v>149</v>
      </c>
      <c r="CG52" s="9" t="s">
        <v>42</v>
      </c>
      <c r="CK52" s="9" t="s">
        <v>148</v>
      </c>
      <c r="CQ52" s="72">
        <f>IF(BG52="základná",AJ52,0)</f>
        <v>0</v>
      </c>
      <c r="CR52" s="72">
        <f>IF(BG52="znížená",AJ52,0)</f>
        <v>170.505</v>
      </c>
      <c r="CS52" s="72">
        <f>IF(BG52="zákl. prenesená",AJ52,0)</f>
        <v>0</v>
      </c>
      <c r="CT52" s="72">
        <f>IF(BG52="zníž. prenesená",AJ52,0)</f>
        <v>0</v>
      </c>
      <c r="CU52" s="72">
        <f>IF(BG52="nulová",AJ52,0)</f>
        <v>0</v>
      </c>
      <c r="CV52" s="9" t="s">
        <v>42</v>
      </c>
      <c r="CW52" s="101">
        <f>ROUND(AE52*K52,3)</f>
        <v>170.505</v>
      </c>
      <c r="CX52" s="9" t="s">
        <v>169</v>
      </c>
      <c r="CY52" s="9" t="s">
        <v>309</v>
      </c>
    </row>
    <row r="53" spans="2:103" s="1" customFormat="1" ht="31.5" customHeight="1">
      <c r="B53" s="73"/>
      <c r="C53" s="102" t="s">
        <v>217</v>
      </c>
      <c r="D53" s="102" t="s">
        <v>171</v>
      </c>
      <c r="E53" s="103" t="s">
        <v>310</v>
      </c>
      <c r="F53" s="499" t="s">
        <v>311</v>
      </c>
      <c r="G53" s="499"/>
      <c r="H53" s="499"/>
      <c r="I53" s="499"/>
      <c r="J53" s="104" t="s">
        <v>168</v>
      </c>
      <c r="K53" s="223">
        <v>42.1</v>
      </c>
      <c r="L53" s="223">
        <v>42.1</v>
      </c>
      <c r="M53" s="223">
        <v>30.242999999999999</v>
      </c>
      <c r="N53" s="223">
        <v>40.243000000000002</v>
      </c>
      <c r="O53" s="223">
        <v>18.064</v>
      </c>
      <c r="P53" s="306">
        <f>SUM(K53:O53)</f>
        <v>172.75</v>
      </c>
      <c r="Q53" s="308">
        <v>0</v>
      </c>
      <c r="R53" s="223">
        <v>0</v>
      </c>
      <c r="S53" s="223">
        <v>0</v>
      </c>
      <c r="T53" s="223">
        <v>0</v>
      </c>
      <c r="U53" s="223">
        <v>0</v>
      </c>
      <c r="V53" s="220">
        <f>SUM(Q53:U53)</f>
        <v>0</v>
      </c>
      <c r="W53" s="289">
        <f t="shared" si="114"/>
        <v>0</v>
      </c>
      <c r="X53" s="308">
        <f t="shared" si="115"/>
        <v>42.1</v>
      </c>
      <c r="Y53" s="223">
        <f t="shared" si="116"/>
        <v>42.1</v>
      </c>
      <c r="Z53" s="223">
        <f t="shared" si="117"/>
        <v>30.242999999999999</v>
      </c>
      <c r="AA53" s="223">
        <f t="shared" si="118"/>
        <v>40.243000000000002</v>
      </c>
      <c r="AB53" s="223">
        <f t="shared" si="119"/>
        <v>18.064</v>
      </c>
      <c r="AC53" s="220">
        <f>SUM(X53:AB53)</f>
        <v>172.75</v>
      </c>
      <c r="AD53" s="289">
        <f>AC53/P53</f>
        <v>1</v>
      </c>
      <c r="AE53" s="311">
        <v>17.02</v>
      </c>
      <c r="AF53" s="233">
        <v>17.02</v>
      </c>
      <c r="AG53" s="233">
        <v>17.02</v>
      </c>
      <c r="AH53" s="233">
        <v>17.02</v>
      </c>
      <c r="AI53" s="233">
        <v>17.02</v>
      </c>
      <c r="AJ53" s="223">
        <f>ROUND(AE53*K53,3)</f>
        <v>716.54200000000003</v>
      </c>
      <c r="AK53" s="223">
        <f>ROUND(AE53*L53,3)</f>
        <v>716.54200000000003</v>
      </c>
      <c r="AL53" s="223">
        <f>ROUND(AE53*M53,3)</f>
        <v>514.73599999999999</v>
      </c>
      <c r="AM53" s="223">
        <f>ROUND(AE53*N53,3)</f>
        <v>684.93600000000004</v>
      </c>
      <c r="AN53" s="223">
        <f>ROUND(AE53*O53,3)</f>
        <v>307.44900000000001</v>
      </c>
      <c r="AO53" s="295">
        <f>AJ53+AK53+AL53+AM53+AN53</f>
        <v>2940.2050000000004</v>
      </c>
      <c r="AP53" s="278">
        <f t="shared" si="120"/>
        <v>0</v>
      </c>
      <c r="AQ53" s="223">
        <f t="shared" si="121"/>
        <v>0</v>
      </c>
      <c r="AR53" s="223">
        <f t="shared" si="122"/>
        <v>0</v>
      </c>
      <c r="AS53" s="223">
        <f t="shared" si="123"/>
        <v>0</v>
      </c>
      <c r="AT53" s="223">
        <f t="shared" si="124"/>
        <v>0</v>
      </c>
      <c r="AU53" s="211">
        <f>AP53+AQ53+AR53+AS53+AT53</f>
        <v>0</v>
      </c>
      <c r="AV53" s="312">
        <f t="shared" si="125"/>
        <v>0</v>
      </c>
      <c r="AW53" s="278">
        <f t="shared" si="126"/>
        <v>716.54200000000003</v>
      </c>
      <c r="AX53" s="223">
        <f t="shared" si="127"/>
        <v>716.54200000000003</v>
      </c>
      <c r="AY53" s="223">
        <f t="shared" si="128"/>
        <v>514.73599999999999</v>
      </c>
      <c r="AZ53" s="223">
        <f t="shared" si="129"/>
        <v>684.93600000000004</v>
      </c>
      <c r="BA53" s="223">
        <f t="shared" si="130"/>
        <v>307.44900000000001</v>
      </c>
      <c r="BB53" s="211">
        <f>AW53+AX53+AY53+AZ53+BA53</f>
        <v>2940.2050000000004</v>
      </c>
      <c r="BC53" s="289">
        <f t="shared" si="131"/>
        <v>1</v>
      </c>
      <c r="BD53" s="74"/>
      <c r="BE53" s="1" t="s">
        <v>953</v>
      </c>
      <c r="BF53" s="98" t="s">
        <v>0</v>
      </c>
      <c r="BG53" s="18" t="s">
        <v>11</v>
      </c>
      <c r="BH53" s="16"/>
      <c r="BI53" s="99">
        <f>BH53*K53</f>
        <v>0</v>
      </c>
      <c r="BJ53" s="99">
        <v>0</v>
      </c>
      <c r="BK53" s="99">
        <f>BJ53*K53</f>
        <v>0</v>
      </c>
      <c r="BL53" s="99">
        <v>0</v>
      </c>
      <c r="BM53" s="100">
        <f>BL53*K53</f>
        <v>0</v>
      </c>
      <c r="BO53" s="1" t="s">
        <v>960</v>
      </c>
      <c r="BQ53" s="1">
        <v>16.37</v>
      </c>
      <c r="CD53" s="9" t="s">
        <v>174</v>
      </c>
      <c r="CF53" s="9" t="s">
        <v>171</v>
      </c>
      <c r="CG53" s="9" t="s">
        <v>42</v>
      </c>
      <c r="CK53" s="9" t="s">
        <v>148</v>
      </c>
      <c r="CQ53" s="72">
        <f>IF(BG53="základná",AJ53,0)</f>
        <v>0</v>
      </c>
      <c r="CR53" s="72">
        <f>IF(BG53="znížená",AJ53,0)</f>
        <v>716.54200000000003</v>
      </c>
      <c r="CS53" s="72">
        <f>IF(BG53="zákl. prenesená",AJ53,0)</f>
        <v>0</v>
      </c>
      <c r="CT53" s="72">
        <f>IF(BG53="zníž. prenesená",AJ53,0)</f>
        <v>0</v>
      </c>
      <c r="CU53" s="72">
        <f>IF(BG53="nulová",AJ53,0)</f>
        <v>0</v>
      </c>
      <c r="CV53" s="9" t="s">
        <v>42</v>
      </c>
      <c r="CW53" s="101">
        <f>ROUND(AE53*K53,3)</f>
        <v>716.54200000000003</v>
      </c>
      <c r="CX53" s="9" t="s">
        <v>169</v>
      </c>
      <c r="CY53" s="9" t="s">
        <v>312</v>
      </c>
    </row>
    <row r="54" spans="2:103" s="1" customFormat="1" ht="31.5" customHeight="1">
      <c r="B54" s="73"/>
      <c r="C54" s="93" t="s">
        <v>220</v>
      </c>
      <c r="D54" s="93" t="s">
        <v>149</v>
      </c>
      <c r="E54" s="94" t="s">
        <v>233</v>
      </c>
      <c r="F54" s="498" t="s">
        <v>234</v>
      </c>
      <c r="G54" s="498"/>
      <c r="H54" s="498"/>
      <c r="I54" s="498"/>
      <c r="J54" s="95" t="s">
        <v>152</v>
      </c>
      <c r="K54" s="211">
        <v>0.191</v>
      </c>
      <c r="L54" s="211">
        <v>0.191</v>
      </c>
      <c r="M54" s="211">
        <v>0.191</v>
      </c>
      <c r="N54" s="211">
        <v>0.191</v>
      </c>
      <c r="O54" s="211">
        <v>0.114</v>
      </c>
      <c r="P54" s="306">
        <f>SUM(K54:O54)</f>
        <v>0.878</v>
      </c>
      <c r="Q54" s="307">
        <v>0</v>
      </c>
      <c r="R54" s="211">
        <v>0</v>
      </c>
      <c r="S54" s="211">
        <v>0</v>
      </c>
      <c r="T54" s="211">
        <v>0</v>
      </c>
      <c r="U54" s="211">
        <v>0</v>
      </c>
      <c r="V54" s="220">
        <f>SUM(Q54:U54)</f>
        <v>0</v>
      </c>
      <c r="W54" s="289">
        <f t="shared" si="114"/>
        <v>0</v>
      </c>
      <c r="X54" s="307">
        <f t="shared" si="115"/>
        <v>0.191</v>
      </c>
      <c r="Y54" s="211">
        <f t="shared" si="116"/>
        <v>0.191</v>
      </c>
      <c r="Z54" s="211">
        <f t="shared" si="117"/>
        <v>0.191</v>
      </c>
      <c r="AA54" s="211">
        <f t="shared" si="118"/>
        <v>0.191</v>
      </c>
      <c r="AB54" s="211">
        <f t="shared" si="119"/>
        <v>0.114</v>
      </c>
      <c r="AC54" s="220">
        <f>SUM(X54:AB54)</f>
        <v>0.878</v>
      </c>
      <c r="AD54" s="289">
        <f>AC54/P54</f>
        <v>1</v>
      </c>
      <c r="AE54" s="310">
        <v>46.8</v>
      </c>
      <c r="AF54" s="230">
        <v>46.8</v>
      </c>
      <c r="AG54" s="230">
        <v>46.8</v>
      </c>
      <c r="AH54" s="230">
        <v>46.8</v>
      </c>
      <c r="AI54" s="230">
        <v>46.8</v>
      </c>
      <c r="AJ54" s="211">
        <f>ROUND(AE54*K54,3)</f>
        <v>8.9390000000000001</v>
      </c>
      <c r="AK54" s="211">
        <f>ROUND(AE54*L54,3)</f>
        <v>8.9390000000000001</v>
      </c>
      <c r="AL54" s="211">
        <f>ROUND(AE54*M54,3)</f>
        <v>8.9390000000000001</v>
      </c>
      <c r="AM54" s="211">
        <f>ROUND(AE54*N54,3)</f>
        <v>8.9390000000000001</v>
      </c>
      <c r="AN54" s="211">
        <f>ROUND(AE54*O54,3)</f>
        <v>5.335</v>
      </c>
      <c r="AO54" s="295">
        <f>AJ54+AK54+AL54+AM54+AN54</f>
        <v>41.091000000000001</v>
      </c>
      <c r="AP54" s="277">
        <f t="shared" si="120"/>
        <v>0</v>
      </c>
      <c r="AQ54" s="211">
        <f t="shared" si="121"/>
        <v>0</v>
      </c>
      <c r="AR54" s="211">
        <f t="shared" si="122"/>
        <v>0</v>
      </c>
      <c r="AS54" s="211">
        <f t="shared" si="123"/>
        <v>0</v>
      </c>
      <c r="AT54" s="211">
        <f t="shared" si="124"/>
        <v>0</v>
      </c>
      <c r="AU54" s="211">
        <f>AP54+AQ54+AR54+AS54+AT54</f>
        <v>0</v>
      </c>
      <c r="AV54" s="312">
        <f t="shared" si="125"/>
        <v>0</v>
      </c>
      <c r="AW54" s="277">
        <f t="shared" si="126"/>
        <v>8.9390000000000001</v>
      </c>
      <c r="AX54" s="211">
        <f t="shared" si="127"/>
        <v>8.9390000000000001</v>
      </c>
      <c r="AY54" s="211">
        <f t="shared" si="128"/>
        <v>8.9390000000000001</v>
      </c>
      <c r="AZ54" s="211">
        <f t="shared" si="129"/>
        <v>8.9390000000000001</v>
      </c>
      <c r="BA54" s="211">
        <f t="shared" si="130"/>
        <v>5.335</v>
      </c>
      <c r="BB54" s="211">
        <f>AW54+AX54+AY54+AZ54+BA54</f>
        <v>41.091000000000001</v>
      </c>
      <c r="BC54" s="289">
        <f t="shared" si="131"/>
        <v>1</v>
      </c>
      <c r="BD54" s="74"/>
      <c r="BF54" s="98" t="s">
        <v>0</v>
      </c>
      <c r="BG54" s="18" t="s">
        <v>11</v>
      </c>
      <c r="BH54" s="16"/>
      <c r="BI54" s="99">
        <f>BH54*K54</f>
        <v>0</v>
      </c>
      <c r="BJ54" s="99">
        <v>0</v>
      </c>
      <c r="BK54" s="99">
        <f>BJ54*K54</f>
        <v>0</v>
      </c>
      <c r="BL54" s="99">
        <v>0</v>
      </c>
      <c r="BM54" s="100">
        <f>BL54*K54</f>
        <v>0</v>
      </c>
      <c r="BQ54" s="1">
        <v>45</v>
      </c>
      <c r="CD54" s="9" t="s">
        <v>169</v>
      </c>
      <c r="CF54" s="9" t="s">
        <v>149</v>
      </c>
      <c r="CG54" s="9" t="s">
        <v>42</v>
      </c>
      <c r="CK54" s="9" t="s">
        <v>148</v>
      </c>
      <c r="CQ54" s="72">
        <f>IF(BG54="základná",AJ54,0)</f>
        <v>0</v>
      </c>
      <c r="CR54" s="72">
        <f>IF(BG54="znížená",AJ54,0)</f>
        <v>8.9390000000000001</v>
      </c>
      <c r="CS54" s="72">
        <f>IF(BG54="zákl. prenesená",AJ54,0)</f>
        <v>0</v>
      </c>
      <c r="CT54" s="72">
        <f>IF(BG54="zníž. prenesená",AJ54,0)</f>
        <v>0</v>
      </c>
      <c r="CU54" s="72">
        <f>IF(BG54="nulová",AJ54,0)</f>
        <v>0</v>
      </c>
      <c r="CV54" s="9" t="s">
        <v>42</v>
      </c>
      <c r="CW54" s="101">
        <f>ROUND(AE54*K54,3)</f>
        <v>8.9390000000000001</v>
      </c>
      <c r="CX54" s="9" t="s">
        <v>169</v>
      </c>
      <c r="CY54" s="9" t="s">
        <v>313</v>
      </c>
    </row>
    <row r="55" spans="2:103" s="7" customFormat="1" ht="29.85" customHeight="1">
      <c r="B55" s="82"/>
      <c r="C55" s="83"/>
      <c r="D55" s="92" t="s">
        <v>247</v>
      </c>
      <c r="E55" s="92"/>
      <c r="F55" s="92"/>
      <c r="G55" s="92"/>
      <c r="H55" s="92"/>
      <c r="I55" s="92"/>
      <c r="J55" s="92"/>
      <c r="K55" s="219"/>
      <c r="L55" s="219"/>
      <c r="M55" s="219"/>
      <c r="N55" s="219"/>
      <c r="O55" s="219"/>
      <c r="P55" s="222"/>
      <c r="Q55" s="219"/>
      <c r="R55" s="219"/>
      <c r="S55" s="219"/>
      <c r="T55" s="219"/>
      <c r="U55" s="219"/>
      <c r="V55" s="222"/>
      <c r="W55" s="286"/>
      <c r="X55" s="219"/>
      <c r="Y55" s="219"/>
      <c r="Z55" s="219"/>
      <c r="AA55" s="219"/>
      <c r="AB55" s="219"/>
      <c r="AC55" s="222"/>
      <c r="AD55" s="286"/>
      <c r="AE55" s="219"/>
      <c r="AF55" s="219"/>
      <c r="AG55" s="219"/>
      <c r="AH55" s="219"/>
      <c r="AI55" s="219"/>
      <c r="AJ55" s="212">
        <f t="shared" ref="AJ55:AO55" si="132">SUM(AJ56:AJ59)</f>
        <v>883.78300000000002</v>
      </c>
      <c r="AK55" s="212">
        <f t="shared" si="132"/>
        <v>883.78300000000002</v>
      </c>
      <c r="AL55" s="212">
        <f t="shared" si="132"/>
        <v>883.78300000000002</v>
      </c>
      <c r="AM55" s="212">
        <f t="shared" si="132"/>
        <v>883.78300000000002</v>
      </c>
      <c r="AN55" s="212">
        <f t="shared" si="132"/>
        <v>0</v>
      </c>
      <c r="AO55" s="296">
        <f t="shared" si="132"/>
        <v>3535.1320000000001</v>
      </c>
      <c r="AP55" s="212">
        <f t="shared" ref="AP55:AU55" si="133">SUM(AP56:AP59)</f>
        <v>0</v>
      </c>
      <c r="AQ55" s="212">
        <f t="shared" si="133"/>
        <v>0</v>
      </c>
      <c r="AR55" s="212">
        <f t="shared" si="133"/>
        <v>0</v>
      </c>
      <c r="AS55" s="212">
        <f t="shared" si="133"/>
        <v>0</v>
      </c>
      <c r="AT55" s="212">
        <f t="shared" si="133"/>
        <v>0</v>
      </c>
      <c r="AU55" s="212">
        <f t="shared" si="133"/>
        <v>0</v>
      </c>
      <c r="AV55" s="317"/>
      <c r="AW55" s="212">
        <f t="shared" ref="AW55:BB55" si="134">SUM(AW56:AW59)</f>
        <v>883.78300000000002</v>
      </c>
      <c r="AX55" s="212">
        <f t="shared" si="134"/>
        <v>883.78300000000002</v>
      </c>
      <c r="AY55" s="212">
        <f t="shared" si="134"/>
        <v>883.78300000000002</v>
      </c>
      <c r="AZ55" s="212">
        <f t="shared" si="134"/>
        <v>883.78300000000002</v>
      </c>
      <c r="BA55" s="212">
        <f t="shared" si="134"/>
        <v>0</v>
      </c>
      <c r="BB55" s="212">
        <f t="shared" si="134"/>
        <v>3535.1320000000001</v>
      </c>
      <c r="BC55" s="317"/>
      <c r="BD55" s="85"/>
      <c r="BF55" s="86"/>
      <c r="BG55" s="83"/>
      <c r="BH55" s="83"/>
      <c r="BI55" s="87">
        <f>SUM(BI56:BI59)</f>
        <v>0</v>
      </c>
      <c r="BJ55" s="83"/>
      <c r="BK55" s="87">
        <f>SUM(BK56:BK59)</f>
        <v>0</v>
      </c>
      <c r="BL55" s="83"/>
      <c r="BM55" s="88">
        <f>SUM(BM56:BM59)</f>
        <v>0</v>
      </c>
      <c r="CD55" s="89" t="s">
        <v>42</v>
      </c>
      <c r="CF55" s="90" t="s">
        <v>30</v>
      </c>
      <c r="CG55" s="90" t="s">
        <v>38</v>
      </c>
      <c r="CK55" s="89" t="s">
        <v>148</v>
      </c>
      <c r="CW55" s="91">
        <f>SUM(CW56:CW59)</f>
        <v>883.78300000000002</v>
      </c>
    </row>
    <row r="56" spans="2:103" s="1" customFormat="1" ht="44.25" customHeight="1">
      <c r="B56" s="73"/>
      <c r="C56" s="93" t="s">
        <v>223</v>
      </c>
      <c r="D56" s="93" t="s">
        <v>149</v>
      </c>
      <c r="E56" s="94" t="s">
        <v>314</v>
      </c>
      <c r="F56" s="498" t="s">
        <v>315</v>
      </c>
      <c r="G56" s="498"/>
      <c r="H56" s="498"/>
      <c r="I56" s="498"/>
      <c r="J56" s="95" t="s">
        <v>198</v>
      </c>
      <c r="K56" s="211">
        <v>6.65</v>
      </c>
      <c r="L56" s="211">
        <v>6.65</v>
      </c>
      <c r="M56" s="211">
        <v>6.65</v>
      </c>
      <c r="N56" s="211">
        <v>6.65</v>
      </c>
      <c r="O56" s="231">
        <v>0</v>
      </c>
      <c r="P56" s="306">
        <f>SUM(K56:O56)</f>
        <v>26.6</v>
      </c>
      <c r="Q56" s="307">
        <v>0</v>
      </c>
      <c r="R56" s="211">
        <v>0</v>
      </c>
      <c r="S56" s="211">
        <v>0</v>
      </c>
      <c r="T56" s="211">
        <v>0</v>
      </c>
      <c r="U56" s="231">
        <v>0</v>
      </c>
      <c r="V56" s="220">
        <f>SUM(Q56:U56)</f>
        <v>0</v>
      </c>
      <c r="W56" s="289">
        <f t="shared" ref="W56:W59" si="135">V56/P56</f>
        <v>0</v>
      </c>
      <c r="X56" s="307">
        <f t="shared" ref="X56:X59" si="136">K56-Q56</f>
        <v>6.65</v>
      </c>
      <c r="Y56" s="211">
        <f t="shared" ref="Y56:Y59" si="137">L56-R56</f>
        <v>6.65</v>
      </c>
      <c r="Z56" s="211">
        <f t="shared" ref="Z56:Z59" si="138">M56-S56</f>
        <v>6.65</v>
      </c>
      <c r="AA56" s="211">
        <f t="shared" ref="AA56:AA59" si="139">N56-T56</f>
        <v>6.65</v>
      </c>
      <c r="AB56" s="231">
        <f t="shared" ref="AB56:AB59" si="140">O56-U56</f>
        <v>0</v>
      </c>
      <c r="AC56" s="220">
        <f>SUM(X56:AB56)</f>
        <v>26.6</v>
      </c>
      <c r="AD56" s="289">
        <f>AC56/P56</f>
        <v>1</v>
      </c>
      <c r="AE56" s="310">
        <v>10.199999999999999</v>
      </c>
      <c r="AF56" s="230">
        <v>10.199999999999999</v>
      </c>
      <c r="AG56" s="230">
        <v>10.199999999999999</v>
      </c>
      <c r="AH56" s="230">
        <v>10.199999999999999</v>
      </c>
      <c r="AI56" s="230">
        <v>10.199999999999999</v>
      </c>
      <c r="AJ56" s="211">
        <f>ROUND(AE56*K56,3)</f>
        <v>67.83</v>
      </c>
      <c r="AK56" s="211">
        <f>ROUND(AE56*L56,3)</f>
        <v>67.83</v>
      </c>
      <c r="AL56" s="211">
        <f>ROUND(AE56*M56,3)</f>
        <v>67.83</v>
      </c>
      <c r="AM56" s="211">
        <f>ROUND(AE56*N56,3)</f>
        <v>67.83</v>
      </c>
      <c r="AN56" s="211">
        <f>ROUND(AE56*O56,3)</f>
        <v>0</v>
      </c>
      <c r="AO56" s="295">
        <f>AJ56+AK56+AL56+AM56+AN56</f>
        <v>271.32</v>
      </c>
      <c r="AP56" s="277">
        <f t="shared" ref="AP56:AP59" si="141">ROUND(AE56*Q56,3)</f>
        <v>0</v>
      </c>
      <c r="AQ56" s="211">
        <f t="shared" ref="AQ56:AQ59" si="142">ROUND(AF56*R56,3)</f>
        <v>0</v>
      </c>
      <c r="AR56" s="211">
        <f t="shared" ref="AR56:AR59" si="143">ROUND(AG56*S56,3)</f>
        <v>0</v>
      </c>
      <c r="AS56" s="211">
        <f t="shared" ref="AS56:AS59" si="144">ROUND(AH56*T56,3)</f>
        <v>0</v>
      </c>
      <c r="AT56" s="211">
        <f t="shared" ref="AT56:AT59" si="145">ROUND(AI56*U56,3)</f>
        <v>0</v>
      </c>
      <c r="AU56" s="211">
        <f>AP56+AQ56+AR56+AS56+AT56</f>
        <v>0</v>
      </c>
      <c r="AV56" s="312">
        <f t="shared" ref="AV56:AV59" si="146">AU56/AO56</f>
        <v>0</v>
      </c>
      <c r="AW56" s="277">
        <f t="shared" ref="AW56:AW59" si="147">AJ56-AP56</f>
        <v>67.83</v>
      </c>
      <c r="AX56" s="211">
        <f t="shared" ref="AX56:AX59" si="148">AK56-AQ56</f>
        <v>67.83</v>
      </c>
      <c r="AY56" s="211">
        <f t="shared" ref="AY56:AY59" si="149">AL56-AR56</f>
        <v>67.83</v>
      </c>
      <c r="AZ56" s="211">
        <f t="shared" ref="AZ56:AZ59" si="150">AM56-AS56</f>
        <v>67.83</v>
      </c>
      <c r="BA56" s="211">
        <f t="shared" ref="BA56:BA59" si="151">AN56-AT56</f>
        <v>0</v>
      </c>
      <c r="BB56" s="211">
        <f>AW56+AX56+AY56+AZ56+BA56</f>
        <v>271.32</v>
      </c>
      <c r="BC56" s="289">
        <f t="shared" ref="BC56:BC59" si="152">BB56/AO56</f>
        <v>1</v>
      </c>
      <c r="BD56" s="74"/>
      <c r="BF56" s="98" t="s">
        <v>0</v>
      </c>
      <c r="BG56" s="18" t="s">
        <v>11</v>
      </c>
      <c r="BH56" s="16"/>
      <c r="BI56" s="99">
        <f>BH56*K56</f>
        <v>0</v>
      </c>
      <c r="BJ56" s="99">
        <v>0</v>
      </c>
      <c r="BK56" s="99">
        <f>BJ56*K56</f>
        <v>0</v>
      </c>
      <c r="BL56" s="99">
        <v>0</v>
      </c>
      <c r="BM56" s="100">
        <f>BL56*K56</f>
        <v>0</v>
      </c>
      <c r="BQ56" s="1">
        <v>9.81</v>
      </c>
      <c r="CD56" s="9" t="s">
        <v>169</v>
      </c>
      <c r="CF56" s="9" t="s">
        <v>149</v>
      </c>
      <c r="CG56" s="9" t="s">
        <v>42</v>
      </c>
      <c r="CK56" s="9" t="s">
        <v>148</v>
      </c>
      <c r="CQ56" s="72">
        <f>IF(BG56="základná",AJ56,0)</f>
        <v>0</v>
      </c>
      <c r="CR56" s="72">
        <f>IF(BG56="znížená",AJ56,0)</f>
        <v>67.83</v>
      </c>
      <c r="CS56" s="72">
        <f>IF(BG56="zákl. prenesená",AJ56,0)</f>
        <v>0</v>
      </c>
      <c r="CT56" s="72">
        <f>IF(BG56="zníž. prenesená",AJ56,0)</f>
        <v>0</v>
      </c>
      <c r="CU56" s="72">
        <f>IF(BG56="nulová",AJ56,0)</f>
        <v>0</v>
      </c>
      <c r="CV56" s="9" t="s">
        <v>42</v>
      </c>
      <c r="CW56" s="101">
        <f>ROUND(AE56*K56,3)</f>
        <v>67.83</v>
      </c>
      <c r="CX56" s="9" t="s">
        <v>169</v>
      </c>
      <c r="CY56" s="9" t="s">
        <v>316</v>
      </c>
    </row>
    <row r="57" spans="2:103" s="1" customFormat="1" ht="22.5" customHeight="1">
      <c r="B57" s="73"/>
      <c r="C57" s="102" t="s">
        <v>226</v>
      </c>
      <c r="D57" s="102" t="s">
        <v>171</v>
      </c>
      <c r="E57" s="103" t="s">
        <v>317</v>
      </c>
      <c r="F57" s="499" t="s">
        <v>318</v>
      </c>
      <c r="G57" s="499"/>
      <c r="H57" s="499"/>
      <c r="I57" s="499"/>
      <c r="J57" s="104" t="s">
        <v>184</v>
      </c>
      <c r="K57" s="223">
        <v>1</v>
      </c>
      <c r="L57" s="223">
        <v>1</v>
      </c>
      <c r="M57" s="223">
        <v>1</v>
      </c>
      <c r="N57" s="223">
        <v>1</v>
      </c>
      <c r="O57" s="234">
        <v>0</v>
      </c>
      <c r="P57" s="306">
        <f>SUM(K57:O57)</f>
        <v>4</v>
      </c>
      <c r="Q57" s="308">
        <v>0</v>
      </c>
      <c r="R57" s="223">
        <v>0</v>
      </c>
      <c r="S57" s="223">
        <v>0</v>
      </c>
      <c r="T57" s="223">
        <v>0</v>
      </c>
      <c r="U57" s="234">
        <v>0</v>
      </c>
      <c r="V57" s="220">
        <f>SUM(Q57:U57)</f>
        <v>0</v>
      </c>
      <c r="W57" s="289">
        <f t="shared" si="135"/>
        <v>0</v>
      </c>
      <c r="X57" s="308">
        <f t="shared" si="136"/>
        <v>1</v>
      </c>
      <c r="Y57" s="223">
        <f t="shared" si="137"/>
        <v>1</v>
      </c>
      <c r="Z57" s="223">
        <f t="shared" si="138"/>
        <v>1</v>
      </c>
      <c r="AA57" s="223">
        <f t="shared" si="139"/>
        <v>1</v>
      </c>
      <c r="AB57" s="234">
        <f t="shared" si="140"/>
        <v>0</v>
      </c>
      <c r="AC57" s="220">
        <f>SUM(X57:AB57)</f>
        <v>4</v>
      </c>
      <c r="AD57" s="289">
        <f>AC57/P57</f>
        <v>1</v>
      </c>
      <c r="AE57" s="311">
        <v>726.54</v>
      </c>
      <c r="AF57" s="233">
        <v>726.54</v>
      </c>
      <c r="AG57" s="233">
        <v>726.54</v>
      </c>
      <c r="AH57" s="233">
        <v>726.54</v>
      </c>
      <c r="AI57" s="233">
        <v>726.54</v>
      </c>
      <c r="AJ57" s="223">
        <f>ROUND(AE57*K57,3)</f>
        <v>726.54</v>
      </c>
      <c r="AK57" s="223">
        <f>ROUND(AE57*L57,3)</f>
        <v>726.54</v>
      </c>
      <c r="AL57" s="223">
        <f>ROUND(AE57*M57,3)</f>
        <v>726.54</v>
      </c>
      <c r="AM57" s="223">
        <f>ROUND(AE57*N57,3)</f>
        <v>726.54</v>
      </c>
      <c r="AN57" s="223">
        <f>ROUND(AE57*O57,3)</f>
        <v>0</v>
      </c>
      <c r="AO57" s="295">
        <f>AJ57+AK57+AL57+AM57+AN57</f>
        <v>2906.16</v>
      </c>
      <c r="AP57" s="278">
        <f t="shared" si="141"/>
        <v>0</v>
      </c>
      <c r="AQ57" s="223">
        <f t="shared" si="142"/>
        <v>0</v>
      </c>
      <c r="AR57" s="223">
        <f t="shared" si="143"/>
        <v>0</v>
      </c>
      <c r="AS57" s="223">
        <f t="shared" si="144"/>
        <v>0</v>
      </c>
      <c r="AT57" s="223">
        <f t="shared" si="145"/>
        <v>0</v>
      </c>
      <c r="AU57" s="211">
        <f>AP57+AQ57+AR57+AS57+AT57</f>
        <v>0</v>
      </c>
      <c r="AV57" s="312">
        <f t="shared" si="146"/>
        <v>0</v>
      </c>
      <c r="AW57" s="278">
        <f t="shared" si="147"/>
        <v>726.54</v>
      </c>
      <c r="AX57" s="223">
        <f t="shared" si="148"/>
        <v>726.54</v>
      </c>
      <c r="AY57" s="223">
        <f t="shared" si="149"/>
        <v>726.54</v>
      </c>
      <c r="AZ57" s="223">
        <f t="shared" si="150"/>
        <v>726.54</v>
      </c>
      <c r="BA57" s="223">
        <f t="shared" si="151"/>
        <v>0</v>
      </c>
      <c r="BB57" s="211">
        <f>AW57+AX57+AY57+AZ57+BA57</f>
        <v>2906.16</v>
      </c>
      <c r="BC57" s="289">
        <f t="shared" si="152"/>
        <v>1</v>
      </c>
      <c r="BD57" s="74"/>
      <c r="BE57" s="1" t="s">
        <v>971</v>
      </c>
      <c r="BF57" s="98" t="s">
        <v>0</v>
      </c>
      <c r="BG57" s="18" t="s">
        <v>11</v>
      </c>
      <c r="BH57" s="16"/>
      <c r="BI57" s="99">
        <f>BH57*K57</f>
        <v>0</v>
      </c>
      <c r="BJ57" s="99">
        <v>0</v>
      </c>
      <c r="BK57" s="99">
        <f>BJ57*K57</f>
        <v>0</v>
      </c>
      <c r="BL57" s="99">
        <v>0</v>
      </c>
      <c r="BM57" s="100">
        <f>BL57*K57</f>
        <v>0</v>
      </c>
      <c r="BO57" s="1" t="s">
        <v>972</v>
      </c>
      <c r="BQ57" s="1">
        <v>698.6</v>
      </c>
      <c r="CD57" s="9" t="s">
        <v>174</v>
      </c>
      <c r="CF57" s="9" t="s">
        <v>171</v>
      </c>
      <c r="CG57" s="9" t="s">
        <v>42</v>
      </c>
      <c r="CK57" s="9" t="s">
        <v>148</v>
      </c>
      <c r="CQ57" s="72">
        <f>IF(BG57="základná",AJ57,0)</f>
        <v>0</v>
      </c>
      <c r="CR57" s="72">
        <f>IF(BG57="znížená",AJ57,0)</f>
        <v>726.54</v>
      </c>
      <c r="CS57" s="72">
        <f>IF(BG57="zákl. prenesená",AJ57,0)</f>
        <v>0</v>
      </c>
      <c r="CT57" s="72">
        <f>IF(BG57="zníž. prenesená",AJ57,0)</f>
        <v>0</v>
      </c>
      <c r="CU57" s="72">
        <f>IF(BG57="nulová",AJ57,0)</f>
        <v>0</v>
      </c>
      <c r="CV57" s="9" t="s">
        <v>42</v>
      </c>
      <c r="CW57" s="101">
        <f>ROUND(AE57*K57,3)</f>
        <v>726.54</v>
      </c>
      <c r="CX57" s="9" t="s">
        <v>169</v>
      </c>
      <c r="CY57" s="9" t="s">
        <v>319</v>
      </c>
    </row>
    <row r="58" spans="2:103" s="1" customFormat="1" ht="22.5" customHeight="1">
      <c r="B58" s="73"/>
      <c r="C58" s="93" t="s">
        <v>229</v>
      </c>
      <c r="D58" s="93" t="s">
        <v>149</v>
      </c>
      <c r="E58" s="94" t="s">
        <v>320</v>
      </c>
      <c r="F58" s="498" t="s">
        <v>321</v>
      </c>
      <c r="G58" s="498"/>
      <c r="H58" s="498"/>
      <c r="I58" s="498"/>
      <c r="J58" s="95" t="s">
        <v>194</v>
      </c>
      <c r="K58" s="211">
        <v>95.55</v>
      </c>
      <c r="L58" s="211">
        <v>95.55</v>
      </c>
      <c r="M58" s="211">
        <v>95.55</v>
      </c>
      <c r="N58" s="211">
        <v>95.55</v>
      </c>
      <c r="O58" s="231">
        <v>0</v>
      </c>
      <c r="P58" s="306">
        <f>SUM(K58:O58)</f>
        <v>382.2</v>
      </c>
      <c r="Q58" s="307">
        <v>0</v>
      </c>
      <c r="R58" s="211">
        <v>0</v>
      </c>
      <c r="S58" s="211">
        <v>0</v>
      </c>
      <c r="T58" s="211">
        <v>0</v>
      </c>
      <c r="U58" s="231">
        <v>0</v>
      </c>
      <c r="V58" s="220">
        <f>SUM(Q58:U58)</f>
        <v>0</v>
      </c>
      <c r="W58" s="289">
        <f t="shared" si="135"/>
        <v>0</v>
      </c>
      <c r="X58" s="307">
        <f t="shared" si="136"/>
        <v>95.55</v>
      </c>
      <c r="Y58" s="211">
        <f t="shared" si="137"/>
        <v>95.55</v>
      </c>
      <c r="Z58" s="211">
        <f t="shared" si="138"/>
        <v>95.55</v>
      </c>
      <c r="AA58" s="211">
        <f t="shared" si="139"/>
        <v>95.55</v>
      </c>
      <c r="AB58" s="231">
        <f t="shared" si="140"/>
        <v>0</v>
      </c>
      <c r="AC58" s="220">
        <f>SUM(X58:AB58)</f>
        <v>382.2</v>
      </c>
      <c r="AD58" s="289">
        <f>AC58/P58</f>
        <v>1</v>
      </c>
      <c r="AE58" s="310">
        <v>0.79</v>
      </c>
      <c r="AF58" s="230">
        <v>0.79</v>
      </c>
      <c r="AG58" s="230">
        <v>0.79</v>
      </c>
      <c r="AH58" s="230">
        <v>0.79</v>
      </c>
      <c r="AI58" s="230">
        <v>0.79</v>
      </c>
      <c r="AJ58" s="211">
        <f>ROUND(AE58*K58,3)</f>
        <v>75.484999999999999</v>
      </c>
      <c r="AK58" s="211">
        <f>ROUND(AE58*L58,3)</f>
        <v>75.484999999999999</v>
      </c>
      <c r="AL58" s="211">
        <f>ROUND(AE58*M58,3)</f>
        <v>75.484999999999999</v>
      </c>
      <c r="AM58" s="211">
        <f>ROUND(AE58*N58,3)</f>
        <v>75.484999999999999</v>
      </c>
      <c r="AN58" s="211">
        <f>ROUND(AE58*O58,3)</f>
        <v>0</v>
      </c>
      <c r="AO58" s="295">
        <f>AJ58+AK58+AL58+AM58+AN58</f>
        <v>301.94</v>
      </c>
      <c r="AP58" s="277">
        <f t="shared" si="141"/>
        <v>0</v>
      </c>
      <c r="AQ58" s="211">
        <f t="shared" si="142"/>
        <v>0</v>
      </c>
      <c r="AR58" s="211">
        <f t="shared" si="143"/>
        <v>0</v>
      </c>
      <c r="AS58" s="211">
        <f t="shared" si="144"/>
        <v>0</v>
      </c>
      <c r="AT58" s="211">
        <f t="shared" si="145"/>
        <v>0</v>
      </c>
      <c r="AU58" s="211">
        <f>AP58+AQ58+AR58+AS58+AT58</f>
        <v>0</v>
      </c>
      <c r="AV58" s="312">
        <f t="shared" si="146"/>
        <v>0</v>
      </c>
      <c r="AW58" s="277">
        <f t="shared" si="147"/>
        <v>75.484999999999999</v>
      </c>
      <c r="AX58" s="211">
        <f t="shared" si="148"/>
        <v>75.484999999999999</v>
      </c>
      <c r="AY58" s="211">
        <f t="shared" si="149"/>
        <v>75.484999999999999</v>
      </c>
      <c r="AZ58" s="211">
        <f t="shared" si="150"/>
        <v>75.484999999999999</v>
      </c>
      <c r="BA58" s="211">
        <f t="shared" si="151"/>
        <v>0</v>
      </c>
      <c r="BB58" s="211">
        <f>AW58+AX58+AY58+AZ58+BA58</f>
        <v>301.94</v>
      </c>
      <c r="BC58" s="289">
        <f t="shared" si="152"/>
        <v>1</v>
      </c>
      <c r="BD58" s="74"/>
      <c r="BF58" s="98" t="s">
        <v>0</v>
      </c>
      <c r="BG58" s="18" t="s">
        <v>11</v>
      </c>
      <c r="BH58" s="16"/>
      <c r="BI58" s="99">
        <f>BH58*K58</f>
        <v>0</v>
      </c>
      <c r="BJ58" s="99">
        <v>0</v>
      </c>
      <c r="BK58" s="99">
        <f>BJ58*K58</f>
        <v>0</v>
      </c>
      <c r="BL58" s="99">
        <v>0</v>
      </c>
      <c r="BM58" s="100">
        <f>BL58*K58</f>
        <v>0</v>
      </c>
      <c r="BQ58" s="1">
        <v>0.76</v>
      </c>
      <c r="CD58" s="9" t="s">
        <v>169</v>
      </c>
      <c r="CF58" s="9" t="s">
        <v>149</v>
      </c>
      <c r="CG58" s="9" t="s">
        <v>42</v>
      </c>
      <c r="CK58" s="9" t="s">
        <v>148</v>
      </c>
      <c r="CQ58" s="72">
        <f>IF(BG58="základná",AJ58,0)</f>
        <v>0</v>
      </c>
      <c r="CR58" s="72">
        <f>IF(BG58="znížená",AJ58,0)</f>
        <v>75.484999999999999</v>
      </c>
      <c r="CS58" s="72">
        <f>IF(BG58="zákl. prenesená",AJ58,0)</f>
        <v>0</v>
      </c>
      <c r="CT58" s="72">
        <f>IF(BG58="zníž. prenesená",AJ58,0)</f>
        <v>0</v>
      </c>
      <c r="CU58" s="72">
        <f>IF(BG58="nulová",AJ58,0)</f>
        <v>0</v>
      </c>
      <c r="CV58" s="9" t="s">
        <v>42</v>
      </c>
      <c r="CW58" s="101">
        <f>ROUND(AE58*K58,3)</f>
        <v>75.484999999999999</v>
      </c>
      <c r="CX58" s="9" t="s">
        <v>169</v>
      </c>
      <c r="CY58" s="9" t="s">
        <v>322</v>
      </c>
    </row>
    <row r="59" spans="2:103" s="1" customFormat="1" ht="31.5" customHeight="1">
      <c r="B59" s="73"/>
      <c r="C59" s="93" t="s">
        <v>232</v>
      </c>
      <c r="D59" s="93" t="s">
        <v>149</v>
      </c>
      <c r="E59" s="94" t="s">
        <v>323</v>
      </c>
      <c r="F59" s="498" t="s">
        <v>324</v>
      </c>
      <c r="G59" s="498"/>
      <c r="H59" s="498"/>
      <c r="I59" s="498"/>
      <c r="J59" s="95" t="s">
        <v>152</v>
      </c>
      <c r="K59" s="211">
        <v>0.27900000000000003</v>
      </c>
      <c r="L59" s="211">
        <v>0.27900000000000003</v>
      </c>
      <c r="M59" s="211">
        <v>0.27900000000000003</v>
      </c>
      <c r="N59" s="211">
        <v>0.27900000000000003</v>
      </c>
      <c r="O59" s="231">
        <v>0</v>
      </c>
      <c r="P59" s="306">
        <f>SUM(K59:O59)</f>
        <v>1.1160000000000001</v>
      </c>
      <c r="Q59" s="307">
        <v>0</v>
      </c>
      <c r="R59" s="211">
        <v>0</v>
      </c>
      <c r="S59" s="211">
        <v>0</v>
      </c>
      <c r="T59" s="211">
        <v>0</v>
      </c>
      <c r="U59" s="231">
        <v>0</v>
      </c>
      <c r="V59" s="220">
        <f>SUM(Q59:U59)</f>
        <v>0</v>
      </c>
      <c r="W59" s="289">
        <f t="shared" si="135"/>
        <v>0</v>
      </c>
      <c r="X59" s="307">
        <f t="shared" si="136"/>
        <v>0.27900000000000003</v>
      </c>
      <c r="Y59" s="211">
        <f t="shared" si="137"/>
        <v>0.27900000000000003</v>
      </c>
      <c r="Z59" s="211">
        <f t="shared" si="138"/>
        <v>0.27900000000000003</v>
      </c>
      <c r="AA59" s="211">
        <f t="shared" si="139"/>
        <v>0.27900000000000003</v>
      </c>
      <c r="AB59" s="231">
        <f t="shared" si="140"/>
        <v>0</v>
      </c>
      <c r="AC59" s="220">
        <f>SUM(X59:AB59)</f>
        <v>1.1160000000000001</v>
      </c>
      <c r="AD59" s="289">
        <f>AC59/P59</f>
        <v>1</v>
      </c>
      <c r="AE59" s="310">
        <v>49.92</v>
      </c>
      <c r="AF59" s="230">
        <v>49.92</v>
      </c>
      <c r="AG59" s="230">
        <v>49.92</v>
      </c>
      <c r="AH59" s="230">
        <v>49.92</v>
      </c>
      <c r="AI59" s="230">
        <v>49.92</v>
      </c>
      <c r="AJ59" s="211">
        <f>ROUND(AE59*K59,3)</f>
        <v>13.928000000000001</v>
      </c>
      <c r="AK59" s="211">
        <f>ROUND(AE59*L59,3)</f>
        <v>13.928000000000001</v>
      </c>
      <c r="AL59" s="211">
        <f>ROUND(AE59*M59,3)</f>
        <v>13.928000000000001</v>
      </c>
      <c r="AM59" s="211">
        <f>ROUND(AE59*N59,3)</f>
        <v>13.928000000000001</v>
      </c>
      <c r="AN59" s="211">
        <f>ROUND(AE59*O59,3)</f>
        <v>0</v>
      </c>
      <c r="AO59" s="295">
        <f>AJ59+AK59+AL59+AM59+AN59</f>
        <v>55.712000000000003</v>
      </c>
      <c r="AP59" s="277">
        <f t="shared" si="141"/>
        <v>0</v>
      </c>
      <c r="AQ59" s="211">
        <f t="shared" si="142"/>
        <v>0</v>
      </c>
      <c r="AR59" s="211">
        <f t="shared" si="143"/>
        <v>0</v>
      </c>
      <c r="AS59" s="211">
        <f t="shared" si="144"/>
        <v>0</v>
      </c>
      <c r="AT59" s="211">
        <f t="shared" si="145"/>
        <v>0</v>
      </c>
      <c r="AU59" s="211">
        <f>AP59+AQ59+AR59+AS59+AT59</f>
        <v>0</v>
      </c>
      <c r="AV59" s="312">
        <f t="shared" si="146"/>
        <v>0</v>
      </c>
      <c r="AW59" s="277">
        <f t="shared" si="147"/>
        <v>13.928000000000001</v>
      </c>
      <c r="AX59" s="211">
        <f t="shared" si="148"/>
        <v>13.928000000000001</v>
      </c>
      <c r="AY59" s="211">
        <f t="shared" si="149"/>
        <v>13.928000000000001</v>
      </c>
      <c r="AZ59" s="211">
        <f t="shared" si="150"/>
        <v>13.928000000000001</v>
      </c>
      <c r="BA59" s="211">
        <f t="shared" si="151"/>
        <v>0</v>
      </c>
      <c r="BB59" s="211">
        <f>AW59+AX59+AY59+AZ59+BA59</f>
        <v>55.712000000000003</v>
      </c>
      <c r="BC59" s="289">
        <f t="shared" si="152"/>
        <v>1</v>
      </c>
      <c r="BD59" s="74"/>
      <c r="BF59" s="98" t="s">
        <v>0</v>
      </c>
      <c r="BG59" s="18" t="s">
        <v>11</v>
      </c>
      <c r="BH59" s="16"/>
      <c r="BI59" s="99">
        <f>BH59*K59</f>
        <v>0</v>
      </c>
      <c r="BJ59" s="99">
        <v>0</v>
      </c>
      <c r="BK59" s="99">
        <f>BJ59*K59</f>
        <v>0</v>
      </c>
      <c r="BL59" s="99">
        <v>0</v>
      </c>
      <c r="BM59" s="100">
        <f>BL59*K59</f>
        <v>0</v>
      </c>
      <c r="BQ59" s="1">
        <v>48</v>
      </c>
      <c r="CD59" s="9" t="s">
        <v>169</v>
      </c>
      <c r="CF59" s="9" t="s">
        <v>149</v>
      </c>
      <c r="CG59" s="9" t="s">
        <v>42</v>
      </c>
      <c r="CK59" s="9" t="s">
        <v>148</v>
      </c>
      <c r="CQ59" s="72">
        <f>IF(BG59="základná",AJ59,0)</f>
        <v>0</v>
      </c>
      <c r="CR59" s="72">
        <f>IF(BG59="znížená",AJ59,0)</f>
        <v>13.928000000000001</v>
      </c>
      <c r="CS59" s="72">
        <f>IF(BG59="zákl. prenesená",AJ59,0)</f>
        <v>0</v>
      </c>
      <c r="CT59" s="72">
        <f>IF(BG59="zníž. prenesená",AJ59,0)</f>
        <v>0</v>
      </c>
      <c r="CU59" s="72">
        <f>IF(BG59="nulová",AJ59,0)</f>
        <v>0</v>
      </c>
      <c r="CV59" s="9" t="s">
        <v>42</v>
      </c>
      <c r="CW59" s="101">
        <f>ROUND(AE59*K59,3)</f>
        <v>13.928000000000001</v>
      </c>
      <c r="CX59" s="9" t="s">
        <v>169</v>
      </c>
      <c r="CY59" s="9" t="s">
        <v>325</v>
      </c>
    </row>
    <row r="60" spans="2:103" s="7" customFormat="1" ht="29.85" customHeight="1">
      <c r="B60" s="82"/>
      <c r="C60" s="83"/>
      <c r="D60" s="92" t="s">
        <v>248</v>
      </c>
      <c r="E60" s="92"/>
      <c r="F60" s="92"/>
      <c r="G60" s="92"/>
      <c r="H60" s="92"/>
      <c r="I60" s="92"/>
      <c r="J60" s="92"/>
      <c r="K60" s="219"/>
      <c r="L60" s="219"/>
      <c r="M60" s="219"/>
      <c r="N60" s="219"/>
      <c r="O60" s="219"/>
      <c r="P60" s="222"/>
      <c r="Q60" s="219"/>
      <c r="R60" s="219"/>
      <c r="S60" s="219"/>
      <c r="T60" s="219"/>
      <c r="U60" s="219"/>
      <c r="V60" s="222"/>
      <c r="W60" s="286"/>
      <c r="X60" s="219"/>
      <c r="Y60" s="219"/>
      <c r="Z60" s="219"/>
      <c r="AA60" s="219"/>
      <c r="AB60" s="219"/>
      <c r="AC60" s="222"/>
      <c r="AD60" s="286"/>
      <c r="AE60" s="219"/>
      <c r="AF60" s="219"/>
      <c r="AG60" s="219"/>
      <c r="AH60" s="219"/>
      <c r="AI60" s="219"/>
      <c r="AJ60" s="212">
        <f t="shared" ref="AJ60:AO60" si="153">SUM(AJ61:AJ63)</f>
        <v>1948.3140000000001</v>
      </c>
      <c r="AK60" s="212">
        <f t="shared" si="153"/>
        <v>1948.3140000000001</v>
      </c>
      <c r="AL60" s="212">
        <f t="shared" si="153"/>
        <v>4750.6690000000008</v>
      </c>
      <c r="AM60" s="212">
        <f t="shared" si="153"/>
        <v>4750.6690000000008</v>
      </c>
      <c r="AN60" s="212">
        <f t="shared" si="153"/>
        <v>1627.8460000000002</v>
      </c>
      <c r="AO60" s="296">
        <f t="shared" si="153"/>
        <v>15025.812</v>
      </c>
      <c r="AP60" s="212">
        <f t="shared" ref="AP60:AU60" si="154">SUM(AP61:AP63)</f>
        <v>0</v>
      </c>
      <c r="AQ60" s="212">
        <f t="shared" si="154"/>
        <v>0</v>
      </c>
      <c r="AR60" s="212">
        <f t="shared" si="154"/>
        <v>0</v>
      </c>
      <c r="AS60" s="212">
        <f t="shared" si="154"/>
        <v>0</v>
      </c>
      <c r="AT60" s="212">
        <f t="shared" si="154"/>
        <v>0</v>
      </c>
      <c r="AU60" s="212">
        <f t="shared" si="154"/>
        <v>0</v>
      </c>
      <c r="AV60" s="317"/>
      <c r="AW60" s="212">
        <f t="shared" ref="AW60:BB60" si="155">SUM(AW61:AW63)</f>
        <v>1948.3140000000001</v>
      </c>
      <c r="AX60" s="212">
        <f t="shared" si="155"/>
        <v>1948.3140000000001</v>
      </c>
      <c r="AY60" s="212">
        <f t="shared" si="155"/>
        <v>4750.6690000000008</v>
      </c>
      <c r="AZ60" s="212">
        <f t="shared" si="155"/>
        <v>4750.6690000000008</v>
      </c>
      <c r="BA60" s="212">
        <f t="shared" si="155"/>
        <v>1627.8460000000002</v>
      </c>
      <c r="BB60" s="212">
        <f t="shared" si="155"/>
        <v>15025.812</v>
      </c>
      <c r="BC60" s="317"/>
      <c r="BD60" s="85"/>
      <c r="BF60" s="86"/>
      <c r="BG60" s="83"/>
      <c r="BH60" s="83"/>
      <c r="BI60" s="87">
        <f>SUM(BI61:BI63)</f>
        <v>0</v>
      </c>
      <c r="BJ60" s="83"/>
      <c r="BK60" s="87">
        <f>SUM(BK61:BK63)</f>
        <v>0</v>
      </c>
      <c r="BL60" s="83"/>
      <c r="BM60" s="88">
        <f>SUM(BM61:BM63)</f>
        <v>0</v>
      </c>
      <c r="CD60" s="89" t="s">
        <v>42</v>
      </c>
      <c r="CF60" s="90" t="s">
        <v>30</v>
      </c>
      <c r="CG60" s="90" t="s">
        <v>38</v>
      </c>
      <c r="CK60" s="89" t="s">
        <v>148</v>
      </c>
      <c r="CW60" s="91">
        <f>SUM(CW61:CW63)</f>
        <v>1948.3140000000001</v>
      </c>
    </row>
    <row r="61" spans="2:103" s="1" customFormat="1" ht="31.5" customHeight="1">
      <c r="B61" s="73"/>
      <c r="C61" s="93" t="s">
        <v>235</v>
      </c>
      <c r="D61" s="93" t="s">
        <v>149</v>
      </c>
      <c r="E61" s="94" t="s">
        <v>326</v>
      </c>
      <c r="F61" s="498" t="s">
        <v>327</v>
      </c>
      <c r="G61" s="498"/>
      <c r="H61" s="498"/>
      <c r="I61" s="498"/>
      <c r="J61" s="95" t="s">
        <v>168</v>
      </c>
      <c r="K61" s="211">
        <v>27.843</v>
      </c>
      <c r="L61" s="211">
        <v>27.843</v>
      </c>
      <c r="M61" s="211">
        <v>56.195999999999998</v>
      </c>
      <c r="N61" s="211">
        <v>56.195999999999998</v>
      </c>
      <c r="O61" s="211">
        <v>29.218</v>
      </c>
      <c r="P61" s="306">
        <f>SUM(K61:O61)</f>
        <v>197.29599999999999</v>
      </c>
      <c r="Q61" s="307">
        <v>0</v>
      </c>
      <c r="R61" s="211">
        <v>0</v>
      </c>
      <c r="S61" s="211">
        <v>0</v>
      </c>
      <c r="T61" s="211">
        <v>0</v>
      </c>
      <c r="U61" s="211">
        <v>0</v>
      </c>
      <c r="V61" s="220">
        <f>SUM(Q61:U61)</f>
        <v>0</v>
      </c>
      <c r="W61" s="289">
        <f t="shared" ref="W61:W63" si="156">V61/P61</f>
        <v>0</v>
      </c>
      <c r="X61" s="307">
        <f t="shared" ref="X61:X63" si="157">K61-Q61</f>
        <v>27.843</v>
      </c>
      <c r="Y61" s="211">
        <f t="shared" ref="Y61:Y63" si="158">L61-R61</f>
        <v>27.843</v>
      </c>
      <c r="Z61" s="211">
        <f t="shared" ref="Z61:Z63" si="159">M61-S61</f>
        <v>56.195999999999998</v>
      </c>
      <c r="AA61" s="211">
        <f t="shared" ref="AA61:AA63" si="160">N61-T61</f>
        <v>56.195999999999998</v>
      </c>
      <c r="AB61" s="211">
        <f t="shared" ref="AB61:AB63" si="161">O61-U61</f>
        <v>29.218</v>
      </c>
      <c r="AC61" s="220">
        <f>SUM(X61:AB61)</f>
        <v>197.29599999999999</v>
      </c>
      <c r="AD61" s="289">
        <f>AC61/P61</f>
        <v>1</v>
      </c>
      <c r="AE61" s="310">
        <v>24.12</v>
      </c>
      <c r="AF61" s="230">
        <v>24.12</v>
      </c>
      <c r="AG61" s="230">
        <v>24.12</v>
      </c>
      <c r="AH61" s="230">
        <v>24.12</v>
      </c>
      <c r="AI61" s="230">
        <v>24.12</v>
      </c>
      <c r="AJ61" s="211">
        <f>ROUND(AE61*K61,3)</f>
        <v>671.57299999999998</v>
      </c>
      <c r="AK61" s="211">
        <f>ROUND(AE61*L61,3)</f>
        <v>671.57299999999998</v>
      </c>
      <c r="AL61" s="211">
        <f>ROUND(AE61*M61,3)</f>
        <v>1355.4480000000001</v>
      </c>
      <c r="AM61" s="211">
        <f>ROUND(AE61*N61,3)</f>
        <v>1355.4480000000001</v>
      </c>
      <c r="AN61" s="211">
        <f>ROUND(AE61*O61,3)</f>
        <v>704.73800000000006</v>
      </c>
      <c r="AO61" s="295">
        <f>AJ61+AK61+AL61+AM61+AN61</f>
        <v>4758.7800000000007</v>
      </c>
      <c r="AP61" s="277">
        <f t="shared" ref="AP61:AP63" si="162">ROUND(AE61*Q61,3)</f>
        <v>0</v>
      </c>
      <c r="AQ61" s="211">
        <f t="shared" ref="AQ61:AQ63" si="163">ROUND(AF61*R61,3)</f>
        <v>0</v>
      </c>
      <c r="AR61" s="211">
        <f t="shared" ref="AR61:AR63" si="164">ROUND(AG61*S61,3)</f>
        <v>0</v>
      </c>
      <c r="AS61" s="211">
        <f t="shared" ref="AS61:AS63" si="165">ROUND(AH61*T61,3)</f>
        <v>0</v>
      </c>
      <c r="AT61" s="211">
        <f t="shared" ref="AT61:AT63" si="166">ROUND(AI61*U61,3)</f>
        <v>0</v>
      </c>
      <c r="AU61" s="211">
        <f>AP61+AQ61+AR61+AS61+AT61</f>
        <v>0</v>
      </c>
      <c r="AV61" s="312">
        <f t="shared" ref="AV61:AV63" si="167">AU61/AO61</f>
        <v>0</v>
      </c>
      <c r="AW61" s="277">
        <f t="shared" ref="AW61:AW63" si="168">AJ61-AP61</f>
        <v>671.57299999999998</v>
      </c>
      <c r="AX61" s="211">
        <f t="shared" ref="AX61:AX63" si="169">AK61-AQ61</f>
        <v>671.57299999999998</v>
      </c>
      <c r="AY61" s="211">
        <f t="shared" ref="AY61:AY63" si="170">AL61-AR61</f>
        <v>1355.4480000000001</v>
      </c>
      <c r="AZ61" s="211">
        <f t="shared" ref="AZ61:AZ63" si="171">AM61-AS61</f>
        <v>1355.4480000000001</v>
      </c>
      <c r="BA61" s="211">
        <f t="shared" ref="BA61:BA63" si="172">AN61-AT61</f>
        <v>704.73800000000006</v>
      </c>
      <c r="BB61" s="211">
        <f>AW61+AX61+AY61+AZ61+BA61</f>
        <v>4758.7800000000007</v>
      </c>
      <c r="BC61" s="289">
        <f t="shared" ref="BC61:BC63" si="173">BB61/AO61</f>
        <v>1</v>
      </c>
      <c r="BD61" s="74"/>
      <c r="BF61" s="98" t="s">
        <v>0</v>
      </c>
      <c r="BG61" s="18" t="s">
        <v>11</v>
      </c>
      <c r="BH61" s="16"/>
      <c r="BI61" s="99">
        <f>BH61*K61</f>
        <v>0</v>
      </c>
      <c r="BJ61" s="99">
        <v>0</v>
      </c>
      <c r="BK61" s="99">
        <f>BJ61*K61</f>
        <v>0</v>
      </c>
      <c r="BL61" s="99">
        <v>0</v>
      </c>
      <c r="BM61" s="100">
        <f>BL61*K61</f>
        <v>0</v>
      </c>
      <c r="BQ61" s="1">
        <v>23.19</v>
      </c>
      <c r="CD61" s="9" t="s">
        <v>169</v>
      </c>
      <c r="CF61" s="9" t="s">
        <v>149</v>
      </c>
      <c r="CG61" s="9" t="s">
        <v>42</v>
      </c>
      <c r="CK61" s="9" t="s">
        <v>148</v>
      </c>
      <c r="CQ61" s="72">
        <f>IF(BG61="základná",AJ61,0)</f>
        <v>0</v>
      </c>
      <c r="CR61" s="72">
        <f>IF(BG61="znížená",AJ61,0)</f>
        <v>671.57299999999998</v>
      </c>
      <c r="CS61" s="72">
        <f>IF(BG61="zákl. prenesená",AJ61,0)</f>
        <v>0</v>
      </c>
      <c r="CT61" s="72">
        <f>IF(BG61="zníž. prenesená",AJ61,0)</f>
        <v>0</v>
      </c>
      <c r="CU61" s="72">
        <f>IF(BG61="nulová",AJ61,0)</f>
        <v>0</v>
      </c>
      <c r="CV61" s="9" t="s">
        <v>42</v>
      </c>
      <c r="CW61" s="101">
        <f>ROUND(AE61*K61,3)</f>
        <v>671.57299999999998</v>
      </c>
      <c r="CX61" s="9" t="s">
        <v>169</v>
      </c>
      <c r="CY61" s="9" t="s">
        <v>328</v>
      </c>
    </row>
    <row r="62" spans="2:103" s="1" customFormat="1" ht="22.5" customHeight="1">
      <c r="B62" s="73"/>
      <c r="C62" s="102" t="s">
        <v>174</v>
      </c>
      <c r="D62" s="102" t="s">
        <v>171</v>
      </c>
      <c r="E62" s="103" t="s">
        <v>329</v>
      </c>
      <c r="F62" s="499" t="s">
        <v>330</v>
      </c>
      <c r="G62" s="499"/>
      <c r="H62" s="499"/>
      <c r="I62" s="499"/>
      <c r="J62" s="104" t="s">
        <v>168</v>
      </c>
      <c r="K62" s="223">
        <v>27.843</v>
      </c>
      <c r="L62" s="223">
        <v>27.843</v>
      </c>
      <c r="M62" s="223">
        <v>75.843000000000004</v>
      </c>
      <c r="N62" s="223">
        <v>75.843000000000004</v>
      </c>
      <c r="O62" s="223">
        <v>20.001999999999999</v>
      </c>
      <c r="P62" s="306">
        <f>SUM(K62:O62)</f>
        <v>227.37400000000002</v>
      </c>
      <c r="Q62" s="308">
        <v>0</v>
      </c>
      <c r="R62" s="223">
        <v>0</v>
      </c>
      <c r="S62" s="223">
        <v>0</v>
      </c>
      <c r="T62" s="223">
        <v>0</v>
      </c>
      <c r="U62" s="223">
        <v>0</v>
      </c>
      <c r="V62" s="220">
        <f>SUM(Q62:U62)</f>
        <v>0</v>
      </c>
      <c r="W62" s="289">
        <f t="shared" si="156"/>
        <v>0</v>
      </c>
      <c r="X62" s="308">
        <f t="shared" si="157"/>
        <v>27.843</v>
      </c>
      <c r="Y62" s="223">
        <f t="shared" si="158"/>
        <v>27.843</v>
      </c>
      <c r="Z62" s="223">
        <f t="shared" si="159"/>
        <v>75.843000000000004</v>
      </c>
      <c r="AA62" s="223">
        <f t="shared" si="160"/>
        <v>75.843000000000004</v>
      </c>
      <c r="AB62" s="223">
        <f t="shared" si="161"/>
        <v>20.001999999999999</v>
      </c>
      <c r="AC62" s="220">
        <f>SUM(X62:AB62)</f>
        <v>227.37400000000002</v>
      </c>
      <c r="AD62" s="289">
        <f>AC62/P62</f>
        <v>1</v>
      </c>
      <c r="AE62" s="311">
        <v>43.68</v>
      </c>
      <c r="AF62" s="233">
        <v>43.68</v>
      </c>
      <c r="AG62" s="233">
        <v>43.68</v>
      </c>
      <c r="AH62" s="233">
        <v>43.68</v>
      </c>
      <c r="AI62" s="233">
        <v>43.68</v>
      </c>
      <c r="AJ62" s="223">
        <f>ROUND(AE62*K62,3)</f>
        <v>1216.182</v>
      </c>
      <c r="AK62" s="223">
        <f>ROUND(AE62*L62,3)</f>
        <v>1216.182</v>
      </c>
      <c r="AL62" s="223">
        <f>ROUND(AE62*M62,3)</f>
        <v>3312.8220000000001</v>
      </c>
      <c r="AM62" s="223">
        <f>ROUND(AE62*N62,3)</f>
        <v>3312.8220000000001</v>
      </c>
      <c r="AN62" s="223">
        <f>ROUND(AE62*O62,3)</f>
        <v>873.68700000000001</v>
      </c>
      <c r="AO62" s="295">
        <f>AJ62+AK62+AL62+AM62+AN62</f>
        <v>9931.6949999999997</v>
      </c>
      <c r="AP62" s="278">
        <f t="shared" si="162"/>
        <v>0</v>
      </c>
      <c r="AQ62" s="223">
        <f t="shared" si="163"/>
        <v>0</v>
      </c>
      <c r="AR62" s="223">
        <f t="shared" si="164"/>
        <v>0</v>
      </c>
      <c r="AS62" s="223">
        <f t="shared" si="165"/>
        <v>0</v>
      </c>
      <c r="AT62" s="223">
        <f t="shared" si="166"/>
        <v>0</v>
      </c>
      <c r="AU62" s="211">
        <f>AP62+AQ62+AR62+AS62+AT62</f>
        <v>0</v>
      </c>
      <c r="AV62" s="312">
        <f t="shared" si="167"/>
        <v>0</v>
      </c>
      <c r="AW62" s="278">
        <f t="shared" si="168"/>
        <v>1216.182</v>
      </c>
      <c r="AX62" s="223">
        <f t="shared" si="169"/>
        <v>1216.182</v>
      </c>
      <c r="AY62" s="223">
        <f t="shared" si="170"/>
        <v>3312.8220000000001</v>
      </c>
      <c r="AZ62" s="223">
        <f t="shared" si="171"/>
        <v>3312.8220000000001</v>
      </c>
      <c r="BA62" s="223">
        <f t="shared" si="172"/>
        <v>873.68700000000001</v>
      </c>
      <c r="BB62" s="211">
        <f>AW62+AX62+AY62+AZ62+BA62</f>
        <v>9931.6949999999997</v>
      </c>
      <c r="BC62" s="289">
        <f t="shared" si="173"/>
        <v>1</v>
      </c>
      <c r="BD62" s="74"/>
      <c r="BE62" s="1" t="s">
        <v>969</v>
      </c>
      <c r="BF62" s="98" t="s">
        <v>0</v>
      </c>
      <c r="BG62" s="18" t="s">
        <v>11</v>
      </c>
      <c r="BH62" s="16"/>
      <c r="BI62" s="99">
        <f>BH62*K62</f>
        <v>0</v>
      </c>
      <c r="BJ62" s="99">
        <v>0</v>
      </c>
      <c r="BK62" s="99">
        <f>BJ62*K62</f>
        <v>0</v>
      </c>
      <c r="BL62" s="99">
        <v>0</v>
      </c>
      <c r="BM62" s="100">
        <f>BL62*K62</f>
        <v>0</v>
      </c>
      <c r="BO62" s="113" t="s">
        <v>970</v>
      </c>
      <c r="BQ62" s="1">
        <v>42</v>
      </c>
      <c r="CD62" s="9" t="s">
        <v>174</v>
      </c>
      <c r="CF62" s="9" t="s">
        <v>171</v>
      </c>
      <c r="CG62" s="9" t="s">
        <v>42</v>
      </c>
      <c r="CK62" s="9" t="s">
        <v>148</v>
      </c>
      <c r="CQ62" s="72">
        <f>IF(BG62="základná",AJ62,0)</f>
        <v>0</v>
      </c>
      <c r="CR62" s="72">
        <f>IF(BG62="znížená",AJ62,0)</f>
        <v>1216.182</v>
      </c>
      <c r="CS62" s="72">
        <f>IF(BG62="zákl. prenesená",AJ62,0)</f>
        <v>0</v>
      </c>
      <c r="CT62" s="72">
        <f>IF(BG62="zníž. prenesená",AJ62,0)</f>
        <v>0</v>
      </c>
      <c r="CU62" s="72">
        <f>IF(BG62="nulová",AJ62,0)</f>
        <v>0</v>
      </c>
      <c r="CV62" s="9" t="s">
        <v>42</v>
      </c>
      <c r="CW62" s="101">
        <f>ROUND(AE62*K62,3)</f>
        <v>1216.182</v>
      </c>
      <c r="CX62" s="9" t="s">
        <v>169</v>
      </c>
      <c r="CY62" s="9" t="s">
        <v>331</v>
      </c>
    </row>
    <row r="63" spans="2:103" s="1" customFormat="1" ht="31.5" customHeight="1">
      <c r="B63" s="73"/>
      <c r="C63" s="93" t="s">
        <v>240</v>
      </c>
      <c r="D63" s="93" t="s">
        <v>149</v>
      </c>
      <c r="E63" s="94" t="s">
        <v>332</v>
      </c>
      <c r="F63" s="498" t="s">
        <v>333</v>
      </c>
      <c r="G63" s="498"/>
      <c r="H63" s="498"/>
      <c r="I63" s="498"/>
      <c r="J63" s="95" t="s">
        <v>152</v>
      </c>
      <c r="K63" s="211">
        <v>1.9410000000000001</v>
      </c>
      <c r="L63" s="211">
        <v>1.9410000000000001</v>
      </c>
      <c r="M63" s="211">
        <v>2.641</v>
      </c>
      <c r="N63" s="211">
        <v>2.641</v>
      </c>
      <c r="O63" s="211">
        <v>1.5840000000000001</v>
      </c>
      <c r="P63" s="306">
        <f>SUM(K63:O63)</f>
        <v>10.747999999999999</v>
      </c>
      <c r="Q63" s="307">
        <v>0</v>
      </c>
      <c r="R63" s="211">
        <v>0</v>
      </c>
      <c r="S63" s="211">
        <v>0</v>
      </c>
      <c r="T63" s="211">
        <v>0</v>
      </c>
      <c r="U63" s="211">
        <v>0</v>
      </c>
      <c r="V63" s="220">
        <f>SUM(Q63:U63)</f>
        <v>0</v>
      </c>
      <c r="W63" s="289">
        <f t="shared" si="156"/>
        <v>0</v>
      </c>
      <c r="X63" s="307">
        <f t="shared" si="157"/>
        <v>1.9410000000000001</v>
      </c>
      <c r="Y63" s="211">
        <f t="shared" si="158"/>
        <v>1.9410000000000001</v>
      </c>
      <c r="Z63" s="211">
        <f t="shared" si="159"/>
        <v>2.641</v>
      </c>
      <c r="AA63" s="211">
        <f t="shared" si="160"/>
        <v>2.641</v>
      </c>
      <c r="AB63" s="211">
        <f t="shared" si="161"/>
        <v>1.5840000000000001</v>
      </c>
      <c r="AC63" s="220">
        <f>SUM(X63:AB63)</f>
        <v>10.747999999999999</v>
      </c>
      <c r="AD63" s="289">
        <f>AC63/P63</f>
        <v>1</v>
      </c>
      <c r="AE63" s="310">
        <v>31.2</v>
      </c>
      <c r="AF63" s="230">
        <v>31.2</v>
      </c>
      <c r="AG63" s="230">
        <v>31.2</v>
      </c>
      <c r="AH63" s="230">
        <v>31.2</v>
      </c>
      <c r="AI63" s="230">
        <v>31.2</v>
      </c>
      <c r="AJ63" s="211">
        <f>ROUND(AE63*K63,3)</f>
        <v>60.558999999999997</v>
      </c>
      <c r="AK63" s="211">
        <f>ROUND(AE63*L63,3)</f>
        <v>60.558999999999997</v>
      </c>
      <c r="AL63" s="211">
        <f>ROUND(AE63*M63,3)</f>
        <v>82.399000000000001</v>
      </c>
      <c r="AM63" s="211">
        <f>ROUND(AE63*N63,3)</f>
        <v>82.399000000000001</v>
      </c>
      <c r="AN63" s="211">
        <f>ROUND(AE63*O63,3)</f>
        <v>49.420999999999999</v>
      </c>
      <c r="AO63" s="295">
        <f>AJ63+AK63+AL63+AM63+AN63</f>
        <v>335.33699999999999</v>
      </c>
      <c r="AP63" s="277">
        <f t="shared" si="162"/>
        <v>0</v>
      </c>
      <c r="AQ63" s="211">
        <f t="shared" si="163"/>
        <v>0</v>
      </c>
      <c r="AR63" s="211">
        <f t="shared" si="164"/>
        <v>0</v>
      </c>
      <c r="AS63" s="211">
        <f t="shared" si="165"/>
        <v>0</v>
      </c>
      <c r="AT63" s="211">
        <f t="shared" si="166"/>
        <v>0</v>
      </c>
      <c r="AU63" s="211">
        <f>AP63+AQ63+AR63+AS63+AT63</f>
        <v>0</v>
      </c>
      <c r="AV63" s="312">
        <f t="shared" si="167"/>
        <v>0</v>
      </c>
      <c r="AW63" s="277">
        <f t="shared" si="168"/>
        <v>60.558999999999997</v>
      </c>
      <c r="AX63" s="211">
        <f t="shared" si="169"/>
        <v>60.558999999999997</v>
      </c>
      <c r="AY63" s="211">
        <f t="shared" si="170"/>
        <v>82.399000000000001</v>
      </c>
      <c r="AZ63" s="211">
        <f t="shared" si="171"/>
        <v>82.399000000000001</v>
      </c>
      <c r="BA63" s="211">
        <f t="shared" si="172"/>
        <v>49.420999999999999</v>
      </c>
      <c r="BB63" s="211">
        <f>AW63+AX63+AY63+AZ63+BA63</f>
        <v>335.33699999999999</v>
      </c>
      <c r="BC63" s="289">
        <f t="shared" si="173"/>
        <v>1</v>
      </c>
      <c r="BD63" s="74"/>
      <c r="BF63" s="98" t="s">
        <v>0</v>
      </c>
      <c r="BG63" s="18" t="s">
        <v>11</v>
      </c>
      <c r="BH63" s="16"/>
      <c r="BI63" s="99">
        <f>BH63*K63</f>
        <v>0</v>
      </c>
      <c r="BJ63" s="99">
        <v>0</v>
      </c>
      <c r="BK63" s="99">
        <f>BJ63*K63</f>
        <v>0</v>
      </c>
      <c r="BL63" s="99">
        <v>0</v>
      </c>
      <c r="BM63" s="100">
        <f>BL63*K63</f>
        <v>0</v>
      </c>
      <c r="BQ63" s="1">
        <v>30</v>
      </c>
      <c r="CD63" s="9" t="s">
        <v>169</v>
      </c>
      <c r="CF63" s="9" t="s">
        <v>149</v>
      </c>
      <c r="CG63" s="9" t="s">
        <v>42</v>
      </c>
      <c r="CK63" s="9" t="s">
        <v>148</v>
      </c>
      <c r="CQ63" s="72">
        <f>IF(BG63="základná",AJ63,0)</f>
        <v>0</v>
      </c>
      <c r="CR63" s="72">
        <f>IF(BG63="znížená",AJ63,0)</f>
        <v>60.558999999999997</v>
      </c>
      <c r="CS63" s="72">
        <f>IF(BG63="zákl. prenesená",AJ63,0)</f>
        <v>0</v>
      </c>
      <c r="CT63" s="72">
        <f>IF(BG63="zníž. prenesená",AJ63,0)</f>
        <v>0</v>
      </c>
      <c r="CU63" s="72">
        <f>IF(BG63="nulová",AJ63,0)</f>
        <v>0</v>
      </c>
      <c r="CV63" s="9" t="s">
        <v>42</v>
      </c>
      <c r="CW63" s="101">
        <f>ROUND(AE63*K63,3)</f>
        <v>60.558999999999997</v>
      </c>
      <c r="CX63" s="9" t="s">
        <v>169</v>
      </c>
      <c r="CY63" s="9" t="s">
        <v>334</v>
      </c>
    </row>
    <row r="64" spans="2:103" s="1" customFormat="1" ht="33" customHeight="1">
      <c r="B64" s="15"/>
      <c r="C64" s="393"/>
      <c r="D64" s="441" t="s">
        <v>243</v>
      </c>
      <c r="E64" s="393"/>
      <c r="F64" s="393"/>
      <c r="G64" s="393"/>
      <c r="H64" s="393"/>
      <c r="I64" s="393"/>
      <c r="J64" s="393"/>
      <c r="K64" s="394"/>
      <c r="L64" s="394"/>
      <c r="M64" s="394"/>
      <c r="N64" s="394"/>
      <c r="O64" s="394"/>
      <c r="P64" s="394"/>
      <c r="Q64" s="394"/>
      <c r="R64" s="394"/>
      <c r="S64" s="394"/>
      <c r="T64" s="394"/>
      <c r="U64" s="394"/>
      <c r="V64" s="394"/>
      <c r="W64" s="395"/>
      <c r="X64" s="394"/>
      <c r="Y64" s="394"/>
      <c r="Z64" s="394"/>
      <c r="AA64" s="394"/>
      <c r="AB64" s="394"/>
      <c r="AC64" s="394"/>
      <c r="AD64" s="395"/>
      <c r="AE64" s="394"/>
      <c r="AF64" s="394"/>
      <c r="AG64" s="394"/>
      <c r="AH64" s="394"/>
      <c r="AI64" s="394"/>
      <c r="AJ64" s="396">
        <f t="shared" ref="AJ64:AU64" si="174">AJ67+AJ101+AJ77+AJ92+AJ96+AJ98</f>
        <v>11346.574999999999</v>
      </c>
      <c r="AK64" s="396">
        <f t="shared" si="174"/>
        <v>11346.574999999999</v>
      </c>
      <c r="AL64" s="396">
        <f t="shared" si="174"/>
        <v>16680.680999999997</v>
      </c>
      <c r="AM64" s="396">
        <f t="shared" si="174"/>
        <v>24763.42</v>
      </c>
      <c r="AN64" s="396">
        <f t="shared" si="174"/>
        <v>5056.7030000000004</v>
      </c>
      <c r="AO64" s="397">
        <f t="shared" si="174"/>
        <v>69193.953999999998</v>
      </c>
      <c r="AP64" s="396">
        <f t="shared" si="174"/>
        <v>0</v>
      </c>
      <c r="AQ64" s="396">
        <f t="shared" si="174"/>
        <v>1084.9079999999999</v>
      </c>
      <c r="AR64" s="396">
        <f t="shared" si="174"/>
        <v>70.366</v>
      </c>
      <c r="AS64" s="396">
        <f t="shared" si="174"/>
        <v>0</v>
      </c>
      <c r="AT64" s="396">
        <f t="shared" si="174"/>
        <v>102.36000000000001</v>
      </c>
      <c r="AU64" s="396">
        <f t="shared" si="174"/>
        <v>1257.634</v>
      </c>
      <c r="AV64" s="398"/>
      <c r="AW64" s="396">
        <f t="shared" ref="AW64:BB64" si="175">AW67+AW101+AW77+AW92+AW96+AW98</f>
        <v>11346.574999999999</v>
      </c>
      <c r="AX64" s="396">
        <f t="shared" si="175"/>
        <v>10261.666999999999</v>
      </c>
      <c r="AY64" s="396">
        <f t="shared" si="175"/>
        <v>16610.314999999999</v>
      </c>
      <c r="AZ64" s="396">
        <f t="shared" si="175"/>
        <v>24763.42</v>
      </c>
      <c r="BA64" s="396">
        <f t="shared" si="175"/>
        <v>4954.3430000000008</v>
      </c>
      <c r="BB64" s="396">
        <f t="shared" si="175"/>
        <v>67936.319999999992</v>
      </c>
      <c r="BC64" s="398"/>
      <c r="BD64" s="17"/>
      <c r="BF64" s="106"/>
      <c r="BG64" s="21"/>
      <c r="BH64" s="21"/>
      <c r="BI64" s="21"/>
      <c r="BJ64" s="21"/>
      <c r="BK64" s="21"/>
      <c r="BL64" s="21"/>
      <c r="BM64" s="22"/>
      <c r="CF64" s="9" t="s">
        <v>30</v>
      </c>
      <c r="CG64" s="9" t="s">
        <v>31</v>
      </c>
      <c r="CK64" s="9" t="s">
        <v>244</v>
      </c>
      <c r="CW64" s="101">
        <v>0</v>
      </c>
    </row>
    <row r="65" spans="2:103" s="1" customFormat="1" ht="33" hidden="1" customHeight="1" outlineLevel="1">
      <c r="B65" s="15"/>
      <c r="C65" s="393"/>
      <c r="D65" s="441" t="s">
        <v>1435</v>
      </c>
      <c r="E65" s="393"/>
      <c r="F65" s="393"/>
      <c r="G65" s="393"/>
      <c r="H65" s="393"/>
      <c r="I65" s="393"/>
      <c r="J65" s="393"/>
      <c r="K65" s="394"/>
      <c r="L65" s="394"/>
      <c r="M65" s="394"/>
      <c r="N65" s="394"/>
      <c r="O65" s="394"/>
      <c r="P65" s="394"/>
      <c r="Q65" s="394"/>
      <c r="R65" s="394"/>
      <c r="S65" s="394"/>
      <c r="T65" s="394"/>
      <c r="U65" s="394"/>
      <c r="V65" s="394"/>
      <c r="W65" s="395"/>
      <c r="X65" s="394"/>
      <c r="Y65" s="394"/>
      <c r="Z65" s="394"/>
      <c r="AA65" s="394"/>
      <c r="AB65" s="394"/>
      <c r="AC65" s="394"/>
      <c r="AD65" s="395"/>
      <c r="AE65" s="394"/>
      <c r="AF65" s="394"/>
      <c r="AG65" s="394"/>
      <c r="AH65" s="394"/>
      <c r="AI65" s="394"/>
      <c r="AJ65" s="476">
        <f>SUMIF(AJ68:AJ76,"&lt;0")+SUMIF(AJ78:AJ91,"&lt;0")+SUMIF(AJ93:AJ95,"&lt;0")+SUMIF(AJ97,"&lt;0")+SUMIF(AJ99:AJ100,"&lt;0")+SUMIF(AJ102:AJ104,"&lt;0")</f>
        <v>0</v>
      </c>
      <c r="AK65" s="476">
        <f>SUMIF(AK68:AK76,"&lt;0")+SUMIF(AK78:AK91,"&lt;0")+SUMIF(AK93:AK95,"&lt;0")+SUMIF(AK97,"&lt;0")+SUMIF(AK99:AK100,"&lt;0")+SUMIF(AK102:AK104,"&lt;0")</f>
        <v>0</v>
      </c>
      <c r="AL65" s="476">
        <f>SUMIF(AL68:AL76,"&lt;0")+SUMIF(AL78:AL91,"&lt;0")+SUMIF(AL93:AL95,"&lt;0")+SUMIF(AL97,"&lt;0")+SUMIF(AL99:AL100,"&lt;0")+SUMIF(AL102:AL104,"&lt;0")</f>
        <v>0</v>
      </c>
      <c r="AM65" s="476">
        <f>SUMIF(AM68:AM76,"&lt;0")+SUMIF(AM78:AM91,"&lt;0")+SUMIF(AM93:AM95,"&lt;0")+SUMIF(AM97,"&lt;0")+SUMIF(AM99:AM100,"&lt;0")+SUMIF(AM102:AM104,"&lt;0")</f>
        <v>0</v>
      </c>
      <c r="AN65" s="476">
        <f>SUMIF(AN68:AN76,"&lt;0")+SUMIF(AN78:AN91,"&lt;0")+SUMIF(AN93:AN95,"&lt;0")+SUMIF(AN97,"&lt;0")+SUMIF(AN99:AN100,"&lt;0")+SUMIF(AN102:AN104,"&lt;0")</f>
        <v>0</v>
      </c>
      <c r="AO65" s="475"/>
      <c r="AP65" s="475"/>
      <c r="AQ65" s="475"/>
      <c r="AR65" s="475"/>
      <c r="AS65" s="475"/>
      <c r="AT65" s="475"/>
      <c r="AU65" s="475"/>
      <c r="AV65" s="398"/>
      <c r="AW65" s="475"/>
      <c r="AX65" s="475"/>
      <c r="AY65" s="475"/>
      <c r="AZ65" s="475"/>
      <c r="BA65" s="475"/>
      <c r="BB65" s="475"/>
      <c r="BC65" s="398"/>
      <c r="BD65" s="17"/>
      <c r="BF65" s="464"/>
      <c r="BG65" s="464"/>
      <c r="BH65" s="464"/>
      <c r="BI65" s="464"/>
      <c r="BJ65" s="464"/>
      <c r="BK65" s="464"/>
      <c r="BL65" s="464"/>
      <c r="BM65" s="464"/>
      <c r="CF65" s="9"/>
      <c r="CG65" s="9"/>
      <c r="CK65" s="9"/>
      <c r="CW65" s="101"/>
    </row>
    <row r="66" spans="2:103" s="1" customFormat="1" ht="33" hidden="1" customHeight="1" outlineLevel="1">
      <c r="B66" s="15"/>
      <c r="C66" s="393"/>
      <c r="D66" s="441" t="s">
        <v>1436</v>
      </c>
      <c r="E66" s="393"/>
      <c r="F66" s="393"/>
      <c r="G66" s="393"/>
      <c r="H66" s="393"/>
      <c r="I66" s="393"/>
      <c r="J66" s="393"/>
      <c r="K66" s="394"/>
      <c r="L66" s="394"/>
      <c r="M66" s="394"/>
      <c r="N66" s="394"/>
      <c r="O66" s="394"/>
      <c r="P66" s="394"/>
      <c r="Q66" s="394"/>
      <c r="R66" s="394"/>
      <c r="S66" s="394"/>
      <c r="T66" s="394"/>
      <c r="U66" s="394"/>
      <c r="V66" s="394"/>
      <c r="W66" s="395"/>
      <c r="X66" s="394"/>
      <c r="Y66" s="394"/>
      <c r="Z66" s="394"/>
      <c r="AA66" s="394"/>
      <c r="AB66" s="394"/>
      <c r="AC66" s="394"/>
      <c r="AD66" s="395"/>
      <c r="AE66" s="394"/>
      <c r="AF66" s="394"/>
      <c r="AG66" s="394"/>
      <c r="AH66" s="394"/>
      <c r="AI66" s="394"/>
      <c r="AJ66" s="476">
        <f>SUMIF(AJ68:AJ76,"&gt;0")+SUMIF(AJ78:AJ91,"&gt;0")+SUMIF(AJ93:AJ95,"&gt;0")+SUMIF(AJ97,"&gt;0")+SUMIF(AJ99:AJ100,"&gt;0")+SUMIF(AJ102:AJ104,"&gt;0")</f>
        <v>11346.575000000001</v>
      </c>
      <c r="AK66" s="476">
        <f>SUMIF(AK68:AK76,"&gt;0")+SUMIF(AK78:AK91,"&gt;0")+SUMIF(AK93:AK95,"&gt;0")+SUMIF(AK97,"&gt;0")+SUMIF(AK99:AK100,"&gt;0")+SUMIF(AK102:AK104,"&gt;0")</f>
        <v>11346.575000000001</v>
      </c>
      <c r="AL66" s="476">
        <f>SUMIF(AL68:AL76,"&gt;0")+SUMIF(AL78:AL91,"&gt;0")+SUMIF(AL93:AL95,"&gt;0")+SUMIF(AL97,"&gt;0")+SUMIF(AL99:AL100,"&gt;0")+SUMIF(AL102:AL104,"&gt;0")</f>
        <v>16680.681</v>
      </c>
      <c r="AM66" s="476">
        <f>SUMIF(AM68:AM76,"&gt;0")+SUMIF(AM78:AM91,"&gt;0")+SUMIF(AM93:AM95,"&gt;0")+SUMIF(AM97,"&gt;0")+SUMIF(AM99:AM100,"&gt;0")+SUMIF(AM102:AM104,"&gt;0")</f>
        <v>24763.42</v>
      </c>
      <c r="AN66" s="476">
        <f>SUMIF(AN68:AN76,"&gt;0")+SUMIF(AN78:AN91,"&gt;0")+SUMIF(AN93:AN95,"&gt;0")+SUMIF(AN97,"&gt;0")+SUMIF(AN99:AN100,"&gt;0")+SUMIF(AN102:AN104,"&gt;0")</f>
        <v>5056.7030000000013</v>
      </c>
      <c r="AO66" s="475"/>
      <c r="AP66" s="475"/>
      <c r="AQ66" s="475"/>
      <c r="AR66" s="475"/>
      <c r="AS66" s="475"/>
      <c r="AT66" s="475"/>
      <c r="AU66" s="475"/>
      <c r="AV66" s="398"/>
      <c r="AW66" s="475"/>
      <c r="AX66" s="475"/>
      <c r="AY66" s="475"/>
      <c r="AZ66" s="475"/>
      <c r="BA66" s="475"/>
      <c r="BB66" s="475"/>
      <c r="BC66" s="398"/>
      <c r="BD66" s="17"/>
      <c r="BF66" s="464"/>
      <c r="BG66" s="464"/>
      <c r="BH66" s="464"/>
      <c r="BI66" s="464"/>
      <c r="BJ66" s="464"/>
      <c r="BK66" s="464"/>
      <c r="BL66" s="464"/>
      <c r="BM66" s="464"/>
      <c r="CF66" s="9"/>
      <c r="CG66" s="9"/>
      <c r="CK66" s="9"/>
      <c r="CW66" s="101"/>
    </row>
    <row r="67" spans="2:103" s="1" customFormat="1" ht="18" customHeight="1" collapsed="1">
      <c r="B67" s="15"/>
      <c r="C67" s="83"/>
      <c r="D67" s="92" t="s">
        <v>245</v>
      </c>
      <c r="E67" s="92"/>
      <c r="F67" s="92"/>
      <c r="G67" s="92"/>
      <c r="H67" s="92"/>
      <c r="I67" s="92"/>
      <c r="J67" s="92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85"/>
      <c r="X67" s="219"/>
      <c r="Y67" s="219"/>
      <c r="Z67" s="219"/>
      <c r="AA67" s="219"/>
      <c r="AB67" s="219"/>
      <c r="AC67" s="219"/>
      <c r="AD67" s="285"/>
      <c r="AE67" s="219"/>
      <c r="AF67" s="219"/>
      <c r="AG67" s="219"/>
      <c r="AH67" s="219"/>
      <c r="AI67" s="219"/>
      <c r="AJ67" s="213">
        <f t="shared" ref="AJ67:AU67" si="176">SUM(AJ68:AJ76)</f>
        <v>5386.5070000000005</v>
      </c>
      <c r="AK67" s="213">
        <f t="shared" si="176"/>
        <v>5386.5070000000005</v>
      </c>
      <c r="AL67" s="213">
        <f t="shared" si="176"/>
        <v>9546.0720000000001</v>
      </c>
      <c r="AM67" s="213">
        <f t="shared" si="176"/>
        <v>9548.5759999999991</v>
      </c>
      <c r="AN67" s="213">
        <f t="shared" si="176"/>
        <v>2165.0650000000001</v>
      </c>
      <c r="AO67" s="213">
        <f t="shared" si="176"/>
        <v>32032.726999999995</v>
      </c>
      <c r="AP67" s="213">
        <f t="shared" si="176"/>
        <v>0</v>
      </c>
      <c r="AQ67" s="213">
        <f t="shared" si="176"/>
        <v>172.26499999999999</v>
      </c>
      <c r="AR67" s="213">
        <f t="shared" si="176"/>
        <v>0</v>
      </c>
      <c r="AS67" s="213">
        <f t="shared" si="176"/>
        <v>0</v>
      </c>
      <c r="AT67" s="213">
        <f t="shared" si="176"/>
        <v>0</v>
      </c>
      <c r="AU67" s="213">
        <f t="shared" si="176"/>
        <v>172.26499999999999</v>
      </c>
      <c r="AV67" s="316"/>
      <c r="AW67" s="213">
        <f t="shared" ref="AW67:BB67" si="177">SUM(AW68:AW76)</f>
        <v>5386.5070000000005</v>
      </c>
      <c r="AX67" s="213">
        <f t="shared" si="177"/>
        <v>5214.2420000000002</v>
      </c>
      <c r="AY67" s="213">
        <f t="shared" si="177"/>
        <v>9546.0720000000001</v>
      </c>
      <c r="AZ67" s="213">
        <f t="shared" si="177"/>
        <v>9548.5759999999991</v>
      </c>
      <c r="BA67" s="213">
        <f t="shared" si="177"/>
        <v>2165.0650000000001</v>
      </c>
      <c r="BB67" s="213">
        <f t="shared" si="177"/>
        <v>31860.461999999996</v>
      </c>
      <c r="BC67" s="316"/>
      <c r="BD67" s="17"/>
      <c r="BF67" s="151"/>
      <c r="BG67" s="151"/>
      <c r="BH67" s="151"/>
      <c r="BI67" s="151"/>
      <c r="BJ67" s="151"/>
      <c r="BK67" s="151"/>
      <c r="BL67" s="151"/>
      <c r="BM67" s="151"/>
      <c r="CF67" s="9"/>
      <c r="CG67" s="9"/>
      <c r="CK67" s="9"/>
      <c r="CW67" s="101"/>
    </row>
    <row r="68" spans="2:103" s="1" customFormat="1" ht="22.5" customHeight="1">
      <c r="B68" s="73"/>
      <c r="C68" s="93">
        <v>1</v>
      </c>
      <c r="D68" s="93" t="s">
        <v>149</v>
      </c>
      <c r="E68" s="94" t="s">
        <v>249</v>
      </c>
      <c r="F68" s="498" t="s">
        <v>250</v>
      </c>
      <c r="G68" s="498"/>
      <c r="H68" s="498"/>
      <c r="I68" s="498"/>
      <c r="J68" s="95" t="s">
        <v>168</v>
      </c>
      <c r="K68" s="211">
        <v>219.755</v>
      </c>
      <c r="L68" s="211">
        <v>219.755</v>
      </c>
      <c r="M68" s="211">
        <v>266.67700000000002</v>
      </c>
      <c r="N68" s="211">
        <v>242.59399999999999</v>
      </c>
      <c r="O68" s="211">
        <v>36.895000000000003</v>
      </c>
      <c r="P68" s="306">
        <f>SUM(K68:O68)</f>
        <v>985.67599999999993</v>
      </c>
      <c r="Q68" s="307">
        <v>0</v>
      </c>
      <c r="R68" s="211">
        <v>0</v>
      </c>
      <c r="S68" s="211">
        <v>0</v>
      </c>
      <c r="T68" s="211">
        <v>0</v>
      </c>
      <c r="U68" s="211">
        <v>0</v>
      </c>
      <c r="V68" s="220">
        <f t="shared" ref="V68:V69" si="178">SUM(Q68:U68)</f>
        <v>0</v>
      </c>
      <c r="W68" s="289">
        <f>V68/P68</f>
        <v>0</v>
      </c>
      <c r="X68" s="307">
        <f>K68-Q68</f>
        <v>219.755</v>
      </c>
      <c r="Y68" s="211">
        <f t="shared" ref="Y68:Y69" si="179">L68-R68</f>
        <v>219.755</v>
      </c>
      <c r="Z68" s="211">
        <f t="shared" ref="Z68:Z69" si="180">M68-S68</f>
        <v>266.67700000000002</v>
      </c>
      <c r="AA68" s="211">
        <f t="shared" ref="AA68:AA69" si="181">N68-T68</f>
        <v>242.59399999999999</v>
      </c>
      <c r="AB68" s="211">
        <f t="shared" ref="AB68:AB69" si="182">O68-U68</f>
        <v>36.895000000000003</v>
      </c>
      <c r="AC68" s="220">
        <f>SUM(X68:AB68)</f>
        <v>985.67599999999993</v>
      </c>
      <c r="AD68" s="289">
        <f t="shared" ref="AD68:AD69" si="183">AC68/P68</f>
        <v>1</v>
      </c>
      <c r="AE68" s="309">
        <v>4.99</v>
      </c>
      <c r="AF68" s="221">
        <v>4.99</v>
      </c>
      <c r="AG68" s="221">
        <v>4.99</v>
      </c>
      <c r="AH68" s="221">
        <v>4.99</v>
      </c>
      <c r="AI68" s="221">
        <v>4.99</v>
      </c>
      <c r="AJ68" s="211">
        <f t="shared" ref="AJ68:AJ69" si="184">ROUND(AE68*K68,3)</f>
        <v>1096.577</v>
      </c>
      <c r="AK68" s="211">
        <f t="shared" ref="AK68:AK69" si="185">ROUND(AE68*L68,3)</f>
        <v>1096.577</v>
      </c>
      <c r="AL68" s="211">
        <f t="shared" ref="AL68:AL69" si="186">ROUND(AE68*M68,3)</f>
        <v>1330.7180000000001</v>
      </c>
      <c r="AM68" s="211">
        <f t="shared" ref="AM68:AM69" si="187">ROUND(AE68*N68,3)</f>
        <v>1210.5440000000001</v>
      </c>
      <c r="AN68" s="211">
        <f t="shared" ref="AN68:AN69" si="188">ROUND(AE68*O68,3)</f>
        <v>184.10599999999999</v>
      </c>
      <c r="AO68" s="295">
        <f t="shared" ref="AO68:AO69" si="189">AJ68+AK68+AL68+AM68+AN68</f>
        <v>4918.5219999999999</v>
      </c>
      <c r="AP68" s="211">
        <f>ROUND(AE68*Q68,3)</f>
        <v>0</v>
      </c>
      <c r="AQ68" s="211">
        <f t="shared" ref="AQ68:AQ69" si="190">ROUND(AF68*R68,3)</f>
        <v>0</v>
      </c>
      <c r="AR68" s="211">
        <f t="shared" ref="AR68:AR69" si="191">ROUND(AG68*S68,3)</f>
        <v>0</v>
      </c>
      <c r="AS68" s="211">
        <f t="shared" ref="AS68:AS69" si="192">ROUND(AH68*T68,3)</f>
        <v>0</v>
      </c>
      <c r="AT68" s="211">
        <f t="shared" ref="AT68:AT69" si="193">ROUND(AI68*U68,3)</f>
        <v>0</v>
      </c>
      <c r="AU68" s="211">
        <f t="shared" ref="AU68:AU69" si="194">AP68+AQ68+AR68+AS68+AT68</f>
        <v>0</v>
      </c>
      <c r="AV68" s="312">
        <f t="shared" ref="AV68:AV69" si="195">AU68/AO68</f>
        <v>0</v>
      </c>
      <c r="AW68" s="277">
        <f>AJ68-AP68</f>
        <v>1096.577</v>
      </c>
      <c r="AX68" s="277">
        <f t="shared" ref="AX68:AX69" si="196">AK68-AQ68</f>
        <v>1096.577</v>
      </c>
      <c r="AY68" s="277">
        <f t="shared" ref="AY68:AY69" si="197">AL68-AR68</f>
        <v>1330.7180000000001</v>
      </c>
      <c r="AZ68" s="277">
        <f t="shared" ref="AZ68:AZ69" si="198">AM68-AS68</f>
        <v>1210.5440000000001</v>
      </c>
      <c r="BA68" s="277">
        <f t="shared" ref="BA68:BA69" si="199">AN68-AT68</f>
        <v>184.10599999999999</v>
      </c>
      <c r="BB68" s="211">
        <f t="shared" ref="BB68:BB69" si="200">AW68+AX68+AY68+AZ68+BA68</f>
        <v>4918.5219999999999</v>
      </c>
      <c r="BC68" s="289">
        <f t="shared" ref="BC68:BC69" si="201">BB68/AO68</f>
        <v>1</v>
      </c>
      <c r="BD68" s="74"/>
      <c r="BF68" s="98" t="s">
        <v>0</v>
      </c>
      <c r="BG68" s="18" t="s">
        <v>11</v>
      </c>
      <c r="BH68" s="274"/>
      <c r="BI68" s="99">
        <f>BH68*K68</f>
        <v>0</v>
      </c>
      <c r="BJ68" s="99">
        <v>0</v>
      </c>
      <c r="BK68" s="99">
        <f>BJ68*K68</f>
        <v>0</v>
      </c>
      <c r="BL68" s="99">
        <v>0</v>
      </c>
      <c r="BM68" s="100">
        <f>BL68*K68</f>
        <v>0</v>
      </c>
      <c r="BQ68" s="1">
        <v>4.8</v>
      </c>
      <c r="CD68" s="9" t="s">
        <v>153</v>
      </c>
      <c r="CF68" s="9" t="s">
        <v>149</v>
      </c>
      <c r="CG68" s="9" t="s">
        <v>42</v>
      </c>
      <c r="CK68" s="9" t="s">
        <v>148</v>
      </c>
      <c r="CQ68" s="72">
        <f>IF(BG68="základná",AJ68,0)</f>
        <v>0</v>
      </c>
      <c r="CR68" s="72">
        <f>IF(BG68="znížená",AJ68,0)</f>
        <v>1096.577</v>
      </c>
      <c r="CS68" s="72">
        <f>IF(BG68="zákl. prenesená",AJ68,0)</f>
        <v>0</v>
      </c>
      <c r="CT68" s="72">
        <f>IF(BG68="zníž. prenesená",AJ68,0)</f>
        <v>0</v>
      </c>
      <c r="CU68" s="72">
        <f>IF(BG68="nulová",AJ68,0)</f>
        <v>0</v>
      </c>
      <c r="CV68" s="9" t="s">
        <v>42</v>
      </c>
      <c r="CW68" s="101">
        <f>ROUND(AE68*K68,3)</f>
        <v>1096.577</v>
      </c>
      <c r="CX68" s="9" t="s">
        <v>153</v>
      </c>
      <c r="CY68" s="9" t="s">
        <v>251</v>
      </c>
    </row>
    <row r="69" spans="2:103" s="1" customFormat="1" ht="22.5" customHeight="1">
      <c r="B69" s="73"/>
      <c r="C69" s="93">
        <v>2</v>
      </c>
      <c r="D69" s="93" t="s">
        <v>149</v>
      </c>
      <c r="E69" s="94" t="s">
        <v>252</v>
      </c>
      <c r="F69" s="498" t="s">
        <v>253</v>
      </c>
      <c r="G69" s="498"/>
      <c r="H69" s="498"/>
      <c r="I69" s="498"/>
      <c r="J69" s="95" t="s">
        <v>168</v>
      </c>
      <c r="K69" s="211">
        <f>(K72+K73+K74+K75+K76+K97+K98+K99+K25+K26+K27+K28+K29+K52+K53)*0.3-K22</f>
        <v>112.45256000000001</v>
      </c>
      <c r="L69" s="211">
        <f>(L72+L73+L74+L75+L76+L97+L98+L99+L25+L26+L27+L28+L29+L52+L53)*0.3-L22</f>
        <v>112.45256000000001</v>
      </c>
      <c r="M69" s="211">
        <f>(M72+M73+M74+M75+M76+M97+M98+M99+M25+M26+M27+M28+M29+M52+M53)*0.3-M22</f>
        <v>142.4933</v>
      </c>
      <c r="N69" s="211">
        <f>(N72+N73+N74+N75+N76+N97+N98+N99+N25+N26+N27+N28+N29+N52+N53)*0.3-N22</f>
        <v>169.39759999999998</v>
      </c>
      <c r="O69" s="211">
        <f>(O72+O73+O74+O75+O76+O97+O98+O99+O25+O26+O27+O28+O29+O52+O53)*0.3-O22</f>
        <v>41.299399999999999</v>
      </c>
      <c r="P69" s="306">
        <f t="shared" ref="P69" si="202">SUM(K69:O69)</f>
        <v>578.09541999999999</v>
      </c>
      <c r="Q69" s="307">
        <v>0</v>
      </c>
      <c r="R69" s="211">
        <v>0</v>
      </c>
      <c r="S69" s="211">
        <v>0</v>
      </c>
      <c r="T69" s="211">
        <v>0</v>
      </c>
      <c r="U69" s="211">
        <v>0</v>
      </c>
      <c r="V69" s="220">
        <f t="shared" si="178"/>
        <v>0</v>
      </c>
      <c r="W69" s="289">
        <f t="shared" ref="W69" si="203">V69/P69</f>
        <v>0</v>
      </c>
      <c r="X69" s="307">
        <f t="shared" ref="X69" si="204">K69-Q69</f>
        <v>112.45256000000001</v>
      </c>
      <c r="Y69" s="211">
        <f t="shared" si="179"/>
        <v>112.45256000000001</v>
      </c>
      <c r="Z69" s="211">
        <f t="shared" si="180"/>
        <v>142.4933</v>
      </c>
      <c r="AA69" s="211">
        <f t="shared" si="181"/>
        <v>169.39759999999998</v>
      </c>
      <c r="AB69" s="211">
        <f t="shared" si="182"/>
        <v>41.299399999999999</v>
      </c>
      <c r="AC69" s="220">
        <f t="shared" ref="AC69" si="205">SUM(X69:AB69)</f>
        <v>578.09541999999999</v>
      </c>
      <c r="AD69" s="289">
        <f t="shared" si="183"/>
        <v>1</v>
      </c>
      <c r="AE69" s="309">
        <v>14.2</v>
      </c>
      <c r="AF69" s="221">
        <v>14.2</v>
      </c>
      <c r="AG69" s="221">
        <v>14.2</v>
      </c>
      <c r="AH69" s="221">
        <v>14.2</v>
      </c>
      <c r="AI69" s="221">
        <v>14.2</v>
      </c>
      <c r="AJ69" s="211">
        <f t="shared" si="184"/>
        <v>1596.826</v>
      </c>
      <c r="AK69" s="211">
        <f t="shared" si="185"/>
        <v>1596.826</v>
      </c>
      <c r="AL69" s="211">
        <f t="shared" si="186"/>
        <v>2023.405</v>
      </c>
      <c r="AM69" s="211">
        <f t="shared" si="187"/>
        <v>2405.4459999999999</v>
      </c>
      <c r="AN69" s="211">
        <f t="shared" si="188"/>
        <v>586.45100000000002</v>
      </c>
      <c r="AO69" s="295">
        <f t="shared" si="189"/>
        <v>8208.9539999999997</v>
      </c>
      <c r="AP69" s="211">
        <f t="shared" ref="AP69" si="206">ROUND(AE69*Q69,3)</f>
        <v>0</v>
      </c>
      <c r="AQ69" s="211">
        <f t="shared" si="190"/>
        <v>0</v>
      </c>
      <c r="AR69" s="211">
        <f t="shared" si="191"/>
        <v>0</v>
      </c>
      <c r="AS69" s="211">
        <f t="shared" si="192"/>
        <v>0</v>
      </c>
      <c r="AT69" s="211">
        <f t="shared" si="193"/>
        <v>0</v>
      </c>
      <c r="AU69" s="211">
        <f t="shared" si="194"/>
        <v>0</v>
      </c>
      <c r="AV69" s="312">
        <f t="shared" si="195"/>
        <v>0</v>
      </c>
      <c r="AW69" s="277">
        <f t="shared" ref="AW69" si="207">AJ69-AP69</f>
        <v>1596.826</v>
      </c>
      <c r="AX69" s="277">
        <f t="shared" si="196"/>
        <v>1596.826</v>
      </c>
      <c r="AY69" s="277">
        <f t="shared" si="197"/>
        <v>2023.405</v>
      </c>
      <c r="AZ69" s="277">
        <f t="shared" si="198"/>
        <v>2405.4459999999999</v>
      </c>
      <c r="BA69" s="277">
        <f t="shared" si="199"/>
        <v>586.45100000000002</v>
      </c>
      <c r="BB69" s="211">
        <f t="shared" si="200"/>
        <v>8208.9539999999997</v>
      </c>
      <c r="BC69" s="289">
        <f t="shared" si="201"/>
        <v>1</v>
      </c>
      <c r="BD69" s="74"/>
      <c r="BF69" s="98" t="s">
        <v>0</v>
      </c>
      <c r="BG69" s="18" t="s">
        <v>11</v>
      </c>
      <c r="BH69" s="274"/>
      <c r="BI69" s="99">
        <f>BH69*K69</f>
        <v>0</v>
      </c>
      <c r="BJ69" s="99">
        <v>0</v>
      </c>
      <c r="BK69" s="99">
        <f>BJ69*K69</f>
        <v>0</v>
      </c>
      <c r="BL69" s="99">
        <v>0</v>
      </c>
      <c r="BM69" s="100">
        <f>BL69*K69</f>
        <v>0</v>
      </c>
      <c r="BQ69" s="1">
        <v>13.65</v>
      </c>
      <c r="CD69" s="9" t="s">
        <v>153</v>
      </c>
      <c r="CF69" s="9" t="s">
        <v>149</v>
      </c>
      <c r="CG69" s="9" t="s">
        <v>42</v>
      </c>
      <c r="CK69" s="9" t="s">
        <v>148</v>
      </c>
      <c r="CQ69" s="72">
        <f>IF(BG69="základná",AJ69,0)</f>
        <v>0</v>
      </c>
      <c r="CR69" s="72">
        <f>IF(BG69="znížená",AJ69,0)</f>
        <v>1596.826</v>
      </c>
      <c r="CS69" s="72">
        <f>IF(BG69="zákl. prenesená",AJ69,0)</f>
        <v>0</v>
      </c>
      <c r="CT69" s="72">
        <f>IF(BG69="zníž. prenesená",AJ69,0)</f>
        <v>0</v>
      </c>
      <c r="CU69" s="72">
        <f>IF(BG69="nulová",AJ69,0)</f>
        <v>0</v>
      </c>
      <c r="CV69" s="9" t="s">
        <v>42</v>
      </c>
      <c r="CW69" s="101">
        <f>ROUND(AE69*K69,3)</f>
        <v>1596.826</v>
      </c>
      <c r="CX69" s="9" t="s">
        <v>153</v>
      </c>
      <c r="CY69" s="9" t="s">
        <v>254</v>
      </c>
    </row>
    <row r="70" spans="2:103" s="1" customFormat="1" ht="31.5" customHeight="1">
      <c r="B70" s="73"/>
      <c r="C70" s="93">
        <v>3</v>
      </c>
      <c r="D70" s="93" t="s">
        <v>149</v>
      </c>
      <c r="E70" s="94" t="s">
        <v>255</v>
      </c>
      <c r="F70" s="498" t="s">
        <v>256</v>
      </c>
      <c r="G70" s="498"/>
      <c r="H70" s="498"/>
      <c r="I70" s="498"/>
      <c r="J70" s="95" t="s">
        <v>168</v>
      </c>
      <c r="K70" s="211">
        <f>K76+K25+K28+K29-K23</f>
        <v>56.755200000000059</v>
      </c>
      <c r="L70" s="211">
        <f>L76+L25+L28+L29-L23</f>
        <v>56.755200000000059</v>
      </c>
      <c r="M70" s="211">
        <f>597.3-M23</f>
        <v>96.299999999999955</v>
      </c>
      <c r="N70" s="211">
        <f>N76+N25+N28+N29-N23</f>
        <v>156.78700000000003</v>
      </c>
      <c r="O70" s="211">
        <f>O76+O25+O28+O29-O23</f>
        <v>45.006</v>
      </c>
      <c r="P70" s="306">
        <f t="shared" ref="P70:P76" si="208">SUM(K70:O70)</f>
        <v>411.60340000000008</v>
      </c>
      <c r="Q70" s="307">
        <v>0</v>
      </c>
      <c r="R70" s="211">
        <v>0</v>
      </c>
      <c r="S70" s="211">
        <v>0</v>
      </c>
      <c r="T70" s="211">
        <v>0</v>
      </c>
      <c r="U70" s="211">
        <v>0</v>
      </c>
      <c r="V70" s="220">
        <f t="shared" ref="V70:V76" si="209">SUM(Q70:U70)</f>
        <v>0</v>
      </c>
      <c r="W70" s="289">
        <f t="shared" ref="W70:W76" si="210">V70/P70</f>
        <v>0</v>
      </c>
      <c r="X70" s="307">
        <f t="shared" ref="X70:X76" si="211">K70-Q70</f>
        <v>56.755200000000059</v>
      </c>
      <c r="Y70" s="211">
        <f t="shared" ref="Y70:Y76" si="212">L70-R70</f>
        <v>56.755200000000059</v>
      </c>
      <c r="Z70" s="211">
        <f t="shared" ref="Z70:Z76" si="213">M70-S70</f>
        <v>96.299999999999955</v>
      </c>
      <c r="AA70" s="211">
        <f t="shared" ref="AA70:AA76" si="214">N70-T70</f>
        <v>156.78700000000003</v>
      </c>
      <c r="AB70" s="211">
        <f t="shared" ref="AB70:AB76" si="215">O70-U70</f>
        <v>45.006</v>
      </c>
      <c r="AC70" s="220">
        <f t="shared" ref="AC70:AC76" si="216">SUM(X70:AB70)</f>
        <v>411.60340000000008</v>
      </c>
      <c r="AD70" s="289">
        <f t="shared" ref="AD70:AD76" si="217">AC70/P70</f>
        <v>1</v>
      </c>
      <c r="AE70" s="309">
        <v>12.34</v>
      </c>
      <c r="AF70" s="221">
        <v>12.34</v>
      </c>
      <c r="AG70" s="221">
        <v>12.34</v>
      </c>
      <c r="AH70" s="221">
        <v>12.34</v>
      </c>
      <c r="AI70" s="221">
        <v>12.34</v>
      </c>
      <c r="AJ70" s="211">
        <f t="shared" ref="AJ70:AJ76" si="218">ROUND(AE70*K70,3)</f>
        <v>700.35900000000004</v>
      </c>
      <c r="AK70" s="211">
        <f t="shared" ref="AK70:AK76" si="219">ROUND(AE70*L70,3)</f>
        <v>700.35900000000004</v>
      </c>
      <c r="AL70" s="211">
        <f t="shared" ref="AL70:AL76" si="220">ROUND(AE70*M70,3)</f>
        <v>1188.3420000000001</v>
      </c>
      <c r="AM70" s="211">
        <f t="shared" ref="AM70:AM76" si="221">ROUND(AE70*N70,3)</f>
        <v>1934.752</v>
      </c>
      <c r="AN70" s="211">
        <f t="shared" ref="AN70:AN76" si="222">ROUND(AE70*O70,3)</f>
        <v>555.37400000000002</v>
      </c>
      <c r="AO70" s="295">
        <f t="shared" ref="AO70:AO76" si="223">AJ70+AK70+AL70+AM70+AN70</f>
        <v>5079.1859999999997</v>
      </c>
      <c r="AP70" s="211">
        <f t="shared" ref="AP70:AP76" si="224">ROUND(AE70*Q70,3)</f>
        <v>0</v>
      </c>
      <c r="AQ70" s="211">
        <f t="shared" ref="AQ70:AQ76" si="225">ROUND(AF70*R70,3)</f>
        <v>0</v>
      </c>
      <c r="AR70" s="211">
        <f t="shared" ref="AR70:AR76" si="226">ROUND(AG70*S70,3)</f>
        <v>0</v>
      </c>
      <c r="AS70" s="211">
        <f t="shared" ref="AS70:AS76" si="227">ROUND(AH70*T70,3)</f>
        <v>0</v>
      </c>
      <c r="AT70" s="211">
        <f t="shared" ref="AT70:AT76" si="228">ROUND(AI70*U70,3)</f>
        <v>0</v>
      </c>
      <c r="AU70" s="211">
        <f t="shared" ref="AU70:AU76" si="229">AP70+AQ70+AR70+AS70+AT70</f>
        <v>0</v>
      </c>
      <c r="AV70" s="312">
        <f t="shared" ref="AV70:AV76" si="230">AU70/AO70</f>
        <v>0</v>
      </c>
      <c r="AW70" s="277">
        <f t="shared" ref="AW70:AW76" si="231">AJ70-AP70</f>
        <v>700.35900000000004</v>
      </c>
      <c r="AX70" s="211">
        <f t="shared" ref="AX70:AX76" si="232">AK70-AQ70</f>
        <v>700.35900000000004</v>
      </c>
      <c r="AY70" s="211">
        <f t="shared" ref="AY70:AY76" si="233">AL70-AR70</f>
        <v>1188.3420000000001</v>
      </c>
      <c r="AZ70" s="211">
        <f t="shared" ref="AZ70:AZ76" si="234">AM70-AS70</f>
        <v>1934.752</v>
      </c>
      <c r="BA70" s="211">
        <f t="shared" ref="BA70:BA76" si="235">AN70-AT70</f>
        <v>555.37400000000002</v>
      </c>
      <c r="BB70" s="211">
        <f t="shared" ref="BB70:BB76" si="236">AW70+AX70+AY70+AZ70+BA70</f>
        <v>5079.1859999999997</v>
      </c>
      <c r="BC70" s="289">
        <f t="shared" ref="BC70:BC76" si="237">BB70/AO70</f>
        <v>1</v>
      </c>
      <c r="BD70" s="74"/>
      <c r="BE70" s="1" t="s">
        <v>956</v>
      </c>
      <c r="BF70" s="98" t="s">
        <v>0</v>
      </c>
      <c r="BG70" s="18" t="s">
        <v>11</v>
      </c>
      <c r="BH70" s="192"/>
      <c r="BI70" s="99">
        <f>BH70*K70</f>
        <v>0</v>
      </c>
      <c r="BJ70" s="99">
        <v>0</v>
      </c>
      <c r="BK70" s="99">
        <f>BJ70*K70</f>
        <v>0</v>
      </c>
      <c r="BL70" s="99">
        <v>0</v>
      </c>
      <c r="BM70" s="100">
        <f>BL70*K70</f>
        <v>0</v>
      </c>
      <c r="BO70" s="1" t="s">
        <v>975</v>
      </c>
      <c r="BQ70" s="1">
        <v>11.87</v>
      </c>
      <c r="CD70" s="9" t="s">
        <v>153</v>
      </c>
      <c r="CF70" s="9" t="s">
        <v>149</v>
      </c>
      <c r="CG70" s="9" t="s">
        <v>42</v>
      </c>
      <c r="CK70" s="9" t="s">
        <v>148</v>
      </c>
      <c r="CQ70" s="72">
        <f>IF(BG70="základná",AJ70,0)</f>
        <v>0</v>
      </c>
      <c r="CR70" s="72">
        <f>IF(BG70="znížená",AJ70,0)</f>
        <v>700.35900000000004</v>
      </c>
      <c r="CS70" s="72">
        <f>IF(BG70="zákl. prenesená",AJ70,0)</f>
        <v>0</v>
      </c>
      <c r="CT70" s="72">
        <f>IF(BG70="zníž. prenesená",AJ70,0)</f>
        <v>0</v>
      </c>
      <c r="CU70" s="72">
        <f>IF(BG70="nulová",AJ70,0)</f>
        <v>0</v>
      </c>
      <c r="CV70" s="9" t="s">
        <v>42</v>
      </c>
      <c r="CW70" s="101">
        <f>ROUND(AE70*K70,3)</f>
        <v>700.35900000000004</v>
      </c>
      <c r="CX70" s="9" t="s">
        <v>153</v>
      </c>
      <c r="CY70" s="9" t="s">
        <v>257</v>
      </c>
    </row>
    <row r="71" spans="2:103" s="1" customFormat="1" ht="22.5" customHeight="1">
      <c r="B71" s="73"/>
      <c r="C71" s="93">
        <v>4</v>
      </c>
      <c r="D71" s="93" t="s">
        <v>149</v>
      </c>
      <c r="E71" s="94" t="s">
        <v>258</v>
      </c>
      <c r="F71" s="498" t="s">
        <v>259</v>
      </c>
      <c r="G71" s="498"/>
      <c r="H71" s="498"/>
      <c r="I71" s="498"/>
      <c r="J71" s="95" t="s">
        <v>168</v>
      </c>
      <c r="K71" s="211">
        <f>K70</f>
        <v>56.755200000000059</v>
      </c>
      <c r="L71" s="211">
        <f>L70</f>
        <v>56.755200000000059</v>
      </c>
      <c r="M71" s="211">
        <f>M70</f>
        <v>96.299999999999955</v>
      </c>
      <c r="N71" s="211">
        <f>N70</f>
        <v>156.78700000000003</v>
      </c>
      <c r="O71" s="211">
        <f>O70</f>
        <v>45.006</v>
      </c>
      <c r="P71" s="306">
        <f t="shared" si="208"/>
        <v>411.60340000000008</v>
      </c>
      <c r="Q71" s="307">
        <v>0</v>
      </c>
      <c r="R71" s="211">
        <v>0</v>
      </c>
      <c r="S71" s="211">
        <v>0</v>
      </c>
      <c r="T71" s="211">
        <v>0</v>
      </c>
      <c r="U71" s="211">
        <v>0</v>
      </c>
      <c r="V71" s="220">
        <f t="shared" si="209"/>
        <v>0</v>
      </c>
      <c r="W71" s="289">
        <f t="shared" si="210"/>
        <v>0</v>
      </c>
      <c r="X71" s="307">
        <f t="shared" si="211"/>
        <v>56.755200000000059</v>
      </c>
      <c r="Y71" s="211">
        <f t="shared" si="212"/>
        <v>56.755200000000059</v>
      </c>
      <c r="Z71" s="211">
        <f t="shared" si="213"/>
        <v>96.299999999999955</v>
      </c>
      <c r="AA71" s="211">
        <f t="shared" si="214"/>
        <v>156.78700000000003</v>
      </c>
      <c r="AB71" s="211">
        <f t="shared" si="215"/>
        <v>45.006</v>
      </c>
      <c r="AC71" s="220">
        <f t="shared" si="216"/>
        <v>411.60340000000008</v>
      </c>
      <c r="AD71" s="289">
        <f t="shared" si="217"/>
        <v>1</v>
      </c>
      <c r="AE71" s="309">
        <v>2.79</v>
      </c>
      <c r="AF71" s="221">
        <v>2.79</v>
      </c>
      <c r="AG71" s="221">
        <v>2.79</v>
      </c>
      <c r="AH71" s="221">
        <v>2.79</v>
      </c>
      <c r="AI71" s="221">
        <v>2.79</v>
      </c>
      <c r="AJ71" s="211">
        <f t="shared" si="218"/>
        <v>158.34700000000001</v>
      </c>
      <c r="AK71" s="211">
        <f t="shared" si="219"/>
        <v>158.34700000000001</v>
      </c>
      <c r="AL71" s="211">
        <f t="shared" si="220"/>
        <v>268.67700000000002</v>
      </c>
      <c r="AM71" s="211">
        <f t="shared" si="221"/>
        <v>437.43599999999998</v>
      </c>
      <c r="AN71" s="211">
        <f t="shared" si="222"/>
        <v>125.56699999999999</v>
      </c>
      <c r="AO71" s="295">
        <f t="shared" si="223"/>
        <v>1148.374</v>
      </c>
      <c r="AP71" s="211">
        <f t="shared" si="224"/>
        <v>0</v>
      </c>
      <c r="AQ71" s="211">
        <f t="shared" si="225"/>
        <v>0</v>
      </c>
      <c r="AR71" s="211">
        <f t="shared" si="226"/>
        <v>0</v>
      </c>
      <c r="AS71" s="211">
        <f t="shared" si="227"/>
        <v>0</v>
      </c>
      <c r="AT71" s="211">
        <f t="shared" si="228"/>
        <v>0</v>
      </c>
      <c r="AU71" s="211">
        <f t="shared" si="229"/>
        <v>0</v>
      </c>
      <c r="AV71" s="312">
        <f t="shared" si="230"/>
        <v>0</v>
      </c>
      <c r="AW71" s="277">
        <f t="shared" si="231"/>
        <v>158.34700000000001</v>
      </c>
      <c r="AX71" s="211">
        <f t="shared" si="232"/>
        <v>158.34700000000001</v>
      </c>
      <c r="AY71" s="211">
        <f t="shared" si="233"/>
        <v>268.67700000000002</v>
      </c>
      <c r="AZ71" s="211">
        <f t="shared" si="234"/>
        <v>437.43599999999998</v>
      </c>
      <c r="BA71" s="211">
        <f t="shared" si="235"/>
        <v>125.56699999999999</v>
      </c>
      <c r="BB71" s="211">
        <f t="shared" si="236"/>
        <v>1148.374</v>
      </c>
      <c r="BC71" s="289">
        <f t="shared" si="237"/>
        <v>1</v>
      </c>
      <c r="BD71" s="74"/>
      <c r="BE71" s="1" t="s">
        <v>956</v>
      </c>
      <c r="BF71" s="98" t="s">
        <v>0</v>
      </c>
      <c r="BG71" s="18" t="s">
        <v>11</v>
      </c>
      <c r="BH71" s="192"/>
      <c r="BI71" s="99">
        <f>BH71*K71</f>
        <v>0</v>
      </c>
      <c r="BJ71" s="99">
        <v>0</v>
      </c>
      <c r="BK71" s="99">
        <f>BJ71*K71</f>
        <v>0</v>
      </c>
      <c r="BL71" s="99">
        <v>0</v>
      </c>
      <c r="BM71" s="100">
        <f>BL71*K71</f>
        <v>0</v>
      </c>
      <c r="BO71" s="1" t="s">
        <v>957</v>
      </c>
      <c r="BQ71" s="1">
        <v>2.68</v>
      </c>
      <c r="CD71" s="9" t="s">
        <v>153</v>
      </c>
      <c r="CF71" s="9" t="s">
        <v>149</v>
      </c>
      <c r="CG71" s="9" t="s">
        <v>42</v>
      </c>
      <c r="CK71" s="9" t="s">
        <v>148</v>
      </c>
      <c r="CQ71" s="72">
        <f>IF(BG71="základná",AJ71,0)</f>
        <v>0</v>
      </c>
      <c r="CR71" s="72">
        <f>IF(BG71="znížená",AJ71,0)</f>
        <v>158.34700000000001</v>
      </c>
      <c r="CS71" s="72">
        <f>IF(BG71="zákl. prenesená",AJ71,0)</f>
        <v>0</v>
      </c>
      <c r="CT71" s="72">
        <f>IF(BG71="zníž. prenesená",AJ71,0)</f>
        <v>0</v>
      </c>
      <c r="CU71" s="72">
        <f>IF(BG71="nulová",AJ71,0)</f>
        <v>0</v>
      </c>
      <c r="CV71" s="9" t="s">
        <v>42</v>
      </c>
      <c r="CW71" s="101">
        <f>ROUND(AE71*K71,3)</f>
        <v>158.34700000000001</v>
      </c>
      <c r="CX71" s="9" t="s">
        <v>153</v>
      </c>
      <c r="CY71" s="9" t="s">
        <v>260</v>
      </c>
    </row>
    <row r="72" spans="2:103" s="1" customFormat="1" ht="31.5" customHeight="1">
      <c r="B72" s="73"/>
      <c r="C72" s="93">
        <v>5</v>
      </c>
      <c r="D72" s="93" t="s">
        <v>149</v>
      </c>
      <c r="E72" s="94" t="s">
        <v>261</v>
      </c>
      <c r="F72" s="498" t="s">
        <v>1333</v>
      </c>
      <c r="G72" s="498"/>
      <c r="H72" s="498"/>
      <c r="I72" s="498"/>
      <c r="J72" s="95" t="s">
        <v>168</v>
      </c>
      <c r="K72" s="211">
        <v>0</v>
      </c>
      <c r="L72" s="211">
        <v>0</v>
      </c>
      <c r="M72" s="211">
        <f>60.454-M25</f>
        <v>48.165999999999997</v>
      </c>
      <c r="N72" s="211">
        <v>0</v>
      </c>
      <c r="O72" s="211">
        <v>0</v>
      </c>
      <c r="P72" s="306">
        <f t="shared" si="208"/>
        <v>48.165999999999997</v>
      </c>
      <c r="Q72" s="307">
        <v>0</v>
      </c>
      <c r="R72" s="211">
        <v>0</v>
      </c>
      <c r="S72" s="211">
        <v>0</v>
      </c>
      <c r="T72" s="211">
        <v>0</v>
      </c>
      <c r="U72" s="211">
        <v>0</v>
      </c>
      <c r="V72" s="220">
        <f t="shared" si="209"/>
        <v>0</v>
      </c>
      <c r="W72" s="289">
        <f t="shared" si="210"/>
        <v>0</v>
      </c>
      <c r="X72" s="307">
        <f t="shared" si="211"/>
        <v>0</v>
      </c>
      <c r="Y72" s="211">
        <f t="shared" si="212"/>
        <v>0</v>
      </c>
      <c r="Z72" s="211">
        <f t="shared" si="213"/>
        <v>48.165999999999997</v>
      </c>
      <c r="AA72" s="211">
        <f t="shared" si="214"/>
        <v>0</v>
      </c>
      <c r="AB72" s="211">
        <f t="shared" si="215"/>
        <v>0</v>
      </c>
      <c r="AC72" s="220">
        <f t="shared" si="216"/>
        <v>48.165999999999997</v>
      </c>
      <c r="AD72" s="289">
        <f t="shared" si="217"/>
        <v>1</v>
      </c>
      <c r="AE72" s="309">
        <v>33.799999999999997</v>
      </c>
      <c r="AF72" s="221">
        <v>33.799999999999997</v>
      </c>
      <c r="AG72" s="221">
        <v>33.799999999999997</v>
      </c>
      <c r="AH72" s="221">
        <v>33.799999999999997</v>
      </c>
      <c r="AI72" s="221">
        <v>33.799999999999997</v>
      </c>
      <c r="AJ72" s="211">
        <f t="shared" si="218"/>
        <v>0</v>
      </c>
      <c r="AK72" s="211">
        <f t="shared" si="219"/>
        <v>0</v>
      </c>
      <c r="AL72" s="211">
        <f t="shared" si="220"/>
        <v>1628.011</v>
      </c>
      <c r="AM72" s="211">
        <f t="shared" si="221"/>
        <v>0</v>
      </c>
      <c r="AN72" s="211">
        <f t="shared" si="222"/>
        <v>0</v>
      </c>
      <c r="AO72" s="295">
        <f t="shared" si="223"/>
        <v>1628.011</v>
      </c>
      <c r="AP72" s="211">
        <f t="shared" si="224"/>
        <v>0</v>
      </c>
      <c r="AQ72" s="211">
        <f t="shared" si="225"/>
        <v>0</v>
      </c>
      <c r="AR72" s="211">
        <f t="shared" si="226"/>
        <v>0</v>
      </c>
      <c r="AS72" s="211">
        <f t="shared" si="227"/>
        <v>0</v>
      </c>
      <c r="AT72" s="211">
        <f t="shared" si="228"/>
        <v>0</v>
      </c>
      <c r="AU72" s="211">
        <f t="shared" si="229"/>
        <v>0</v>
      </c>
      <c r="AV72" s="312">
        <f t="shared" si="230"/>
        <v>0</v>
      </c>
      <c r="AW72" s="277">
        <f t="shared" si="231"/>
        <v>0</v>
      </c>
      <c r="AX72" s="211">
        <f t="shared" si="232"/>
        <v>0</v>
      </c>
      <c r="AY72" s="211">
        <f t="shared" si="233"/>
        <v>1628.011</v>
      </c>
      <c r="AZ72" s="211">
        <f t="shared" si="234"/>
        <v>0</v>
      </c>
      <c r="BA72" s="211">
        <f t="shared" si="235"/>
        <v>0</v>
      </c>
      <c r="BB72" s="211">
        <f t="shared" si="236"/>
        <v>1628.011</v>
      </c>
      <c r="BC72" s="289">
        <f t="shared" si="237"/>
        <v>1</v>
      </c>
      <c r="BD72" s="74"/>
      <c r="BE72" s="1" t="s">
        <v>958</v>
      </c>
      <c r="BF72" s="98" t="s">
        <v>0</v>
      </c>
      <c r="BG72" s="18" t="s">
        <v>11</v>
      </c>
      <c r="BH72" s="192"/>
      <c r="BI72" s="99">
        <f>BH72*K72</f>
        <v>0</v>
      </c>
      <c r="BJ72" s="99">
        <v>0</v>
      </c>
      <c r="BK72" s="99">
        <f>BJ72*K72</f>
        <v>0</v>
      </c>
      <c r="BL72" s="99">
        <v>0</v>
      </c>
      <c r="BM72" s="100">
        <f>BL72*K72</f>
        <v>0</v>
      </c>
      <c r="BO72" s="1" t="s">
        <v>959</v>
      </c>
      <c r="BQ72" s="1">
        <v>32.5</v>
      </c>
      <c r="CD72" s="9" t="s">
        <v>153</v>
      </c>
      <c r="CF72" s="9" t="s">
        <v>149</v>
      </c>
      <c r="CG72" s="9" t="s">
        <v>42</v>
      </c>
      <c r="CK72" s="9" t="s">
        <v>148</v>
      </c>
      <c r="CQ72" s="72">
        <f>IF(BG72="základná",AJ72,0)</f>
        <v>0</v>
      </c>
      <c r="CR72" s="72">
        <f>IF(BG72="znížená",AJ72,0)</f>
        <v>0</v>
      </c>
      <c r="CS72" s="72">
        <f>IF(BG72="zákl. prenesená",AJ72,0)</f>
        <v>0</v>
      </c>
      <c r="CT72" s="72">
        <f>IF(BG72="zníž. prenesená",AJ72,0)</f>
        <v>0</v>
      </c>
      <c r="CU72" s="72">
        <f>IF(BG72="nulová",AJ72,0)</f>
        <v>0</v>
      </c>
      <c r="CV72" s="9" t="s">
        <v>42</v>
      </c>
      <c r="CW72" s="101">
        <f>ROUND(AE72*K72,3)</f>
        <v>0</v>
      </c>
      <c r="CX72" s="9" t="s">
        <v>153</v>
      </c>
      <c r="CY72" s="9" t="s">
        <v>262</v>
      </c>
    </row>
    <row r="73" spans="2:103" s="8" customFormat="1" ht="27.75" customHeight="1">
      <c r="B73" s="107"/>
      <c r="C73" s="93">
        <v>6</v>
      </c>
      <c r="D73" s="93" t="s">
        <v>149</v>
      </c>
      <c r="E73" s="94" t="s">
        <v>263</v>
      </c>
      <c r="F73" s="498" t="s">
        <v>1335</v>
      </c>
      <c r="G73" s="498"/>
      <c r="H73" s="498"/>
      <c r="I73" s="498"/>
      <c r="J73" s="95" t="s">
        <v>168</v>
      </c>
      <c r="K73" s="211">
        <f>(8.65+2.6*2)*1</f>
        <v>13.850000000000001</v>
      </c>
      <c r="L73" s="211">
        <f>(8.65+2.6*2)*1</f>
        <v>13.850000000000001</v>
      </c>
      <c r="M73" s="211">
        <v>0</v>
      </c>
      <c r="N73" s="211">
        <v>0</v>
      </c>
      <c r="O73" s="211">
        <v>0</v>
      </c>
      <c r="P73" s="306">
        <f t="shared" si="208"/>
        <v>27.700000000000003</v>
      </c>
      <c r="Q73" s="307">
        <v>0</v>
      </c>
      <c r="R73" s="211">
        <v>6.4349999999999996</v>
      </c>
      <c r="S73" s="211">
        <v>0</v>
      </c>
      <c r="T73" s="211">
        <v>0</v>
      </c>
      <c r="U73" s="211">
        <v>0</v>
      </c>
      <c r="V73" s="220">
        <f t="shared" si="209"/>
        <v>6.4349999999999996</v>
      </c>
      <c r="W73" s="289">
        <f t="shared" si="210"/>
        <v>0.23231046931407939</v>
      </c>
      <c r="X73" s="307">
        <f t="shared" si="211"/>
        <v>13.850000000000001</v>
      </c>
      <c r="Y73" s="211">
        <f t="shared" si="212"/>
        <v>7.4150000000000018</v>
      </c>
      <c r="Z73" s="211">
        <f t="shared" si="213"/>
        <v>0</v>
      </c>
      <c r="AA73" s="211">
        <f t="shared" si="214"/>
        <v>0</v>
      </c>
      <c r="AB73" s="211">
        <f t="shared" si="215"/>
        <v>0</v>
      </c>
      <c r="AC73" s="220">
        <f t="shared" si="216"/>
        <v>21.265000000000004</v>
      </c>
      <c r="AD73" s="289">
        <f t="shared" si="217"/>
        <v>0.76768953068592061</v>
      </c>
      <c r="AE73" s="309">
        <v>26.77</v>
      </c>
      <c r="AF73" s="221">
        <v>26.77</v>
      </c>
      <c r="AG73" s="221">
        <v>26.77</v>
      </c>
      <c r="AH73" s="221">
        <v>26.77</v>
      </c>
      <c r="AI73" s="221">
        <v>26.77</v>
      </c>
      <c r="AJ73" s="211">
        <f t="shared" si="218"/>
        <v>370.76499999999999</v>
      </c>
      <c r="AK73" s="211">
        <f t="shared" si="219"/>
        <v>370.76499999999999</v>
      </c>
      <c r="AL73" s="211">
        <f t="shared" si="220"/>
        <v>0</v>
      </c>
      <c r="AM73" s="211">
        <f t="shared" si="221"/>
        <v>0</v>
      </c>
      <c r="AN73" s="211">
        <f t="shared" si="222"/>
        <v>0</v>
      </c>
      <c r="AO73" s="295">
        <f t="shared" si="223"/>
        <v>741.53</v>
      </c>
      <c r="AP73" s="211">
        <f t="shared" si="224"/>
        <v>0</v>
      </c>
      <c r="AQ73" s="211">
        <f t="shared" si="225"/>
        <v>172.26499999999999</v>
      </c>
      <c r="AR73" s="211">
        <f t="shared" si="226"/>
        <v>0</v>
      </c>
      <c r="AS73" s="211">
        <f t="shared" si="227"/>
        <v>0</v>
      </c>
      <c r="AT73" s="211">
        <f t="shared" si="228"/>
        <v>0</v>
      </c>
      <c r="AU73" s="211">
        <f t="shared" si="229"/>
        <v>172.26499999999999</v>
      </c>
      <c r="AV73" s="312">
        <f t="shared" si="230"/>
        <v>0.23231022345690666</v>
      </c>
      <c r="AW73" s="277">
        <f t="shared" si="231"/>
        <v>370.76499999999999</v>
      </c>
      <c r="AX73" s="211">
        <f t="shared" si="232"/>
        <v>198.5</v>
      </c>
      <c r="AY73" s="211">
        <f t="shared" si="233"/>
        <v>0</v>
      </c>
      <c r="AZ73" s="211">
        <f t="shared" si="234"/>
        <v>0</v>
      </c>
      <c r="BA73" s="211">
        <f t="shared" si="235"/>
        <v>0</v>
      </c>
      <c r="BB73" s="211">
        <f t="shared" si="236"/>
        <v>569.26499999999999</v>
      </c>
      <c r="BC73" s="289">
        <f t="shared" si="237"/>
        <v>0.76768977654309334</v>
      </c>
      <c r="BD73" s="108"/>
      <c r="BF73" s="109"/>
      <c r="BG73" s="136"/>
      <c r="BH73" s="136"/>
      <c r="BI73" s="136"/>
      <c r="BJ73" s="136"/>
      <c r="BK73" s="136"/>
      <c r="BL73" s="136"/>
      <c r="BM73" s="110"/>
      <c r="CF73" s="111"/>
      <c r="CG73" s="111"/>
      <c r="CK73" s="111"/>
    </row>
    <row r="74" spans="2:103" s="1" customFormat="1" ht="44.25" customHeight="1">
      <c r="B74" s="73"/>
      <c r="C74" s="93">
        <v>7</v>
      </c>
      <c r="D74" s="93" t="s">
        <v>149</v>
      </c>
      <c r="E74" s="94" t="s">
        <v>263</v>
      </c>
      <c r="F74" s="498" t="s">
        <v>1336</v>
      </c>
      <c r="G74" s="498"/>
      <c r="H74" s="498"/>
      <c r="I74" s="498"/>
      <c r="J74" s="95" t="s">
        <v>168</v>
      </c>
      <c r="K74" s="211">
        <v>0</v>
      </c>
      <c r="L74" s="211">
        <v>0</v>
      </c>
      <c r="M74" s="211">
        <v>13.8</v>
      </c>
      <c r="N74" s="211">
        <v>30.9</v>
      </c>
      <c r="O74" s="211">
        <v>0</v>
      </c>
      <c r="P74" s="306">
        <f t="shared" si="208"/>
        <v>44.7</v>
      </c>
      <c r="Q74" s="307">
        <v>0</v>
      </c>
      <c r="R74" s="211">
        <v>0</v>
      </c>
      <c r="S74" s="211">
        <v>0</v>
      </c>
      <c r="T74" s="211">
        <v>0</v>
      </c>
      <c r="U74" s="211">
        <v>0</v>
      </c>
      <c r="V74" s="220">
        <f t="shared" si="209"/>
        <v>0</v>
      </c>
      <c r="W74" s="289">
        <f t="shared" si="210"/>
        <v>0</v>
      </c>
      <c r="X74" s="307">
        <f t="shared" si="211"/>
        <v>0</v>
      </c>
      <c r="Y74" s="211">
        <f t="shared" si="212"/>
        <v>0</v>
      </c>
      <c r="Z74" s="211">
        <f t="shared" si="213"/>
        <v>13.8</v>
      </c>
      <c r="AA74" s="211">
        <f t="shared" si="214"/>
        <v>30.9</v>
      </c>
      <c r="AB74" s="211">
        <f t="shared" si="215"/>
        <v>0</v>
      </c>
      <c r="AC74" s="220">
        <f t="shared" si="216"/>
        <v>44.7</v>
      </c>
      <c r="AD74" s="289">
        <f t="shared" si="217"/>
        <v>1</v>
      </c>
      <c r="AE74" s="309">
        <v>36.29</v>
      </c>
      <c r="AF74" s="221">
        <v>36.29</v>
      </c>
      <c r="AG74" s="221">
        <v>36.29</v>
      </c>
      <c r="AH74" s="221">
        <v>36.29</v>
      </c>
      <c r="AI74" s="221">
        <v>36.29</v>
      </c>
      <c r="AJ74" s="211">
        <f t="shared" si="218"/>
        <v>0</v>
      </c>
      <c r="AK74" s="211">
        <f t="shared" si="219"/>
        <v>0</v>
      </c>
      <c r="AL74" s="211">
        <f t="shared" si="220"/>
        <v>500.80200000000002</v>
      </c>
      <c r="AM74" s="211">
        <f t="shared" si="221"/>
        <v>1121.3610000000001</v>
      </c>
      <c r="AN74" s="211">
        <f t="shared" si="222"/>
        <v>0</v>
      </c>
      <c r="AO74" s="295">
        <f t="shared" si="223"/>
        <v>1622.163</v>
      </c>
      <c r="AP74" s="211">
        <f t="shared" si="224"/>
        <v>0</v>
      </c>
      <c r="AQ74" s="211">
        <f t="shared" si="225"/>
        <v>0</v>
      </c>
      <c r="AR74" s="211">
        <f t="shared" si="226"/>
        <v>0</v>
      </c>
      <c r="AS74" s="211">
        <f t="shared" si="227"/>
        <v>0</v>
      </c>
      <c r="AT74" s="211">
        <f t="shared" si="228"/>
        <v>0</v>
      </c>
      <c r="AU74" s="211">
        <f t="shared" si="229"/>
        <v>0</v>
      </c>
      <c r="AV74" s="312">
        <f t="shared" si="230"/>
        <v>0</v>
      </c>
      <c r="AW74" s="277">
        <f t="shared" si="231"/>
        <v>0</v>
      </c>
      <c r="AX74" s="211">
        <f t="shared" si="232"/>
        <v>0</v>
      </c>
      <c r="AY74" s="211">
        <f t="shared" si="233"/>
        <v>500.80200000000002</v>
      </c>
      <c r="AZ74" s="211">
        <f t="shared" si="234"/>
        <v>1121.3610000000001</v>
      </c>
      <c r="BA74" s="211">
        <f t="shared" si="235"/>
        <v>0</v>
      </c>
      <c r="BB74" s="211">
        <f t="shared" si="236"/>
        <v>1622.163</v>
      </c>
      <c r="BC74" s="289">
        <f t="shared" si="237"/>
        <v>1</v>
      </c>
      <c r="BD74" s="74"/>
      <c r="BE74" s="1" t="s">
        <v>954</v>
      </c>
      <c r="BF74" s="98" t="s">
        <v>0</v>
      </c>
      <c r="BG74" s="18" t="s">
        <v>11</v>
      </c>
      <c r="BH74" s="192"/>
      <c r="BI74" s="99">
        <f>BH74*K74</f>
        <v>0</v>
      </c>
      <c r="BJ74" s="99">
        <v>0</v>
      </c>
      <c r="BK74" s="99">
        <f>BJ74*K74</f>
        <v>0</v>
      </c>
      <c r="BL74" s="99">
        <v>0</v>
      </c>
      <c r="BM74" s="100">
        <f>BL74*K74</f>
        <v>0</v>
      </c>
      <c r="BO74" s="1" t="s">
        <v>960</v>
      </c>
      <c r="BQ74" s="1">
        <v>34.89</v>
      </c>
      <c r="CD74" s="9" t="s">
        <v>153</v>
      </c>
      <c r="CF74" s="9" t="s">
        <v>149</v>
      </c>
      <c r="CG74" s="9" t="s">
        <v>42</v>
      </c>
      <c r="CK74" s="9" t="s">
        <v>148</v>
      </c>
      <c r="CQ74" s="72">
        <f>IF(BG74="základná",AJ74,0)</f>
        <v>0</v>
      </c>
      <c r="CR74" s="72">
        <f>IF(BG74="znížená",AJ74,0)</f>
        <v>0</v>
      </c>
      <c r="CS74" s="72">
        <f>IF(BG74="zákl. prenesená",AJ74,0)</f>
        <v>0</v>
      </c>
      <c r="CT74" s="72">
        <f>IF(BG74="zníž. prenesená",AJ74,0)</f>
        <v>0</v>
      </c>
      <c r="CU74" s="72">
        <f>IF(BG74="nulová",AJ74,0)</f>
        <v>0</v>
      </c>
      <c r="CV74" s="9" t="s">
        <v>42</v>
      </c>
      <c r="CW74" s="101">
        <f>ROUND(AE74*K74,3)</f>
        <v>0</v>
      </c>
      <c r="CX74" s="9" t="s">
        <v>153</v>
      </c>
      <c r="CY74" s="9" t="s">
        <v>264</v>
      </c>
    </row>
    <row r="75" spans="2:103" s="1" customFormat="1" ht="31.5" customHeight="1">
      <c r="B75" s="73"/>
      <c r="C75" s="93">
        <v>8</v>
      </c>
      <c r="D75" s="93" t="s">
        <v>149</v>
      </c>
      <c r="E75" s="94" t="s">
        <v>265</v>
      </c>
      <c r="F75" s="498" t="s">
        <v>1334</v>
      </c>
      <c r="G75" s="498"/>
      <c r="H75" s="498"/>
      <c r="I75" s="498"/>
      <c r="J75" s="95" t="s">
        <v>168</v>
      </c>
      <c r="K75" s="211">
        <v>0</v>
      </c>
      <c r="L75" s="211">
        <v>0</v>
      </c>
      <c r="M75" s="211">
        <v>16.260000000000002</v>
      </c>
      <c r="N75" s="211">
        <v>0</v>
      </c>
      <c r="O75" s="211">
        <v>10.9</v>
      </c>
      <c r="P75" s="306">
        <f t="shared" si="208"/>
        <v>27.160000000000004</v>
      </c>
      <c r="Q75" s="307">
        <v>0</v>
      </c>
      <c r="R75" s="211">
        <v>0</v>
      </c>
      <c r="S75" s="211">
        <v>0</v>
      </c>
      <c r="T75" s="211">
        <v>0</v>
      </c>
      <c r="U75" s="211">
        <v>0</v>
      </c>
      <c r="V75" s="220">
        <f t="shared" si="209"/>
        <v>0</v>
      </c>
      <c r="W75" s="289">
        <f t="shared" si="210"/>
        <v>0</v>
      </c>
      <c r="X75" s="307">
        <f t="shared" si="211"/>
        <v>0</v>
      </c>
      <c r="Y75" s="211">
        <f t="shared" si="212"/>
        <v>0</v>
      </c>
      <c r="Z75" s="211">
        <f t="shared" si="213"/>
        <v>16.260000000000002</v>
      </c>
      <c r="AA75" s="211">
        <f t="shared" si="214"/>
        <v>0</v>
      </c>
      <c r="AB75" s="211">
        <f t="shared" si="215"/>
        <v>10.9</v>
      </c>
      <c r="AC75" s="220">
        <f t="shared" si="216"/>
        <v>27.160000000000004</v>
      </c>
      <c r="AD75" s="289">
        <f t="shared" si="217"/>
        <v>1</v>
      </c>
      <c r="AE75" s="309">
        <v>55.05</v>
      </c>
      <c r="AF75" s="221">
        <v>55.05</v>
      </c>
      <c r="AG75" s="221">
        <v>55.05</v>
      </c>
      <c r="AH75" s="221">
        <v>55.05</v>
      </c>
      <c r="AI75" s="221">
        <v>55.05</v>
      </c>
      <c r="AJ75" s="211">
        <f t="shared" si="218"/>
        <v>0</v>
      </c>
      <c r="AK75" s="211">
        <f t="shared" si="219"/>
        <v>0</v>
      </c>
      <c r="AL75" s="211">
        <f t="shared" si="220"/>
        <v>895.11300000000006</v>
      </c>
      <c r="AM75" s="211">
        <f t="shared" si="221"/>
        <v>0</v>
      </c>
      <c r="AN75" s="211">
        <f t="shared" si="222"/>
        <v>600.04499999999996</v>
      </c>
      <c r="AO75" s="295">
        <f t="shared" si="223"/>
        <v>1495.1579999999999</v>
      </c>
      <c r="AP75" s="211">
        <f t="shared" si="224"/>
        <v>0</v>
      </c>
      <c r="AQ75" s="211">
        <f t="shared" si="225"/>
        <v>0</v>
      </c>
      <c r="AR75" s="211">
        <f t="shared" si="226"/>
        <v>0</v>
      </c>
      <c r="AS75" s="211">
        <f t="shared" si="227"/>
        <v>0</v>
      </c>
      <c r="AT75" s="211">
        <f t="shared" si="228"/>
        <v>0</v>
      </c>
      <c r="AU75" s="211">
        <f t="shared" si="229"/>
        <v>0</v>
      </c>
      <c r="AV75" s="312">
        <f t="shared" si="230"/>
        <v>0</v>
      </c>
      <c r="AW75" s="277">
        <f t="shared" si="231"/>
        <v>0</v>
      </c>
      <c r="AX75" s="211">
        <f t="shared" si="232"/>
        <v>0</v>
      </c>
      <c r="AY75" s="211">
        <f t="shared" si="233"/>
        <v>895.11300000000006</v>
      </c>
      <c r="AZ75" s="211">
        <f t="shared" si="234"/>
        <v>0</v>
      </c>
      <c r="BA75" s="211">
        <f t="shared" si="235"/>
        <v>600.04499999999996</v>
      </c>
      <c r="BB75" s="211">
        <f t="shared" si="236"/>
        <v>1495.1579999999999</v>
      </c>
      <c r="BC75" s="289">
        <f t="shared" si="237"/>
        <v>1</v>
      </c>
      <c r="BD75" s="74"/>
      <c r="BE75" s="1" t="s">
        <v>953</v>
      </c>
      <c r="BF75" s="98" t="s">
        <v>0</v>
      </c>
      <c r="BG75" s="18" t="s">
        <v>11</v>
      </c>
      <c r="BH75" s="192"/>
      <c r="BI75" s="99">
        <f>BH75*K75</f>
        <v>0</v>
      </c>
      <c r="BJ75" s="99">
        <v>0</v>
      </c>
      <c r="BK75" s="99">
        <f>BJ75*K75</f>
        <v>0</v>
      </c>
      <c r="BL75" s="99">
        <v>0</v>
      </c>
      <c r="BM75" s="100">
        <f>BL75*K75</f>
        <v>0</v>
      </c>
      <c r="BO75" s="1" t="s">
        <v>961</v>
      </c>
      <c r="BQ75" s="1">
        <v>52.93</v>
      </c>
      <c r="CD75" s="9" t="s">
        <v>153</v>
      </c>
      <c r="CF75" s="9" t="s">
        <v>149</v>
      </c>
      <c r="CG75" s="9" t="s">
        <v>42</v>
      </c>
      <c r="CK75" s="9" t="s">
        <v>148</v>
      </c>
      <c r="CQ75" s="72">
        <f>IF(BG75="základná",AJ75,0)</f>
        <v>0</v>
      </c>
      <c r="CR75" s="72">
        <f>IF(BG75="znížená",AJ75,0)</f>
        <v>0</v>
      </c>
      <c r="CS75" s="72">
        <f>IF(BG75="zákl. prenesená",AJ75,0)</f>
        <v>0</v>
      </c>
      <c r="CT75" s="72">
        <f>IF(BG75="zníž. prenesená",AJ75,0)</f>
        <v>0</v>
      </c>
      <c r="CU75" s="72">
        <f>IF(BG75="nulová",AJ75,0)</f>
        <v>0</v>
      </c>
      <c r="CV75" s="9" t="s">
        <v>42</v>
      </c>
      <c r="CW75" s="101">
        <f>ROUND(AE75*K75,3)</f>
        <v>0</v>
      </c>
      <c r="CX75" s="9" t="s">
        <v>153</v>
      </c>
      <c r="CY75" s="9" t="s">
        <v>266</v>
      </c>
    </row>
    <row r="76" spans="2:103" s="1" customFormat="1" ht="31.5" customHeight="1">
      <c r="B76" s="73"/>
      <c r="C76" s="93">
        <v>9</v>
      </c>
      <c r="D76" s="93" t="s">
        <v>149</v>
      </c>
      <c r="E76" s="94" t="s">
        <v>267</v>
      </c>
      <c r="F76" s="498" t="s">
        <v>1332</v>
      </c>
      <c r="G76" s="498"/>
      <c r="H76" s="498"/>
      <c r="I76" s="498"/>
      <c r="J76" s="95" t="s">
        <v>168</v>
      </c>
      <c r="K76" s="211">
        <f>(0.6*1.2*13*0.32)+(1.2*1.5*2*0.32)+(1.5*2.6*2*0.32)+(1.5*1.8*5*0.32)+(1.2*1.5*2*0.32)+(1.5*1.8*5*0.32)+(0.6*15*14*0.32)-K29</f>
        <v>42.972200000000001</v>
      </c>
      <c r="L76" s="211">
        <f>(0.6*1.2*13*0.32)+(1.2*1.5*2*0.32)+(1.5*2.6*2*0.32)+(1.5*1.8*5*0.32)+(1.2*1.5*2*0.32)+(1.5*1.8*5*0.32)+(0.6*15*14*0.32)-L29</f>
        <v>42.972200000000001</v>
      </c>
      <c r="M76" s="211">
        <f>64.224-M29</f>
        <v>50.234999999999999</v>
      </c>
      <c r="N76" s="211">
        <v>71.61</v>
      </c>
      <c r="O76" s="211">
        <v>3.3330000000000002</v>
      </c>
      <c r="P76" s="306">
        <f t="shared" si="208"/>
        <v>211.1224</v>
      </c>
      <c r="Q76" s="307">
        <v>0</v>
      </c>
      <c r="R76" s="211">
        <v>0</v>
      </c>
      <c r="S76" s="211">
        <v>0</v>
      </c>
      <c r="T76" s="211">
        <v>0</v>
      </c>
      <c r="U76" s="211">
        <v>0</v>
      </c>
      <c r="V76" s="220">
        <f t="shared" si="209"/>
        <v>0</v>
      </c>
      <c r="W76" s="289">
        <f t="shared" si="210"/>
        <v>0</v>
      </c>
      <c r="X76" s="307">
        <f t="shared" si="211"/>
        <v>42.972200000000001</v>
      </c>
      <c r="Y76" s="211">
        <f t="shared" si="212"/>
        <v>42.972200000000001</v>
      </c>
      <c r="Z76" s="211">
        <f t="shared" si="213"/>
        <v>50.234999999999999</v>
      </c>
      <c r="AA76" s="211">
        <f t="shared" si="214"/>
        <v>71.61</v>
      </c>
      <c r="AB76" s="211">
        <f t="shared" si="215"/>
        <v>3.3330000000000002</v>
      </c>
      <c r="AC76" s="220">
        <f t="shared" si="216"/>
        <v>211.1224</v>
      </c>
      <c r="AD76" s="289">
        <f t="shared" si="217"/>
        <v>1</v>
      </c>
      <c r="AE76" s="310">
        <v>34.06</v>
      </c>
      <c r="AF76" s="230">
        <v>34.06</v>
      </c>
      <c r="AG76" s="230">
        <v>34.06</v>
      </c>
      <c r="AH76" s="230">
        <v>34.06</v>
      </c>
      <c r="AI76" s="230">
        <v>34.06</v>
      </c>
      <c r="AJ76" s="211">
        <f t="shared" si="218"/>
        <v>1463.633</v>
      </c>
      <c r="AK76" s="211">
        <f t="shared" si="219"/>
        <v>1463.633</v>
      </c>
      <c r="AL76" s="211">
        <f t="shared" si="220"/>
        <v>1711.0039999999999</v>
      </c>
      <c r="AM76" s="211">
        <f t="shared" si="221"/>
        <v>2439.0369999999998</v>
      </c>
      <c r="AN76" s="211">
        <f t="shared" si="222"/>
        <v>113.52200000000001</v>
      </c>
      <c r="AO76" s="295">
        <f t="shared" si="223"/>
        <v>7190.8290000000006</v>
      </c>
      <c r="AP76" s="211">
        <f t="shared" si="224"/>
        <v>0</v>
      </c>
      <c r="AQ76" s="211">
        <f t="shared" si="225"/>
        <v>0</v>
      </c>
      <c r="AR76" s="211">
        <f t="shared" si="226"/>
        <v>0</v>
      </c>
      <c r="AS76" s="211">
        <f t="shared" si="227"/>
        <v>0</v>
      </c>
      <c r="AT76" s="211">
        <f t="shared" si="228"/>
        <v>0</v>
      </c>
      <c r="AU76" s="211">
        <f t="shared" si="229"/>
        <v>0</v>
      </c>
      <c r="AV76" s="312">
        <f t="shared" si="230"/>
        <v>0</v>
      </c>
      <c r="AW76" s="277">
        <f t="shared" si="231"/>
        <v>1463.633</v>
      </c>
      <c r="AX76" s="211">
        <f t="shared" si="232"/>
        <v>1463.633</v>
      </c>
      <c r="AY76" s="211">
        <f t="shared" si="233"/>
        <v>1711.0039999999999</v>
      </c>
      <c r="AZ76" s="211">
        <f t="shared" si="234"/>
        <v>2439.0369999999998</v>
      </c>
      <c r="BA76" s="211">
        <f t="shared" si="235"/>
        <v>113.52200000000001</v>
      </c>
      <c r="BB76" s="211">
        <f t="shared" si="236"/>
        <v>7190.8290000000006</v>
      </c>
      <c r="BC76" s="289">
        <f t="shared" si="237"/>
        <v>1</v>
      </c>
      <c r="BD76" s="74"/>
      <c r="BE76" s="1" t="s">
        <v>953</v>
      </c>
      <c r="BF76" s="98" t="s">
        <v>0</v>
      </c>
      <c r="BG76" s="18" t="s">
        <v>11</v>
      </c>
      <c r="BH76" s="192"/>
      <c r="BI76" s="99">
        <f>BH76*K76</f>
        <v>0</v>
      </c>
      <c r="BJ76" s="99">
        <v>0</v>
      </c>
      <c r="BK76" s="99">
        <f>BJ76*K76</f>
        <v>0</v>
      </c>
      <c r="BL76" s="99">
        <v>0</v>
      </c>
      <c r="BM76" s="100">
        <f>BL76*K76</f>
        <v>0</v>
      </c>
      <c r="BO76" s="1" t="s">
        <v>961</v>
      </c>
      <c r="BQ76" s="1">
        <v>32.75</v>
      </c>
      <c r="CD76" s="9" t="s">
        <v>153</v>
      </c>
      <c r="CF76" s="9" t="s">
        <v>149</v>
      </c>
      <c r="CG76" s="9" t="s">
        <v>42</v>
      </c>
      <c r="CK76" s="9" t="s">
        <v>148</v>
      </c>
      <c r="CQ76" s="72">
        <f>IF(BG76="základná",AJ76,0)</f>
        <v>0</v>
      </c>
      <c r="CR76" s="72">
        <f>IF(BG76="znížená",AJ76,0)</f>
        <v>1463.633</v>
      </c>
      <c r="CS76" s="72">
        <f>IF(BG76="zákl. prenesená",AJ76,0)</f>
        <v>0</v>
      </c>
      <c r="CT76" s="72">
        <f>IF(BG76="zníž. prenesená",AJ76,0)</f>
        <v>0</v>
      </c>
      <c r="CU76" s="72">
        <f>IF(BG76="nulová",AJ76,0)</f>
        <v>0</v>
      </c>
      <c r="CV76" s="9" t="s">
        <v>42</v>
      </c>
      <c r="CW76" s="101">
        <f>ROUND(AE76*K76,3)</f>
        <v>1463.633</v>
      </c>
      <c r="CX76" s="9" t="s">
        <v>153</v>
      </c>
      <c r="CY76" s="9" t="s">
        <v>268</v>
      </c>
    </row>
    <row r="77" spans="2:103" s="7" customFormat="1" ht="29.85" customHeight="1">
      <c r="B77" s="82"/>
      <c r="C77" s="83"/>
      <c r="D77" s="92" t="s">
        <v>128</v>
      </c>
      <c r="E77" s="92"/>
      <c r="F77" s="92"/>
      <c r="G77" s="92"/>
      <c r="H77" s="92"/>
      <c r="I77" s="92"/>
      <c r="J77" s="92"/>
      <c r="K77" s="219"/>
      <c r="L77" s="217"/>
      <c r="M77" s="219"/>
      <c r="N77" s="219"/>
      <c r="O77" s="219"/>
      <c r="P77" s="222"/>
      <c r="Q77" s="219"/>
      <c r="R77" s="217"/>
      <c r="S77" s="219"/>
      <c r="T77" s="219"/>
      <c r="U77" s="219"/>
      <c r="V77" s="222"/>
      <c r="W77" s="286"/>
      <c r="X77" s="219"/>
      <c r="Y77" s="217"/>
      <c r="Z77" s="219"/>
      <c r="AA77" s="219"/>
      <c r="AB77" s="219"/>
      <c r="AC77" s="222"/>
      <c r="AD77" s="286"/>
      <c r="AE77" s="219"/>
      <c r="AF77" s="219"/>
      <c r="AG77" s="219"/>
      <c r="AH77" s="219"/>
      <c r="AI77" s="219"/>
      <c r="AJ77" s="213">
        <f t="shared" ref="AJ77:AU77" si="238">SUM(AJ78:AJ91)</f>
        <v>2148.0070000000001</v>
      </c>
      <c r="AK77" s="213">
        <f t="shared" si="238"/>
        <v>2148.0070000000001</v>
      </c>
      <c r="AL77" s="213">
        <f t="shared" si="238"/>
        <v>5920.616</v>
      </c>
      <c r="AM77" s="213">
        <f t="shared" si="238"/>
        <v>6500.8869999999988</v>
      </c>
      <c r="AN77" s="213">
        <f t="shared" si="238"/>
        <v>2113.6790000000001</v>
      </c>
      <c r="AO77" s="294">
        <f t="shared" si="238"/>
        <v>18831.196</v>
      </c>
      <c r="AP77" s="213">
        <f t="shared" si="238"/>
        <v>0</v>
      </c>
      <c r="AQ77" s="213">
        <f t="shared" si="238"/>
        <v>242.88300000000001</v>
      </c>
      <c r="AR77" s="213">
        <f t="shared" si="238"/>
        <v>70.366</v>
      </c>
      <c r="AS77" s="213">
        <f t="shared" si="238"/>
        <v>0</v>
      </c>
      <c r="AT77" s="213">
        <f t="shared" si="238"/>
        <v>102.36000000000001</v>
      </c>
      <c r="AU77" s="213">
        <f t="shared" si="238"/>
        <v>415.60900000000004</v>
      </c>
      <c r="AV77" s="317"/>
      <c r="AW77" s="213">
        <f t="shared" ref="AW77:BB77" si="239">SUM(AW78:AW91)</f>
        <v>2148.0070000000001</v>
      </c>
      <c r="AX77" s="213">
        <f t="shared" si="239"/>
        <v>1905.124</v>
      </c>
      <c r="AY77" s="213">
        <f t="shared" si="239"/>
        <v>5850.25</v>
      </c>
      <c r="AZ77" s="213">
        <f t="shared" si="239"/>
        <v>6500.8869999999988</v>
      </c>
      <c r="BA77" s="213">
        <f t="shared" si="239"/>
        <v>2011.3190000000002</v>
      </c>
      <c r="BB77" s="213">
        <f t="shared" si="239"/>
        <v>18415.587</v>
      </c>
      <c r="BC77" s="317"/>
      <c r="BD77" s="85"/>
      <c r="BF77" s="86"/>
      <c r="BG77" s="83"/>
      <c r="BH77" s="83"/>
      <c r="BI77" s="87">
        <f>SUM(BI101:BI108)</f>
        <v>0</v>
      </c>
      <c r="BJ77" s="83"/>
      <c r="BK77" s="87">
        <f>SUM(BK101:BK108)</f>
        <v>0</v>
      </c>
      <c r="BL77" s="83"/>
      <c r="BM77" s="88">
        <f>SUM(BM101:BM108)</f>
        <v>0</v>
      </c>
      <c r="CD77" s="89" t="s">
        <v>38</v>
      </c>
      <c r="CF77" s="90" t="s">
        <v>30</v>
      </c>
      <c r="CG77" s="90" t="s">
        <v>38</v>
      </c>
      <c r="CK77" s="89" t="s">
        <v>148</v>
      </c>
      <c r="CW77" s="91">
        <f>SUM(CW101:CW108)</f>
        <v>5712.4780000000001</v>
      </c>
    </row>
    <row r="78" spans="2:103" s="1" customFormat="1" ht="31.5" customHeight="1">
      <c r="B78" s="73"/>
      <c r="C78" s="93">
        <v>10</v>
      </c>
      <c r="D78" s="93" t="s">
        <v>149</v>
      </c>
      <c r="E78" s="94" t="s">
        <v>269</v>
      </c>
      <c r="F78" s="498" t="s">
        <v>270</v>
      </c>
      <c r="G78" s="498"/>
      <c r="H78" s="498"/>
      <c r="I78" s="498"/>
      <c r="J78" s="95" t="s">
        <v>168</v>
      </c>
      <c r="K78" s="211">
        <f>(19.2+13.2+19.2+13.2)*8.1+(2.6*2)*4-K31</f>
        <v>75.67999999999995</v>
      </c>
      <c r="L78" s="211">
        <f>(19.2+13.2+19.2+13.2)*8.1+(2.6*2)*4-L31</f>
        <v>75.67999999999995</v>
      </c>
      <c r="M78" s="211">
        <f>699.79-M31</f>
        <v>149.78999999999996</v>
      </c>
      <c r="N78" s="211">
        <f>(26.7+14.35+26.7+14.35)*6.2-N31</f>
        <v>59.019999999999982</v>
      </c>
      <c r="O78" s="211">
        <f>(5.9+5.9+14.9+7.1+10.265+10.265)*3-O31</f>
        <v>132.76300000000001</v>
      </c>
      <c r="P78" s="306">
        <f t="shared" ref="P78:P91" si="240">SUM(K78:O78)</f>
        <v>492.93299999999988</v>
      </c>
      <c r="Q78" s="307">
        <v>0</v>
      </c>
      <c r="R78" s="211">
        <v>0</v>
      </c>
      <c r="S78" s="211">
        <v>0</v>
      </c>
      <c r="T78" s="211">
        <v>0</v>
      </c>
      <c r="U78" s="211">
        <v>0</v>
      </c>
      <c r="V78" s="220">
        <f t="shared" ref="V78:V91" si="241">SUM(Q78:U78)</f>
        <v>0</v>
      </c>
      <c r="W78" s="289">
        <f t="shared" ref="W78:W91" si="242">V78/P78</f>
        <v>0</v>
      </c>
      <c r="X78" s="307">
        <f t="shared" ref="X78:X91" si="243">K78-Q78</f>
        <v>75.67999999999995</v>
      </c>
      <c r="Y78" s="211">
        <f t="shared" ref="Y78:Y91" si="244">L78-R78</f>
        <v>75.67999999999995</v>
      </c>
      <c r="Z78" s="211">
        <f t="shared" ref="Z78:Z91" si="245">M78-S78</f>
        <v>149.78999999999996</v>
      </c>
      <c r="AA78" s="211">
        <f t="shared" ref="AA78:AA91" si="246">N78-T78</f>
        <v>59.019999999999982</v>
      </c>
      <c r="AB78" s="211">
        <f t="shared" ref="AB78:AB91" si="247">O78-U78</f>
        <v>132.76300000000001</v>
      </c>
      <c r="AC78" s="220">
        <f t="shared" ref="AC78:AC91" si="248">SUM(X78:AB78)</f>
        <v>492.93299999999988</v>
      </c>
      <c r="AD78" s="289">
        <f t="shared" ref="AD78:AD91" si="249">AC78/P78</f>
        <v>1</v>
      </c>
      <c r="AE78" s="310">
        <v>1.3</v>
      </c>
      <c r="AF78" s="230">
        <v>1.3</v>
      </c>
      <c r="AG78" s="230">
        <v>1.3</v>
      </c>
      <c r="AH78" s="230">
        <v>1.3</v>
      </c>
      <c r="AI78" s="230">
        <v>1.3</v>
      </c>
      <c r="AJ78" s="211">
        <f t="shared" ref="AJ78:AJ91" si="250">ROUND(AE78*K78,3)</f>
        <v>98.384</v>
      </c>
      <c r="AK78" s="211">
        <f t="shared" ref="AK78:AK91" si="251">ROUND(AE78*L78,3)</f>
        <v>98.384</v>
      </c>
      <c r="AL78" s="211">
        <f t="shared" ref="AL78:AL91" si="252">ROUND(AE78*M78,3)</f>
        <v>194.727</v>
      </c>
      <c r="AM78" s="211">
        <f t="shared" ref="AM78:AM91" si="253">ROUND(AE78*N78,3)</f>
        <v>76.725999999999999</v>
      </c>
      <c r="AN78" s="211">
        <f t="shared" ref="AN78:AN91" si="254">ROUND(AE78*O78,3)</f>
        <v>172.59200000000001</v>
      </c>
      <c r="AO78" s="295">
        <f t="shared" ref="AO78:AO91" si="255">AJ78+AK78+AL78+AM78+AN78</f>
        <v>640.81299999999999</v>
      </c>
      <c r="AP78" s="211">
        <f t="shared" ref="AP78:AP91" si="256">ROUND(AE78*Q78,3)</f>
        <v>0</v>
      </c>
      <c r="AQ78" s="211">
        <f t="shared" ref="AQ78:AQ91" si="257">ROUND(AF78*R78,3)</f>
        <v>0</v>
      </c>
      <c r="AR78" s="211">
        <f t="shared" ref="AR78:AR91" si="258">ROUND(AG78*S78,3)</f>
        <v>0</v>
      </c>
      <c r="AS78" s="211">
        <f t="shared" ref="AS78:AS91" si="259">ROUND(AH78*T78,3)</f>
        <v>0</v>
      </c>
      <c r="AT78" s="211">
        <f t="shared" ref="AT78:AT91" si="260">ROUND(AI78*U78,3)</f>
        <v>0</v>
      </c>
      <c r="AU78" s="211">
        <f t="shared" ref="AU78:AU91" si="261">AP78+AQ78+AR78+AS78+AT78</f>
        <v>0</v>
      </c>
      <c r="AV78" s="312">
        <f t="shared" ref="AV78:AV91" si="262">AU78/AO78</f>
        <v>0</v>
      </c>
      <c r="AW78" s="277">
        <f t="shared" ref="AW78:AW91" si="263">AJ78-AP78</f>
        <v>98.384</v>
      </c>
      <c r="AX78" s="211">
        <f t="shared" ref="AX78:AX91" si="264">AK78-AQ78</f>
        <v>98.384</v>
      </c>
      <c r="AY78" s="211">
        <f t="shared" ref="AY78:AY91" si="265">AL78-AR78</f>
        <v>194.727</v>
      </c>
      <c r="AZ78" s="211">
        <f t="shared" ref="AZ78:AZ91" si="266">AM78-AS78</f>
        <v>76.725999999999999</v>
      </c>
      <c r="BA78" s="211">
        <f t="shared" ref="BA78:BA91" si="267">AN78-AT78</f>
        <v>172.59200000000001</v>
      </c>
      <c r="BB78" s="211">
        <f t="shared" ref="BB78:BB91" si="268">AW78+AX78+AY78+AZ78+BA78</f>
        <v>640.81299999999999</v>
      </c>
      <c r="BC78" s="289">
        <f t="shared" ref="BC78:BC91" si="269">BB78/AO78</f>
        <v>1</v>
      </c>
      <c r="BD78" s="74"/>
      <c r="BF78" s="98" t="s">
        <v>0</v>
      </c>
      <c r="BG78" s="18" t="s">
        <v>11</v>
      </c>
      <c r="BH78" s="192"/>
      <c r="BI78" s="99">
        <f t="shared" ref="BI78:BI85" si="270">BH78*K78</f>
        <v>0</v>
      </c>
      <c r="BJ78" s="99">
        <v>0</v>
      </c>
      <c r="BK78" s="99">
        <f t="shared" ref="BK78:BK84" si="271">BJ78*K78</f>
        <v>0</v>
      </c>
      <c r="BL78" s="99">
        <v>0</v>
      </c>
      <c r="BM78" s="100">
        <f t="shared" ref="BM78:BM84" si="272">BL78*K78</f>
        <v>0</v>
      </c>
      <c r="BQ78" s="1">
        <v>1.25</v>
      </c>
      <c r="CD78" s="9" t="s">
        <v>153</v>
      </c>
      <c r="CF78" s="9" t="s">
        <v>149</v>
      </c>
      <c r="CG78" s="9" t="s">
        <v>42</v>
      </c>
      <c r="CK78" s="9" t="s">
        <v>148</v>
      </c>
      <c r="CQ78" s="72">
        <f t="shared" ref="CQ78:CQ84" si="273">IF(BG78="základná",AJ78,0)</f>
        <v>0</v>
      </c>
      <c r="CR78" s="72">
        <f t="shared" ref="CR78:CR84" si="274">IF(BG78="znížená",AJ78,0)</f>
        <v>98.384</v>
      </c>
      <c r="CS78" s="72">
        <f t="shared" ref="CS78:CS84" si="275">IF(BG78="zákl. prenesená",AJ78,0)</f>
        <v>0</v>
      </c>
      <c r="CT78" s="72">
        <f t="shared" ref="CT78:CT84" si="276">IF(BG78="zníž. prenesená",AJ78,0)</f>
        <v>0</v>
      </c>
      <c r="CU78" s="72">
        <f t="shared" ref="CU78:CU84" si="277">IF(BG78="nulová",AJ78,0)</f>
        <v>0</v>
      </c>
      <c r="CV78" s="9" t="s">
        <v>42</v>
      </c>
      <c r="CW78" s="101">
        <f t="shared" ref="CW78:CW85" si="278">ROUND(AE78*K78,3)</f>
        <v>98.384</v>
      </c>
      <c r="CX78" s="9" t="s">
        <v>153</v>
      </c>
      <c r="CY78" s="9" t="s">
        <v>271</v>
      </c>
    </row>
    <row r="79" spans="2:103" s="1" customFormat="1" ht="31.5" customHeight="1">
      <c r="B79" s="73"/>
      <c r="C79" s="93">
        <v>11</v>
      </c>
      <c r="D79" s="93" t="s">
        <v>149</v>
      </c>
      <c r="E79" s="94" t="s">
        <v>272</v>
      </c>
      <c r="F79" s="498" t="s">
        <v>273</v>
      </c>
      <c r="G79" s="498"/>
      <c r="H79" s="498"/>
      <c r="I79" s="498"/>
      <c r="J79" s="95" t="s">
        <v>168</v>
      </c>
      <c r="K79" s="211">
        <f>(19.2+13.2+19.2+13.2)*8.1+(2.6*2)*4-K32</f>
        <v>75.67999999999995</v>
      </c>
      <c r="L79" s="211">
        <f>(19.2+13.2+19.2+13.2)*8.1+(2.6*2)*4-L32</f>
        <v>75.67999999999995</v>
      </c>
      <c r="M79" s="211">
        <f>699.79-M32</f>
        <v>149.78999999999996</v>
      </c>
      <c r="N79" s="211">
        <f>(26.7+14.35+26.7+14.35)*6.2-N32</f>
        <v>59.019999999999982</v>
      </c>
      <c r="O79" s="211">
        <f>(5.9+5.9+14.9+7.1+10.265+10.265)*3-O32</f>
        <v>132.76300000000001</v>
      </c>
      <c r="P79" s="306">
        <f t="shared" si="240"/>
        <v>492.93299999999988</v>
      </c>
      <c r="Q79" s="307">
        <v>0</v>
      </c>
      <c r="R79" s="211">
        <v>0</v>
      </c>
      <c r="S79" s="211">
        <v>0</v>
      </c>
      <c r="T79" s="211">
        <v>0</v>
      </c>
      <c r="U79" s="211">
        <v>0</v>
      </c>
      <c r="V79" s="220">
        <f t="shared" si="241"/>
        <v>0</v>
      </c>
      <c r="W79" s="289">
        <f t="shared" si="242"/>
        <v>0</v>
      </c>
      <c r="X79" s="307">
        <f t="shared" si="243"/>
        <v>75.67999999999995</v>
      </c>
      <c r="Y79" s="211">
        <f t="shared" si="244"/>
        <v>75.67999999999995</v>
      </c>
      <c r="Z79" s="211">
        <f t="shared" si="245"/>
        <v>149.78999999999996</v>
      </c>
      <c r="AA79" s="211">
        <f t="shared" si="246"/>
        <v>59.019999999999982</v>
      </c>
      <c r="AB79" s="211">
        <f t="shared" si="247"/>
        <v>132.76300000000001</v>
      </c>
      <c r="AC79" s="220">
        <f t="shared" si="248"/>
        <v>492.93299999999988</v>
      </c>
      <c r="AD79" s="289">
        <f t="shared" si="249"/>
        <v>1</v>
      </c>
      <c r="AE79" s="310">
        <v>1.1000000000000001</v>
      </c>
      <c r="AF79" s="230">
        <v>1.1000000000000001</v>
      </c>
      <c r="AG79" s="230">
        <v>1.1000000000000001</v>
      </c>
      <c r="AH79" s="230">
        <v>1.1000000000000001</v>
      </c>
      <c r="AI79" s="230">
        <v>1.1000000000000001</v>
      </c>
      <c r="AJ79" s="211">
        <f t="shared" si="250"/>
        <v>83.248000000000005</v>
      </c>
      <c r="AK79" s="211">
        <f t="shared" si="251"/>
        <v>83.248000000000005</v>
      </c>
      <c r="AL79" s="211">
        <f t="shared" si="252"/>
        <v>164.76900000000001</v>
      </c>
      <c r="AM79" s="211">
        <f t="shared" si="253"/>
        <v>64.921999999999997</v>
      </c>
      <c r="AN79" s="211">
        <f t="shared" si="254"/>
        <v>146.03899999999999</v>
      </c>
      <c r="AO79" s="295">
        <f t="shared" si="255"/>
        <v>542.226</v>
      </c>
      <c r="AP79" s="211">
        <f t="shared" si="256"/>
        <v>0</v>
      </c>
      <c r="AQ79" s="211">
        <f t="shared" si="257"/>
        <v>0</v>
      </c>
      <c r="AR79" s="211">
        <f t="shared" si="258"/>
        <v>0</v>
      </c>
      <c r="AS79" s="211">
        <f t="shared" si="259"/>
        <v>0</v>
      </c>
      <c r="AT79" s="211">
        <f t="shared" si="260"/>
        <v>0</v>
      </c>
      <c r="AU79" s="211">
        <f t="shared" si="261"/>
        <v>0</v>
      </c>
      <c r="AV79" s="312">
        <f t="shared" si="262"/>
        <v>0</v>
      </c>
      <c r="AW79" s="277">
        <f t="shared" si="263"/>
        <v>83.248000000000005</v>
      </c>
      <c r="AX79" s="211">
        <f t="shared" si="264"/>
        <v>83.248000000000005</v>
      </c>
      <c r="AY79" s="211">
        <f t="shared" si="265"/>
        <v>164.76900000000001</v>
      </c>
      <c r="AZ79" s="211">
        <f t="shared" si="266"/>
        <v>64.921999999999997</v>
      </c>
      <c r="BA79" s="211">
        <f t="shared" si="267"/>
        <v>146.03899999999999</v>
      </c>
      <c r="BB79" s="211">
        <f t="shared" si="268"/>
        <v>542.226</v>
      </c>
      <c r="BC79" s="289">
        <f t="shared" si="269"/>
        <v>1</v>
      </c>
      <c r="BD79" s="74"/>
      <c r="BF79" s="98" t="s">
        <v>0</v>
      </c>
      <c r="BG79" s="18" t="s">
        <v>11</v>
      </c>
      <c r="BH79" s="192"/>
      <c r="BI79" s="99">
        <f t="shared" si="270"/>
        <v>0</v>
      </c>
      <c r="BJ79" s="99">
        <v>0</v>
      </c>
      <c r="BK79" s="99">
        <f t="shared" si="271"/>
        <v>0</v>
      </c>
      <c r="BL79" s="99">
        <v>0</v>
      </c>
      <c r="BM79" s="100">
        <f t="shared" si="272"/>
        <v>0</v>
      </c>
      <c r="BQ79" s="1">
        <v>1.06</v>
      </c>
      <c r="CD79" s="9" t="s">
        <v>153</v>
      </c>
      <c r="CF79" s="9" t="s">
        <v>149</v>
      </c>
      <c r="CG79" s="9" t="s">
        <v>42</v>
      </c>
      <c r="CK79" s="9" t="s">
        <v>148</v>
      </c>
      <c r="CQ79" s="72">
        <f t="shared" si="273"/>
        <v>0</v>
      </c>
      <c r="CR79" s="72">
        <f t="shared" si="274"/>
        <v>83.248000000000005</v>
      </c>
      <c r="CS79" s="72">
        <f t="shared" si="275"/>
        <v>0</v>
      </c>
      <c r="CT79" s="72">
        <f t="shared" si="276"/>
        <v>0</v>
      </c>
      <c r="CU79" s="72">
        <f t="shared" si="277"/>
        <v>0</v>
      </c>
      <c r="CV79" s="9" t="s">
        <v>42</v>
      </c>
      <c r="CW79" s="101">
        <f t="shared" si="278"/>
        <v>83.248000000000005</v>
      </c>
      <c r="CX79" s="9" t="s">
        <v>153</v>
      </c>
      <c r="CY79" s="9" t="s">
        <v>274</v>
      </c>
    </row>
    <row r="80" spans="2:103" s="1" customFormat="1" ht="44.25" customHeight="1">
      <c r="B80" s="73"/>
      <c r="C80" s="93">
        <v>12</v>
      </c>
      <c r="D80" s="93" t="s">
        <v>149</v>
      </c>
      <c r="E80" s="94" t="s">
        <v>275</v>
      </c>
      <c r="F80" s="498" t="s">
        <v>276</v>
      </c>
      <c r="G80" s="498"/>
      <c r="H80" s="498"/>
      <c r="I80" s="498"/>
      <c r="J80" s="95" t="s">
        <v>168</v>
      </c>
      <c r="K80" s="211">
        <f>K78*(K33/K32)</f>
        <v>423.45375319148911</v>
      </c>
      <c r="L80" s="211">
        <f>L78*(L33/L32)</f>
        <v>423.45375319148911</v>
      </c>
      <c r="M80" s="211">
        <f>M78*(M33/M32)</f>
        <v>716.2140763636362</v>
      </c>
      <c r="N80" s="211">
        <f>N78*(N33/N32)</f>
        <v>344.91287999999992</v>
      </c>
      <c r="O80" s="211">
        <f>O78*(O33/O32)</f>
        <v>353.36998054719288</v>
      </c>
      <c r="P80" s="306">
        <f t="shared" si="240"/>
        <v>2261.4044432938072</v>
      </c>
      <c r="Q80" s="307">
        <v>0</v>
      </c>
      <c r="R80" s="211">
        <v>0</v>
      </c>
      <c r="S80" s="211">
        <v>0</v>
      </c>
      <c r="T80" s="211">
        <v>0</v>
      </c>
      <c r="U80" s="211">
        <v>0</v>
      </c>
      <c r="V80" s="220">
        <f t="shared" si="241"/>
        <v>0</v>
      </c>
      <c r="W80" s="289">
        <f t="shared" si="242"/>
        <v>0</v>
      </c>
      <c r="X80" s="307">
        <f t="shared" si="243"/>
        <v>423.45375319148911</v>
      </c>
      <c r="Y80" s="211">
        <f t="shared" si="244"/>
        <v>423.45375319148911</v>
      </c>
      <c r="Z80" s="211">
        <f t="shared" si="245"/>
        <v>716.2140763636362</v>
      </c>
      <c r="AA80" s="211">
        <f t="shared" si="246"/>
        <v>344.91287999999992</v>
      </c>
      <c r="AB80" s="211">
        <f t="shared" si="247"/>
        <v>353.36998054719288</v>
      </c>
      <c r="AC80" s="220">
        <f t="shared" si="248"/>
        <v>2261.4044432938072</v>
      </c>
      <c r="AD80" s="289">
        <f t="shared" si="249"/>
        <v>1</v>
      </c>
      <c r="AE80" s="310">
        <v>0.89</v>
      </c>
      <c r="AF80" s="230">
        <v>0.89</v>
      </c>
      <c r="AG80" s="230">
        <v>0.89</v>
      </c>
      <c r="AH80" s="230">
        <v>0.89</v>
      </c>
      <c r="AI80" s="230">
        <v>0.89</v>
      </c>
      <c r="AJ80" s="211">
        <f t="shared" si="250"/>
        <v>376.87400000000002</v>
      </c>
      <c r="AK80" s="211">
        <f t="shared" si="251"/>
        <v>376.87400000000002</v>
      </c>
      <c r="AL80" s="211">
        <f t="shared" si="252"/>
        <v>637.43100000000004</v>
      </c>
      <c r="AM80" s="211">
        <f t="shared" si="253"/>
        <v>306.97199999999998</v>
      </c>
      <c r="AN80" s="211">
        <f t="shared" si="254"/>
        <v>314.49900000000002</v>
      </c>
      <c r="AO80" s="295">
        <f t="shared" si="255"/>
        <v>2012.65</v>
      </c>
      <c r="AP80" s="211">
        <f t="shared" si="256"/>
        <v>0</v>
      </c>
      <c r="AQ80" s="211">
        <f t="shared" si="257"/>
        <v>0</v>
      </c>
      <c r="AR80" s="211">
        <f t="shared" si="258"/>
        <v>0</v>
      </c>
      <c r="AS80" s="211">
        <f t="shared" si="259"/>
        <v>0</v>
      </c>
      <c r="AT80" s="211">
        <f t="shared" si="260"/>
        <v>0</v>
      </c>
      <c r="AU80" s="211">
        <f t="shared" si="261"/>
        <v>0</v>
      </c>
      <c r="AV80" s="312">
        <f t="shared" si="262"/>
        <v>0</v>
      </c>
      <c r="AW80" s="277">
        <f t="shared" si="263"/>
        <v>376.87400000000002</v>
      </c>
      <c r="AX80" s="211">
        <f t="shared" si="264"/>
        <v>376.87400000000002</v>
      </c>
      <c r="AY80" s="211">
        <f t="shared" si="265"/>
        <v>637.43100000000004</v>
      </c>
      <c r="AZ80" s="211">
        <f t="shared" si="266"/>
        <v>306.97199999999998</v>
      </c>
      <c r="BA80" s="211">
        <f t="shared" si="267"/>
        <v>314.49900000000002</v>
      </c>
      <c r="BB80" s="211">
        <f t="shared" si="268"/>
        <v>2012.65</v>
      </c>
      <c r="BC80" s="289">
        <f t="shared" si="269"/>
        <v>1</v>
      </c>
      <c r="BD80" s="74"/>
      <c r="BF80" s="98" t="s">
        <v>0</v>
      </c>
      <c r="BG80" s="18" t="s">
        <v>11</v>
      </c>
      <c r="BH80" s="192"/>
      <c r="BI80" s="99">
        <f t="shared" si="270"/>
        <v>0</v>
      </c>
      <c r="BJ80" s="99">
        <v>0</v>
      </c>
      <c r="BK80" s="99">
        <f t="shared" si="271"/>
        <v>0</v>
      </c>
      <c r="BL80" s="99">
        <v>0</v>
      </c>
      <c r="BM80" s="100">
        <f t="shared" si="272"/>
        <v>0</v>
      </c>
      <c r="BQ80" s="1">
        <v>0.86</v>
      </c>
      <c r="CD80" s="9" t="s">
        <v>153</v>
      </c>
      <c r="CF80" s="9" t="s">
        <v>149</v>
      </c>
      <c r="CG80" s="9" t="s">
        <v>42</v>
      </c>
      <c r="CK80" s="9" t="s">
        <v>148</v>
      </c>
      <c r="CQ80" s="72">
        <f t="shared" si="273"/>
        <v>0</v>
      </c>
      <c r="CR80" s="72">
        <f t="shared" si="274"/>
        <v>376.87400000000002</v>
      </c>
      <c r="CS80" s="72">
        <f t="shared" si="275"/>
        <v>0</v>
      </c>
      <c r="CT80" s="72">
        <f t="shared" si="276"/>
        <v>0</v>
      </c>
      <c r="CU80" s="72">
        <f t="shared" si="277"/>
        <v>0</v>
      </c>
      <c r="CV80" s="9" t="s">
        <v>42</v>
      </c>
      <c r="CW80" s="101">
        <f t="shared" si="278"/>
        <v>376.87400000000002</v>
      </c>
      <c r="CX80" s="9" t="s">
        <v>153</v>
      </c>
      <c r="CY80" s="9" t="s">
        <v>277</v>
      </c>
    </row>
    <row r="81" spans="2:103" s="1" customFormat="1" ht="22.5" customHeight="1">
      <c r="B81" s="73"/>
      <c r="C81" s="93">
        <v>13</v>
      </c>
      <c r="D81" s="93" t="s">
        <v>149</v>
      </c>
      <c r="E81" s="94" t="s">
        <v>278</v>
      </c>
      <c r="F81" s="498" t="s">
        <v>279</v>
      </c>
      <c r="G81" s="498"/>
      <c r="H81" s="498"/>
      <c r="I81" s="498"/>
      <c r="J81" s="95" t="s">
        <v>198</v>
      </c>
      <c r="K81" s="211">
        <v>0</v>
      </c>
      <c r="L81" s="211">
        <v>0</v>
      </c>
      <c r="M81" s="211">
        <f>87.066-M34</f>
        <v>7.0660000000000025</v>
      </c>
      <c r="N81" s="211">
        <v>0</v>
      </c>
      <c r="O81" s="211">
        <v>0</v>
      </c>
      <c r="P81" s="306">
        <f t="shared" si="240"/>
        <v>7.0660000000000025</v>
      </c>
      <c r="Q81" s="307">
        <v>0</v>
      </c>
      <c r="R81" s="211">
        <v>0</v>
      </c>
      <c r="S81" s="211">
        <v>0</v>
      </c>
      <c r="T81" s="211">
        <v>0</v>
      </c>
      <c r="U81" s="211">
        <v>0</v>
      </c>
      <c r="V81" s="220">
        <f t="shared" si="241"/>
        <v>0</v>
      </c>
      <c r="W81" s="289">
        <f t="shared" si="242"/>
        <v>0</v>
      </c>
      <c r="X81" s="307">
        <f t="shared" si="243"/>
        <v>0</v>
      </c>
      <c r="Y81" s="211">
        <f t="shared" si="244"/>
        <v>0</v>
      </c>
      <c r="Z81" s="211">
        <f t="shared" si="245"/>
        <v>7.0660000000000025</v>
      </c>
      <c r="AA81" s="211">
        <f t="shared" si="246"/>
        <v>0</v>
      </c>
      <c r="AB81" s="211">
        <f t="shared" si="247"/>
        <v>0</v>
      </c>
      <c r="AC81" s="220">
        <f t="shared" si="248"/>
        <v>7.0660000000000025</v>
      </c>
      <c r="AD81" s="289">
        <f t="shared" si="249"/>
        <v>1</v>
      </c>
      <c r="AE81" s="310">
        <v>5.55</v>
      </c>
      <c r="AF81" s="230">
        <v>5.55</v>
      </c>
      <c r="AG81" s="230">
        <v>5.55</v>
      </c>
      <c r="AH81" s="230">
        <v>5.55</v>
      </c>
      <c r="AI81" s="230">
        <v>5.55</v>
      </c>
      <c r="AJ81" s="211">
        <f t="shared" si="250"/>
        <v>0</v>
      </c>
      <c r="AK81" s="211">
        <f t="shared" si="251"/>
        <v>0</v>
      </c>
      <c r="AL81" s="211">
        <f t="shared" si="252"/>
        <v>39.216000000000001</v>
      </c>
      <c r="AM81" s="211">
        <f t="shared" si="253"/>
        <v>0</v>
      </c>
      <c r="AN81" s="211">
        <f t="shared" si="254"/>
        <v>0</v>
      </c>
      <c r="AO81" s="295">
        <f t="shared" si="255"/>
        <v>39.216000000000001</v>
      </c>
      <c r="AP81" s="211">
        <f t="shared" si="256"/>
        <v>0</v>
      </c>
      <c r="AQ81" s="211">
        <f t="shared" si="257"/>
        <v>0</v>
      </c>
      <c r="AR81" s="211">
        <f t="shared" si="258"/>
        <v>0</v>
      </c>
      <c r="AS81" s="211">
        <f t="shared" si="259"/>
        <v>0</v>
      </c>
      <c r="AT81" s="211">
        <f t="shared" si="260"/>
        <v>0</v>
      </c>
      <c r="AU81" s="211">
        <f t="shared" si="261"/>
        <v>0</v>
      </c>
      <c r="AV81" s="312">
        <f t="shared" si="262"/>
        <v>0</v>
      </c>
      <c r="AW81" s="277">
        <f t="shared" si="263"/>
        <v>0</v>
      </c>
      <c r="AX81" s="211">
        <f t="shared" si="264"/>
        <v>0</v>
      </c>
      <c r="AY81" s="211">
        <f t="shared" si="265"/>
        <v>39.216000000000001</v>
      </c>
      <c r="AZ81" s="211">
        <f t="shared" si="266"/>
        <v>0</v>
      </c>
      <c r="BA81" s="211">
        <f t="shared" si="267"/>
        <v>0</v>
      </c>
      <c r="BB81" s="211">
        <f t="shared" si="268"/>
        <v>39.216000000000001</v>
      </c>
      <c r="BC81" s="289">
        <f t="shared" si="269"/>
        <v>1</v>
      </c>
      <c r="BD81" s="74"/>
      <c r="BE81" s="1" t="s">
        <v>956</v>
      </c>
      <c r="BF81" s="98" t="s">
        <v>0</v>
      </c>
      <c r="BG81" s="18" t="s">
        <v>11</v>
      </c>
      <c r="BH81" s="209"/>
      <c r="BI81" s="99">
        <f t="shared" si="270"/>
        <v>0</v>
      </c>
      <c r="BJ81" s="99">
        <v>0</v>
      </c>
      <c r="BK81" s="99">
        <f t="shared" si="271"/>
        <v>0</v>
      </c>
      <c r="BL81" s="99">
        <v>0</v>
      </c>
      <c r="BM81" s="100">
        <f t="shared" si="272"/>
        <v>0</v>
      </c>
      <c r="BO81" s="1" t="s">
        <v>962</v>
      </c>
      <c r="BQ81" s="1">
        <v>5.34</v>
      </c>
      <c r="CD81" s="9" t="s">
        <v>153</v>
      </c>
      <c r="CF81" s="9" t="s">
        <v>149</v>
      </c>
      <c r="CG81" s="9" t="s">
        <v>42</v>
      </c>
      <c r="CK81" s="9" t="s">
        <v>148</v>
      </c>
      <c r="CQ81" s="72">
        <f t="shared" si="273"/>
        <v>0</v>
      </c>
      <c r="CR81" s="72">
        <f t="shared" si="274"/>
        <v>0</v>
      </c>
      <c r="CS81" s="72">
        <f t="shared" si="275"/>
        <v>0</v>
      </c>
      <c r="CT81" s="72">
        <f t="shared" si="276"/>
        <v>0</v>
      </c>
      <c r="CU81" s="72">
        <f t="shared" si="277"/>
        <v>0</v>
      </c>
      <c r="CV81" s="9" t="s">
        <v>42</v>
      </c>
      <c r="CW81" s="101">
        <f t="shared" si="278"/>
        <v>0</v>
      </c>
      <c r="CX81" s="9" t="s">
        <v>153</v>
      </c>
      <c r="CY81" s="9" t="s">
        <v>280</v>
      </c>
    </row>
    <row r="82" spans="2:103" s="1" customFormat="1" ht="22.5" customHeight="1">
      <c r="B82" s="73"/>
      <c r="C82" s="93">
        <v>14</v>
      </c>
      <c r="D82" s="93" t="s">
        <v>149</v>
      </c>
      <c r="E82" s="94" t="s">
        <v>282</v>
      </c>
      <c r="F82" s="498" t="s">
        <v>283</v>
      </c>
      <c r="G82" s="498"/>
      <c r="H82" s="498"/>
      <c r="I82" s="498"/>
      <c r="J82" s="95" t="s">
        <v>198</v>
      </c>
      <c r="K82" s="211">
        <v>0</v>
      </c>
      <c r="L82" s="211">
        <v>0</v>
      </c>
      <c r="M82" s="231">
        <f>270.84-M35</f>
        <v>0</v>
      </c>
      <c r="N82" s="211">
        <v>0</v>
      </c>
      <c r="O82" s="211">
        <v>0</v>
      </c>
      <c r="P82" s="306">
        <f t="shared" si="240"/>
        <v>0</v>
      </c>
      <c r="Q82" s="307">
        <v>0</v>
      </c>
      <c r="R82" s="211">
        <v>0</v>
      </c>
      <c r="S82" s="231">
        <v>0</v>
      </c>
      <c r="T82" s="211">
        <v>0</v>
      </c>
      <c r="U82" s="211">
        <v>0</v>
      </c>
      <c r="V82" s="220">
        <f t="shared" si="241"/>
        <v>0</v>
      </c>
      <c r="W82" s="289" t="e">
        <f t="shared" si="242"/>
        <v>#DIV/0!</v>
      </c>
      <c r="X82" s="307">
        <f t="shared" si="243"/>
        <v>0</v>
      </c>
      <c r="Y82" s="211">
        <f t="shared" si="244"/>
        <v>0</v>
      </c>
      <c r="Z82" s="231">
        <f t="shared" si="245"/>
        <v>0</v>
      </c>
      <c r="AA82" s="211">
        <f t="shared" si="246"/>
        <v>0</v>
      </c>
      <c r="AB82" s="211">
        <f t="shared" si="247"/>
        <v>0</v>
      </c>
      <c r="AC82" s="220">
        <f t="shared" si="248"/>
        <v>0</v>
      </c>
      <c r="AD82" s="289" t="e">
        <f t="shared" si="249"/>
        <v>#DIV/0!</v>
      </c>
      <c r="AE82" s="310">
        <v>3.09</v>
      </c>
      <c r="AF82" s="230">
        <v>3.09</v>
      </c>
      <c r="AG82" s="230">
        <v>3.09</v>
      </c>
      <c r="AH82" s="230">
        <v>3.09</v>
      </c>
      <c r="AI82" s="230">
        <v>3.09</v>
      </c>
      <c r="AJ82" s="211">
        <f t="shared" si="250"/>
        <v>0</v>
      </c>
      <c r="AK82" s="211">
        <f t="shared" si="251"/>
        <v>0</v>
      </c>
      <c r="AL82" s="211">
        <f t="shared" si="252"/>
        <v>0</v>
      </c>
      <c r="AM82" s="211">
        <f t="shared" si="253"/>
        <v>0</v>
      </c>
      <c r="AN82" s="211">
        <f t="shared" si="254"/>
        <v>0</v>
      </c>
      <c r="AO82" s="295">
        <f t="shared" si="255"/>
        <v>0</v>
      </c>
      <c r="AP82" s="211">
        <f t="shared" si="256"/>
        <v>0</v>
      </c>
      <c r="AQ82" s="211">
        <f t="shared" si="257"/>
        <v>0</v>
      </c>
      <c r="AR82" s="211">
        <f t="shared" si="258"/>
        <v>0</v>
      </c>
      <c r="AS82" s="211">
        <f t="shared" si="259"/>
        <v>0</v>
      </c>
      <c r="AT82" s="211">
        <f t="shared" si="260"/>
        <v>0</v>
      </c>
      <c r="AU82" s="211">
        <f t="shared" si="261"/>
        <v>0</v>
      </c>
      <c r="AV82" s="312" t="e">
        <f t="shared" si="262"/>
        <v>#DIV/0!</v>
      </c>
      <c r="AW82" s="277">
        <f t="shared" si="263"/>
        <v>0</v>
      </c>
      <c r="AX82" s="211">
        <f t="shared" si="264"/>
        <v>0</v>
      </c>
      <c r="AY82" s="211">
        <f t="shared" si="265"/>
        <v>0</v>
      </c>
      <c r="AZ82" s="211">
        <f t="shared" si="266"/>
        <v>0</v>
      </c>
      <c r="BA82" s="211">
        <f t="shared" si="267"/>
        <v>0</v>
      </c>
      <c r="BB82" s="211">
        <f t="shared" si="268"/>
        <v>0</v>
      </c>
      <c r="BC82" s="289" t="e">
        <f t="shared" si="269"/>
        <v>#DIV/0!</v>
      </c>
      <c r="BD82" s="74"/>
      <c r="BE82" s="113" t="s">
        <v>963</v>
      </c>
      <c r="BF82" s="98" t="s">
        <v>0</v>
      </c>
      <c r="BG82" s="18" t="s">
        <v>11</v>
      </c>
      <c r="BH82" s="209"/>
      <c r="BI82" s="99">
        <f t="shared" si="270"/>
        <v>0</v>
      </c>
      <c r="BJ82" s="99">
        <v>0</v>
      </c>
      <c r="BK82" s="99">
        <f t="shared" si="271"/>
        <v>0</v>
      </c>
      <c r="BL82" s="99">
        <v>0</v>
      </c>
      <c r="BM82" s="100">
        <f t="shared" si="272"/>
        <v>0</v>
      </c>
      <c r="BO82" s="1" t="s">
        <v>964</v>
      </c>
      <c r="BQ82" s="1">
        <v>2.97</v>
      </c>
      <c r="CD82" s="9" t="s">
        <v>153</v>
      </c>
      <c r="CF82" s="9" t="s">
        <v>149</v>
      </c>
      <c r="CG82" s="9" t="s">
        <v>42</v>
      </c>
      <c r="CK82" s="9" t="s">
        <v>148</v>
      </c>
      <c r="CQ82" s="72">
        <f t="shared" si="273"/>
        <v>0</v>
      </c>
      <c r="CR82" s="72">
        <f t="shared" si="274"/>
        <v>0</v>
      </c>
      <c r="CS82" s="72">
        <f t="shared" si="275"/>
        <v>0</v>
      </c>
      <c r="CT82" s="72">
        <f t="shared" si="276"/>
        <v>0</v>
      </c>
      <c r="CU82" s="72">
        <f t="shared" si="277"/>
        <v>0</v>
      </c>
      <c r="CV82" s="9" t="s">
        <v>42</v>
      </c>
      <c r="CW82" s="101">
        <f t="shared" si="278"/>
        <v>0</v>
      </c>
      <c r="CX82" s="9" t="s">
        <v>153</v>
      </c>
      <c r="CY82" s="9" t="s">
        <v>284</v>
      </c>
    </row>
    <row r="83" spans="2:103" s="1" customFormat="1" ht="22.5" customHeight="1">
      <c r="B83" s="73"/>
      <c r="C83" s="93">
        <v>15</v>
      </c>
      <c r="D83" s="93" t="s">
        <v>149</v>
      </c>
      <c r="E83" s="94" t="s">
        <v>285</v>
      </c>
      <c r="F83" s="498" t="s">
        <v>286</v>
      </c>
      <c r="G83" s="498"/>
      <c r="H83" s="498"/>
      <c r="I83" s="498"/>
      <c r="J83" s="95" t="s">
        <v>198</v>
      </c>
      <c r="K83" s="211">
        <v>0</v>
      </c>
      <c r="L83" s="211">
        <v>0</v>
      </c>
      <c r="M83" s="231">
        <v>0</v>
      </c>
      <c r="N83" s="211">
        <v>0</v>
      </c>
      <c r="O83" s="211">
        <v>0</v>
      </c>
      <c r="P83" s="306">
        <f t="shared" si="240"/>
        <v>0</v>
      </c>
      <c r="Q83" s="307">
        <v>0</v>
      </c>
      <c r="R83" s="211">
        <v>0</v>
      </c>
      <c r="S83" s="231">
        <v>0</v>
      </c>
      <c r="T83" s="211">
        <v>0</v>
      </c>
      <c r="U83" s="211">
        <v>0</v>
      </c>
      <c r="V83" s="220">
        <f t="shared" si="241"/>
        <v>0</v>
      </c>
      <c r="W83" s="289" t="e">
        <f t="shared" si="242"/>
        <v>#DIV/0!</v>
      </c>
      <c r="X83" s="307">
        <f t="shared" si="243"/>
        <v>0</v>
      </c>
      <c r="Y83" s="211">
        <f t="shared" si="244"/>
        <v>0</v>
      </c>
      <c r="Z83" s="231">
        <f t="shared" si="245"/>
        <v>0</v>
      </c>
      <c r="AA83" s="211">
        <f t="shared" si="246"/>
        <v>0</v>
      </c>
      <c r="AB83" s="211">
        <f t="shared" si="247"/>
        <v>0</v>
      </c>
      <c r="AC83" s="220">
        <f t="shared" si="248"/>
        <v>0</v>
      </c>
      <c r="AD83" s="289" t="e">
        <f t="shared" si="249"/>
        <v>#DIV/0!</v>
      </c>
      <c r="AE83" s="310">
        <v>3.31</v>
      </c>
      <c r="AF83" s="230">
        <v>3.31</v>
      </c>
      <c r="AG83" s="230">
        <v>3.31</v>
      </c>
      <c r="AH83" s="230">
        <v>3.31</v>
      </c>
      <c r="AI83" s="230">
        <v>3.31</v>
      </c>
      <c r="AJ83" s="211">
        <f t="shared" si="250"/>
        <v>0</v>
      </c>
      <c r="AK83" s="211">
        <f t="shared" si="251"/>
        <v>0</v>
      </c>
      <c r="AL83" s="211">
        <f t="shared" si="252"/>
        <v>0</v>
      </c>
      <c r="AM83" s="211">
        <f t="shared" si="253"/>
        <v>0</v>
      </c>
      <c r="AN83" s="211">
        <f t="shared" si="254"/>
        <v>0</v>
      </c>
      <c r="AO83" s="295">
        <f t="shared" si="255"/>
        <v>0</v>
      </c>
      <c r="AP83" s="211">
        <f t="shared" si="256"/>
        <v>0</v>
      </c>
      <c r="AQ83" s="211">
        <f t="shared" si="257"/>
        <v>0</v>
      </c>
      <c r="AR83" s="211">
        <f t="shared" si="258"/>
        <v>0</v>
      </c>
      <c r="AS83" s="211">
        <f t="shared" si="259"/>
        <v>0</v>
      </c>
      <c r="AT83" s="211">
        <f t="shared" si="260"/>
        <v>0</v>
      </c>
      <c r="AU83" s="211">
        <f t="shared" si="261"/>
        <v>0</v>
      </c>
      <c r="AV83" s="312" t="e">
        <f t="shared" si="262"/>
        <v>#DIV/0!</v>
      </c>
      <c r="AW83" s="277">
        <f t="shared" si="263"/>
        <v>0</v>
      </c>
      <c r="AX83" s="211">
        <f t="shared" si="264"/>
        <v>0</v>
      </c>
      <c r="AY83" s="211">
        <f t="shared" si="265"/>
        <v>0</v>
      </c>
      <c r="AZ83" s="211">
        <f t="shared" si="266"/>
        <v>0</v>
      </c>
      <c r="BA83" s="211">
        <f t="shared" si="267"/>
        <v>0</v>
      </c>
      <c r="BB83" s="211">
        <f t="shared" si="268"/>
        <v>0</v>
      </c>
      <c r="BC83" s="289" t="e">
        <f t="shared" si="269"/>
        <v>#DIV/0!</v>
      </c>
      <c r="BD83" s="74"/>
      <c r="BE83" s="113" t="s">
        <v>963</v>
      </c>
      <c r="BF83" s="98" t="s">
        <v>0</v>
      </c>
      <c r="BG83" s="18" t="s">
        <v>11</v>
      </c>
      <c r="BH83" s="209"/>
      <c r="BI83" s="99">
        <f t="shared" si="270"/>
        <v>0</v>
      </c>
      <c r="BJ83" s="99">
        <v>0</v>
      </c>
      <c r="BK83" s="99">
        <f t="shared" si="271"/>
        <v>0</v>
      </c>
      <c r="BL83" s="99">
        <v>0</v>
      </c>
      <c r="BM83" s="100">
        <f t="shared" si="272"/>
        <v>0</v>
      </c>
      <c r="BO83" s="1" t="s">
        <v>965</v>
      </c>
      <c r="BQ83" s="1">
        <v>3.18</v>
      </c>
      <c r="CD83" s="9" t="s">
        <v>153</v>
      </c>
      <c r="CF83" s="9" t="s">
        <v>149</v>
      </c>
      <c r="CG83" s="9" t="s">
        <v>42</v>
      </c>
      <c r="CK83" s="9" t="s">
        <v>148</v>
      </c>
      <c r="CQ83" s="72">
        <f t="shared" si="273"/>
        <v>0</v>
      </c>
      <c r="CR83" s="72">
        <f t="shared" si="274"/>
        <v>0</v>
      </c>
      <c r="CS83" s="72">
        <f t="shared" si="275"/>
        <v>0</v>
      </c>
      <c r="CT83" s="72">
        <f t="shared" si="276"/>
        <v>0</v>
      </c>
      <c r="CU83" s="72">
        <f t="shared" si="277"/>
        <v>0</v>
      </c>
      <c r="CV83" s="9" t="s">
        <v>42</v>
      </c>
      <c r="CW83" s="101">
        <f t="shared" si="278"/>
        <v>0</v>
      </c>
      <c r="CX83" s="9" t="s">
        <v>153</v>
      </c>
      <c r="CY83" s="9" t="s">
        <v>287</v>
      </c>
    </row>
    <row r="84" spans="2:103" s="1" customFormat="1" ht="22.5" customHeight="1">
      <c r="B84" s="73"/>
      <c r="C84" s="93">
        <v>16</v>
      </c>
      <c r="D84" s="93" t="s">
        <v>149</v>
      </c>
      <c r="E84" s="94" t="s">
        <v>288</v>
      </c>
      <c r="F84" s="498" t="s">
        <v>289</v>
      </c>
      <c r="G84" s="498"/>
      <c r="H84" s="498"/>
      <c r="I84" s="498"/>
      <c r="J84" s="95" t="s">
        <v>198</v>
      </c>
      <c r="K84" s="211">
        <v>0</v>
      </c>
      <c r="L84" s="211">
        <v>0</v>
      </c>
      <c r="M84" s="231">
        <v>0</v>
      </c>
      <c r="N84" s="211">
        <v>0</v>
      </c>
      <c r="O84" s="211">
        <v>0</v>
      </c>
      <c r="P84" s="306">
        <f t="shared" si="240"/>
        <v>0</v>
      </c>
      <c r="Q84" s="307">
        <v>0</v>
      </c>
      <c r="R84" s="211">
        <v>0</v>
      </c>
      <c r="S84" s="231">
        <v>0</v>
      </c>
      <c r="T84" s="211">
        <v>0</v>
      </c>
      <c r="U84" s="211">
        <v>0</v>
      </c>
      <c r="V84" s="220">
        <f t="shared" si="241"/>
        <v>0</v>
      </c>
      <c r="W84" s="289" t="e">
        <f t="shared" si="242"/>
        <v>#DIV/0!</v>
      </c>
      <c r="X84" s="307">
        <f t="shared" si="243"/>
        <v>0</v>
      </c>
      <c r="Y84" s="211">
        <f t="shared" si="244"/>
        <v>0</v>
      </c>
      <c r="Z84" s="231">
        <f t="shared" si="245"/>
        <v>0</v>
      </c>
      <c r="AA84" s="211">
        <f t="shared" si="246"/>
        <v>0</v>
      </c>
      <c r="AB84" s="211">
        <f t="shared" si="247"/>
        <v>0</v>
      </c>
      <c r="AC84" s="220">
        <f t="shared" si="248"/>
        <v>0</v>
      </c>
      <c r="AD84" s="289" t="e">
        <f t="shared" si="249"/>
        <v>#DIV/0!</v>
      </c>
      <c r="AE84" s="310">
        <v>3.49</v>
      </c>
      <c r="AF84" s="230">
        <v>3.49</v>
      </c>
      <c r="AG84" s="230">
        <v>3.49</v>
      </c>
      <c r="AH84" s="230">
        <v>3.49</v>
      </c>
      <c r="AI84" s="230">
        <v>3.49</v>
      </c>
      <c r="AJ84" s="211">
        <f t="shared" si="250"/>
        <v>0</v>
      </c>
      <c r="AK84" s="211">
        <f t="shared" si="251"/>
        <v>0</v>
      </c>
      <c r="AL84" s="211">
        <f t="shared" si="252"/>
        <v>0</v>
      </c>
      <c r="AM84" s="211">
        <f t="shared" si="253"/>
        <v>0</v>
      </c>
      <c r="AN84" s="211">
        <f t="shared" si="254"/>
        <v>0</v>
      </c>
      <c r="AO84" s="295">
        <f t="shared" si="255"/>
        <v>0</v>
      </c>
      <c r="AP84" s="211">
        <f t="shared" si="256"/>
        <v>0</v>
      </c>
      <c r="AQ84" s="211">
        <f t="shared" si="257"/>
        <v>0</v>
      </c>
      <c r="AR84" s="211">
        <f t="shared" si="258"/>
        <v>0</v>
      </c>
      <c r="AS84" s="211">
        <f t="shared" si="259"/>
        <v>0</v>
      </c>
      <c r="AT84" s="211">
        <f t="shared" si="260"/>
        <v>0</v>
      </c>
      <c r="AU84" s="211">
        <f t="shared" si="261"/>
        <v>0</v>
      </c>
      <c r="AV84" s="312" t="e">
        <f t="shared" si="262"/>
        <v>#DIV/0!</v>
      </c>
      <c r="AW84" s="277">
        <f t="shared" si="263"/>
        <v>0</v>
      </c>
      <c r="AX84" s="211">
        <f t="shared" si="264"/>
        <v>0</v>
      </c>
      <c r="AY84" s="211">
        <f t="shared" si="265"/>
        <v>0</v>
      </c>
      <c r="AZ84" s="211">
        <f t="shared" si="266"/>
        <v>0</v>
      </c>
      <c r="BA84" s="211">
        <f t="shared" si="267"/>
        <v>0</v>
      </c>
      <c r="BB84" s="211">
        <f t="shared" si="268"/>
        <v>0</v>
      </c>
      <c r="BC84" s="289" t="e">
        <f t="shared" si="269"/>
        <v>#DIV/0!</v>
      </c>
      <c r="BD84" s="74"/>
      <c r="BE84" s="113" t="s">
        <v>963</v>
      </c>
      <c r="BF84" s="98" t="s">
        <v>0</v>
      </c>
      <c r="BG84" s="18" t="s">
        <v>11</v>
      </c>
      <c r="BH84" s="209"/>
      <c r="BI84" s="99">
        <f t="shared" si="270"/>
        <v>0</v>
      </c>
      <c r="BJ84" s="99">
        <v>0</v>
      </c>
      <c r="BK84" s="99">
        <f t="shared" si="271"/>
        <v>0</v>
      </c>
      <c r="BL84" s="99">
        <v>0</v>
      </c>
      <c r="BM84" s="100">
        <f t="shared" si="272"/>
        <v>0</v>
      </c>
      <c r="BO84" s="1" t="s">
        <v>966</v>
      </c>
      <c r="BQ84" s="1">
        <v>3.36</v>
      </c>
      <c r="CD84" s="9" t="s">
        <v>153</v>
      </c>
      <c r="CF84" s="9" t="s">
        <v>149</v>
      </c>
      <c r="CG84" s="9" t="s">
        <v>42</v>
      </c>
      <c r="CK84" s="9" t="s">
        <v>148</v>
      </c>
      <c r="CQ84" s="72">
        <f t="shared" si="273"/>
        <v>0</v>
      </c>
      <c r="CR84" s="72">
        <f t="shared" si="274"/>
        <v>0</v>
      </c>
      <c r="CS84" s="72">
        <f t="shared" si="275"/>
        <v>0</v>
      </c>
      <c r="CT84" s="72">
        <f t="shared" si="276"/>
        <v>0</v>
      </c>
      <c r="CU84" s="72">
        <f t="shared" si="277"/>
        <v>0</v>
      </c>
      <c r="CV84" s="9" t="s">
        <v>42</v>
      </c>
      <c r="CW84" s="101">
        <f t="shared" si="278"/>
        <v>0</v>
      </c>
      <c r="CX84" s="9" t="s">
        <v>153</v>
      </c>
      <c r="CY84" s="9" t="s">
        <v>290</v>
      </c>
    </row>
    <row r="85" spans="2:103" s="1" customFormat="1" ht="33.75" customHeight="1">
      <c r="B85" s="15"/>
      <c r="C85" s="229" t="s">
        <v>1412</v>
      </c>
      <c r="D85" s="93" t="s">
        <v>149</v>
      </c>
      <c r="E85" s="94" t="s">
        <v>1370</v>
      </c>
      <c r="F85" s="498" t="s">
        <v>1371</v>
      </c>
      <c r="G85" s="498"/>
      <c r="H85" s="498"/>
      <c r="I85" s="498"/>
      <c r="J85" s="95" t="s">
        <v>168</v>
      </c>
      <c r="K85" s="211">
        <v>58</v>
      </c>
      <c r="L85" s="211">
        <v>58</v>
      </c>
      <c r="M85" s="211">
        <v>44.5</v>
      </c>
      <c r="N85" s="211">
        <v>66</v>
      </c>
      <c r="O85" s="211">
        <f>O86*0.12</f>
        <v>18</v>
      </c>
      <c r="P85" s="306">
        <f t="shared" si="240"/>
        <v>244.5</v>
      </c>
      <c r="Q85" s="307">
        <v>0</v>
      </c>
      <c r="R85" s="211">
        <v>0</v>
      </c>
      <c r="S85" s="211">
        <v>0</v>
      </c>
      <c r="T85" s="211">
        <v>0</v>
      </c>
      <c r="U85" s="211">
        <v>0</v>
      </c>
      <c r="V85" s="220">
        <f t="shared" si="241"/>
        <v>0</v>
      </c>
      <c r="W85" s="289">
        <f t="shared" si="242"/>
        <v>0</v>
      </c>
      <c r="X85" s="307">
        <f t="shared" si="243"/>
        <v>58</v>
      </c>
      <c r="Y85" s="211">
        <f t="shared" si="244"/>
        <v>58</v>
      </c>
      <c r="Z85" s="211">
        <f t="shared" si="245"/>
        <v>44.5</v>
      </c>
      <c r="AA85" s="211">
        <f t="shared" si="246"/>
        <v>66</v>
      </c>
      <c r="AB85" s="211">
        <f t="shared" si="247"/>
        <v>18</v>
      </c>
      <c r="AC85" s="220">
        <f t="shared" si="248"/>
        <v>244.5</v>
      </c>
      <c r="AD85" s="289">
        <f t="shared" si="249"/>
        <v>1</v>
      </c>
      <c r="AE85" s="309">
        <v>11.921000000000001</v>
      </c>
      <c r="AF85" s="221">
        <v>14.2</v>
      </c>
      <c r="AG85" s="221">
        <v>14.2</v>
      </c>
      <c r="AH85" s="221">
        <v>14.2</v>
      </c>
      <c r="AI85" s="221">
        <v>14.2</v>
      </c>
      <c r="AJ85" s="211">
        <f t="shared" si="250"/>
        <v>691.41800000000001</v>
      </c>
      <c r="AK85" s="211">
        <f t="shared" si="251"/>
        <v>691.41800000000001</v>
      </c>
      <c r="AL85" s="211">
        <f t="shared" si="252"/>
        <v>530.48500000000001</v>
      </c>
      <c r="AM85" s="211">
        <f t="shared" si="253"/>
        <v>786.78599999999994</v>
      </c>
      <c r="AN85" s="211">
        <f t="shared" si="254"/>
        <v>214.578</v>
      </c>
      <c r="AO85" s="295">
        <f t="shared" si="255"/>
        <v>2914.6849999999999</v>
      </c>
      <c r="AP85" s="211">
        <f t="shared" si="256"/>
        <v>0</v>
      </c>
      <c r="AQ85" s="211">
        <f t="shared" si="257"/>
        <v>0</v>
      </c>
      <c r="AR85" s="211">
        <f t="shared" si="258"/>
        <v>0</v>
      </c>
      <c r="AS85" s="211">
        <f t="shared" si="259"/>
        <v>0</v>
      </c>
      <c r="AT85" s="211">
        <f t="shared" si="260"/>
        <v>0</v>
      </c>
      <c r="AU85" s="211">
        <f t="shared" si="261"/>
        <v>0</v>
      </c>
      <c r="AV85" s="312">
        <f t="shared" si="262"/>
        <v>0</v>
      </c>
      <c r="AW85" s="277">
        <f t="shared" si="263"/>
        <v>691.41800000000001</v>
      </c>
      <c r="AX85" s="211">
        <f t="shared" si="264"/>
        <v>691.41800000000001</v>
      </c>
      <c r="AY85" s="211">
        <f t="shared" si="265"/>
        <v>530.48500000000001</v>
      </c>
      <c r="AZ85" s="211">
        <f t="shared" si="266"/>
        <v>786.78599999999994</v>
      </c>
      <c r="BA85" s="211">
        <f t="shared" si="267"/>
        <v>214.578</v>
      </c>
      <c r="BB85" s="211">
        <f t="shared" si="268"/>
        <v>2914.6849999999999</v>
      </c>
      <c r="BC85" s="289">
        <f t="shared" si="269"/>
        <v>1</v>
      </c>
      <c r="BD85" s="17"/>
      <c r="BF85" s="209"/>
      <c r="BG85" s="209"/>
      <c r="BH85" s="209"/>
      <c r="BI85" s="209">
        <f t="shared" si="270"/>
        <v>0</v>
      </c>
      <c r="BJ85" s="209"/>
      <c r="BK85" s="209"/>
      <c r="BL85" s="209"/>
      <c r="BM85" s="209"/>
      <c r="CF85" s="9"/>
      <c r="CG85" s="9"/>
      <c r="CK85" s="9"/>
      <c r="CW85" s="101">
        <f t="shared" si="278"/>
        <v>691.41800000000001</v>
      </c>
    </row>
    <row r="86" spans="2:103" s="1" customFormat="1" ht="33" customHeight="1">
      <c r="B86" s="15"/>
      <c r="C86" s="229" t="s">
        <v>1413</v>
      </c>
      <c r="D86" s="93" t="s">
        <v>149</v>
      </c>
      <c r="E86" s="94" t="s">
        <v>1372</v>
      </c>
      <c r="F86" s="498" t="s">
        <v>1373</v>
      </c>
      <c r="G86" s="498"/>
      <c r="H86" s="498"/>
      <c r="I86" s="498"/>
      <c r="J86" s="95" t="s">
        <v>198</v>
      </c>
      <c r="K86" s="211">
        <v>280</v>
      </c>
      <c r="L86" s="211">
        <v>280</v>
      </c>
      <c r="M86" s="211">
        <v>256.60000000000002</v>
      </c>
      <c r="N86" s="211">
        <v>300</v>
      </c>
      <c r="O86" s="211">
        <v>150</v>
      </c>
      <c r="P86" s="306">
        <f t="shared" si="240"/>
        <v>1266.5999999999999</v>
      </c>
      <c r="Q86" s="307">
        <v>0</v>
      </c>
      <c r="R86" s="211">
        <v>0</v>
      </c>
      <c r="S86" s="211">
        <v>0</v>
      </c>
      <c r="T86" s="211">
        <v>0</v>
      </c>
      <c r="U86" s="211">
        <v>0</v>
      </c>
      <c r="V86" s="220">
        <f t="shared" si="241"/>
        <v>0</v>
      </c>
      <c r="W86" s="289">
        <f t="shared" si="242"/>
        <v>0</v>
      </c>
      <c r="X86" s="307">
        <f t="shared" si="243"/>
        <v>280</v>
      </c>
      <c r="Y86" s="211">
        <f t="shared" si="244"/>
        <v>280</v>
      </c>
      <c r="Z86" s="211">
        <f t="shared" si="245"/>
        <v>256.60000000000002</v>
      </c>
      <c r="AA86" s="211">
        <f t="shared" si="246"/>
        <v>300</v>
      </c>
      <c r="AB86" s="211">
        <f t="shared" si="247"/>
        <v>150</v>
      </c>
      <c r="AC86" s="220">
        <f t="shared" si="248"/>
        <v>1266.5999999999999</v>
      </c>
      <c r="AD86" s="289">
        <f t="shared" si="249"/>
        <v>1</v>
      </c>
      <c r="AE86" s="309">
        <v>2.3400000000000003</v>
      </c>
      <c r="AF86" s="221">
        <v>14.2</v>
      </c>
      <c r="AG86" s="221">
        <v>14.2</v>
      </c>
      <c r="AH86" s="221">
        <v>14.2</v>
      </c>
      <c r="AI86" s="221">
        <v>14.2</v>
      </c>
      <c r="AJ86" s="211">
        <f t="shared" si="250"/>
        <v>655.20000000000005</v>
      </c>
      <c r="AK86" s="211">
        <f t="shared" si="251"/>
        <v>655.20000000000005</v>
      </c>
      <c r="AL86" s="211">
        <f t="shared" si="252"/>
        <v>600.44399999999996</v>
      </c>
      <c r="AM86" s="211">
        <f t="shared" si="253"/>
        <v>702</v>
      </c>
      <c r="AN86" s="211">
        <f t="shared" si="254"/>
        <v>351</v>
      </c>
      <c r="AO86" s="295">
        <f t="shared" si="255"/>
        <v>2963.8440000000001</v>
      </c>
      <c r="AP86" s="211">
        <f t="shared" si="256"/>
        <v>0</v>
      </c>
      <c r="AQ86" s="211">
        <f t="shared" si="257"/>
        <v>0</v>
      </c>
      <c r="AR86" s="211">
        <f t="shared" si="258"/>
        <v>0</v>
      </c>
      <c r="AS86" s="211">
        <f t="shared" si="259"/>
        <v>0</v>
      </c>
      <c r="AT86" s="211">
        <f t="shared" si="260"/>
        <v>0</v>
      </c>
      <c r="AU86" s="211">
        <f t="shared" si="261"/>
        <v>0</v>
      </c>
      <c r="AV86" s="312">
        <f t="shared" si="262"/>
        <v>0</v>
      </c>
      <c r="AW86" s="277">
        <f t="shared" si="263"/>
        <v>655.20000000000005</v>
      </c>
      <c r="AX86" s="211">
        <f t="shared" si="264"/>
        <v>655.20000000000005</v>
      </c>
      <c r="AY86" s="211">
        <f t="shared" si="265"/>
        <v>600.44399999999996</v>
      </c>
      <c r="AZ86" s="211">
        <f t="shared" si="266"/>
        <v>702</v>
      </c>
      <c r="BA86" s="211">
        <f t="shared" si="267"/>
        <v>351</v>
      </c>
      <c r="BB86" s="211">
        <f t="shared" si="268"/>
        <v>2963.8440000000001</v>
      </c>
      <c r="BC86" s="289">
        <f t="shared" si="269"/>
        <v>1</v>
      </c>
      <c r="BD86" s="17"/>
      <c r="BF86" s="209"/>
      <c r="BG86" s="209"/>
      <c r="BH86" s="209"/>
      <c r="BI86" s="209"/>
      <c r="BJ86" s="209"/>
      <c r="BK86" s="209"/>
      <c r="BL86" s="209"/>
      <c r="BM86" s="209"/>
      <c r="CF86" s="9"/>
      <c r="CG86" s="9"/>
      <c r="CK86" s="9"/>
      <c r="CW86" s="101"/>
    </row>
    <row r="87" spans="2:103" s="1" customFormat="1" ht="44.25" customHeight="1">
      <c r="B87" s="73"/>
      <c r="C87" s="93">
        <v>19</v>
      </c>
      <c r="D87" s="93" t="s">
        <v>149</v>
      </c>
      <c r="E87" s="94" t="s">
        <v>441</v>
      </c>
      <c r="F87" s="498" t="s">
        <v>442</v>
      </c>
      <c r="G87" s="498"/>
      <c r="H87" s="498"/>
      <c r="I87" s="498"/>
      <c r="J87" s="95" t="s">
        <v>168</v>
      </c>
      <c r="K87" s="211">
        <v>24.024000000000001</v>
      </c>
      <c r="L87" s="211">
        <v>24.024000000000001</v>
      </c>
      <c r="M87" s="211">
        <v>6.96</v>
      </c>
      <c r="N87" s="211">
        <f>(26.7+14.35+18.22)*1.9+(10+10+10+10)*2</f>
        <v>192.613</v>
      </c>
      <c r="O87" s="211">
        <v>6.9459999999999997</v>
      </c>
      <c r="P87" s="306">
        <f t="shared" si="240"/>
        <v>254.56700000000001</v>
      </c>
      <c r="Q87" s="307">
        <v>0</v>
      </c>
      <c r="R87" s="211">
        <v>24.024000000000001</v>
      </c>
      <c r="S87" s="211">
        <v>6.96</v>
      </c>
      <c r="T87" s="211">
        <v>0</v>
      </c>
      <c r="U87" s="211">
        <v>6.9459999999999997</v>
      </c>
      <c r="V87" s="220">
        <f t="shared" si="241"/>
        <v>37.93</v>
      </c>
      <c r="W87" s="289">
        <f t="shared" si="242"/>
        <v>0.14899810266059621</v>
      </c>
      <c r="X87" s="307">
        <f t="shared" si="243"/>
        <v>24.024000000000001</v>
      </c>
      <c r="Y87" s="211">
        <f t="shared" si="244"/>
        <v>0</v>
      </c>
      <c r="Z87" s="211">
        <f t="shared" si="245"/>
        <v>0</v>
      </c>
      <c r="AA87" s="211">
        <f t="shared" si="246"/>
        <v>192.613</v>
      </c>
      <c r="AB87" s="211">
        <f t="shared" si="247"/>
        <v>0</v>
      </c>
      <c r="AC87" s="220">
        <f t="shared" si="248"/>
        <v>216.637</v>
      </c>
      <c r="AD87" s="289">
        <f t="shared" si="249"/>
        <v>0.85100189733940379</v>
      </c>
      <c r="AE87" s="310">
        <v>10.11</v>
      </c>
      <c r="AF87" s="230">
        <v>10.11</v>
      </c>
      <c r="AG87" s="230">
        <v>10.11</v>
      </c>
      <c r="AH87" s="230">
        <v>10.11</v>
      </c>
      <c r="AI87" s="230">
        <v>10.11</v>
      </c>
      <c r="AJ87" s="211">
        <f t="shared" si="250"/>
        <v>242.88300000000001</v>
      </c>
      <c r="AK87" s="211">
        <f t="shared" si="251"/>
        <v>242.88300000000001</v>
      </c>
      <c r="AL87" s="211">
        <f t="shared" si="252"/>
        <v>70.366</v>
      </c>
      <c r="AM87" s="211">
        <f t="shared" si="253"/>
        <v>1947.317</v>
      </c>
      <c r="AN87" s="211">
        <f t="shared" si="254"/>
        <v>70.224000000000004</v>
      </c>
      <c r="AO87" s="295">
        <f t="shared" si="255"/>
        <v>2573.6730000000002</v>
      </c>
      <c r="AP87" s="211">
        <f t="shared" si="256"/>
        <v>0</v>
      </c>
      <c r="AQ87" s="211">
        <f t="shared" si="257"/>
        <v>242.88300000000001</v>
      </c>
      <c r="AR87" s="211">
        <f t="shared" si="258"/>
        <v>70.366</v>
      </c>
      <c r="AS87" s="211">
        <f t="shared" si="259"/>
        <v>0</v>
      </c>
      <c r="AT87" s="211">
        <f t="shared" si="260"/>
        <v>70.224000000000004</v>
      </c>
      <c r="AU87" s="211">
        <f t="shared" si="261"/>
        <v>383.47300000000001</v>
      </c>
      <c r="AV87" s="312">
        <f t="shared" si="262"/>
        <v>0.14899833817272046</v>
      </c>
      <c r="AW87" s="277">
        <f t="shared" si="263"/>
        <v>242.88300000000001</v>
      </c>
      <c r="AX87" s="211">
        <f t="shared" si="264"/>
        <v>0</v>
      </c>
      <c r="AY87" s="211">
        <f t="shared" si="265"/>
        <v>0</v>
      </c>
      <c r="AZ87" s="211">
        <f t="shared" si="266"/>
        <v>1947.317</v>
      </c>
      <c r="BA87" s="211">
        <f t="shared" si="267"/>
        <v>0</v>
      </c>
      <c r="BB87" s="211">
        <f t="shared" si="268"/>
        <v>2190.1999999999998</v>
      </c>
      <c r="BC87" s="289">
        <f t="shared" si="269"/>
        <v>0.85100166182727943</v>
      </c>
      <c r="BD87" s="99">
        <v>0</v>
      </c>
      <c r="BE87" s="194"/>
      <c r="BF87" s="99"/>
      <c r="BG87" s="100"/>
      <c r="BX87" s="9"/>
      <c r="BZ87" s="9"/>
      <c r="CA87" s="9"/>
      <c r="CE87" s="9" t="s">
        <v>148</v>
      </c>
      <c r="CK87" s="72">
        <f>IF(AM87="základná",AF87,0)</f>
        <v>0</v>
      </c>
      <c r="CL87" s="72">
        <f>IF(AM87="znížená",AF87,0)</f>
        <v>0</v>
      </c>
      <c r="CM87" s="72">
        <f>IF(AM87="zákl. prenesená",AF87,0)</f>
        <v>0</v>
      </c>
      <c r="CN87" s="72">
        <f>IF(AM87="zníž. prenesená",AF87,0)</f>
        <v>0</v>
      </c>
      <c r="CO87" s="72">
        <f>IF(AM87="nulová",AF87,0)</f>
        <v>0</v>
      </c>
      <c r="CP87" s="9" t="s">
        <v>42</v>
      </c>
      <c r="CQ87" s="101">
        <f>ROUND(O87*K87,3)</f>
        <v>166.87100000000001</v>
      </c>
      <c r="CR87" s="9" t="s">
        <v>153</v>
      </c>
      <c r="CS87" s="9" t="s">
        <v>498</v>
      </c>
    </row>
    <row r="88" spans="2:103" s="1" customFormat="1" ht="31.5" customHeight="1">
      <c r="B88" s="73"/>
      <c r="C88" s="93">
        <v>20</v>
      </c>
      <c r="D88" s="93" t="s">
        <v>149</v>
      </c>
      <c r="E88" s="94" t="s">
        <v>150</v>
      </c>
      <c r="F88" s="498" t="s">
        <v>151</v>
      </c>
      <c r="G88" s="498"/>
      <c r="H88" s="498"/>
      <c r="I88" s="498"/>
      <c r="J88" s="95" t="s">
        <v>152</v>
      </c>
      <c r="K88" s="211">
        <v>0</v>
      </c>
      <c r="L88" s="211">
        <v>0</v>
      </c>
      <c r="M88" s="211">
        <f>32.572-M39</f>
        <v>26.665000000000003</v>
      </c>
      <c r="N88" s="211">
        <f>(N38*0.261)+(N87*0.089)-N39</f>
        <v>18.974207</v>
      </c>
      <c r="O88" s="211">
        <f>(O38*0.261)+(O87*0.089)-O39</f>
        <v>5.2405040000000005</v>
      </c>
      <c r="P88" s="306">
        <f t="shared" si="240"/>
        <v>50.879711</v>
      </c>
      <c r="Q88" s="307">
        <v>0</v>
      </c>
      <c r="R88" s="211">
        <v>0</v>
      </c>
      <c r="S88" s="211">
        <v>0</v>
      </c>
      <c r="T88" s="211">
        <v>0</v>
      </c>
      <c r="U88" s="211">
        <v>0.61799999999999999</v>
      </c>
      <c r="V88" s="220">
        <f t="shared" si="241"/>
        <v>0.61799999999999999</v>
      </c>
      <c r="W88" s="289">
        <f t="shared" si="242"/>
        <v>1.2146295406434207E-2</v>
      </c>
      <c r="X88" s="307">
        <f t="shared" si="243"/>
        <v>0</v>
      </c>
      <c r="Y88" s="211">
        <f t="shared" si="244"/>
        <v>0</v>
      </c>
      <c r="Z88" s="211">
        <f t="shared" si="245"/>
        <v>26.665000000000003</v>
      </c>
      <c r="AA88" s="211">
        <f t="shared" si="246"/>
        <v>18.974207</v>
      </c>
      <c r="AB88" s="211">
        <f t="shared" si="247"/>
        <v>4.6225040000000002</v>
      </c>
      <c r="AC88" s="220">
        <f t="shared" si="248"/>
        <v>50.261710999999998</v>
      </c>
      <c r="AD88" s="289">
        <f t="shared" si="249"/>
        <v>0.98785370459356581</v>
      </c>
      <c r="AE88" s="310">
        <v>52</v>
      </c>
      <c r="AF88" s="230">
        <v>52</v>
      </c>
      <c r="AG88" s="230">
        <v>52</v>
      </c>
      <c r="AH88" s="230">
        <v>52</v>
      </c>
      <c r="AI88" s="230">
        <v>52</v>
      </c>
      <c r="AJ88" s="211">
        <f t="shared" si="250"/>
        <v>0</v>
      </c>
      <c r="AK88" s="211">
        <f t="shared" si="251"/>
        <v>0</v>
      </c>
      <c r="AL88" s="211">
        <f t="shared" si="252"/>
        <v>1386.58</v>
      </c>
      <c r="AM88" s="211">
        <f t="shared" si="253"/>
        <v>986.65899999999999</v>
      </c>
      <c r="AN88" s="211">
        <f t="shared" si="254"/>
        <v>272.50599999999997</v>
      </c>
      <c r="AO88" s="295">
        <f t="shared" si="255"/>
        <v>2645.7449999999999</v>
      </c>
      <c r="AP88" s="211">
        <f t="shared" si="256"/>
        <v>0</v>
      </c>
      <c r="AQ88" s="211">
        <f t="shared" si="257"/>
        <v>0</v>
      </c>
      <c r="AR88" s="211">
        <f t="shared" si="258"/>
        <v>0</v>
      </c>
      <c r="AS88" s="211">
        <f t="shared" si="259"/>
        <v>0</v>
      </c>
      <c r="AT88" s="211">
        <f t="shared" si="260"/>
        <v>32.136000000000003</v>
      </c>
      <c r="AU88" s="211">
        <f t="shared" si="261"/>
        <v>32.136000000000003</v>
      </c>
      <c r="AV88" s="312">
        <f t="shared" si="262"/>
        <v>1.2146295277889595E-2</v>
      </c>
      <c r="AW88" s="277">
        <f t="shared" si="263"/>
        <v>0</v>
      </c>
      <c r="AX88" s="211">
        <f t="shared" si="264"/>
        <v>0</v>
      </c>
      <c r="AY88" s="211">
        <f t="shared" si="265"/>
        <v>1386.58</v>
      </c>
      <c r="AZ88" s="211">
        <f t="shared" si="266"/>
        <v>986.65899999999999</v>
      </c>
      <c r="BA88" s="211">
        <f t="shared" si="267"/>
        <v>240.36999999999998</v>
      </c>
      <c r="BB88" s="211">
        <f t="shared" si="268"/>
        <v>2613.6089999999999</v>
      </c>
      <c r="BC88" s="289">
        <f t="shared" si="269"/>
        <v>0.98785370472211043</v>
      </c>
      <c r="BD88" s="74"/>
      <c r="BF88" s="98" t="s">
        <v>0</v>
      </c>
      <c r="BG88" s="18" t="s">
        <v>11</v>
      </c>
      <c r="BH88" s="205"/>
      <c r="BI88" s="99">
        <f>BH88*K88</f>
        <v>0</v>
      </c>
      <c r="BJ88" s="99">
        <v>0</v>
      </c>
      <c r="BK88" s="99">
        <f>BJ88*K88</f>
        <v>0</v>
      </c>
      <c r="BL88" s="99">
        <v>0</v>
      </c>
      <c r="BM88" s="100">
        <f>BL88*K88</f>
        <v>0</v>
      </c>
      <c r="BQ88" s="1">
        <v>50</v>
      </c>
      <c r="CD88" s="9" t="s">
        <v>153</v>
      </c>
      <c r="CF88" s="9" t="s">
        <v>149</v>
      </c>
      <c r="CG88" s="9" t="s">
        <v>42</v>
      </c>
      <c r="CK88" s="9" t="s">
        <v>148</v>
      </c>
      <c r="CQ88" s="72">
        <f>IF(BG88="základná",AJ88,0)</f>
        <v>0</v>
      </c>
      <c r="CR88" s="72">
        <f>IF(BG88="znížená",AJ88,0)</f>
        <v>0</v>
      </c>
      <c r="CS88" s="72">
        <f>IF(BG88="zákl. prenesená",AJ88,0)</f>
        <v>0</v>
      </c>
      <c r="CT88" s="72">
        <f>IF(BG88="zníž. prenesená",AJ88,0)</f>
        <v>0</v>
      </c>
      <c r="CU88" s="72">
        <f>IF(BG88="nulová",AJ88,0)</f>
        <v>0</v>
      </c>
      <c r="CV88" s="9" t="s">
        <v>42</v>
      </c>
      <c r="CW88" s="101">
        <f>ROUND(AE88*K88,3)</f>
        <v>0</v>
      </c>
      <c r="CX88" s="9" t="s">
        <v>153</v>
      </c>
      <c r="CY88" s="9" t="s">
        <v>291</v>
      </c>
    </row>
    <row r="89" spans="2:103" s="1" customFormat="1" ht="31.5" customHeight="1">
      <c r="B89" s="73"/>
      <c r="C89" s="93">
        <v>21</v>
      </c>
      <c r="D89" s="93" t="s">
        <v>149</v>
      </c>
      <c r="E89" s="94" t="s">
        <v>154</v>
      </c>
      <c r="F89" s="498" t="s">
        <v>155</v>
      </c>
      <c r="G89" s="498"/>
      <c r="H89" s="498"/>
      <c r="I89" s="498"/>
      <c r="J89" s="95" t="s">
        <v>152</v>
      </c>
      <c r="K89" s="211">
        <v>0</v>
      </c>
      <c r="L89" s="211">
        <v>0</v>
      </c>
      <c r="M89" s="211">
        <f>32.572-M40</f>
        <v>26.665000000000003</v>
      </c>
      <c r="N89" s="211">
        <v>18.974207</v>
      </c>
      <c r="O89" s="211">
        <v>6.6632580000000008</v>
      </c>
      <c r="P89" s="306">
        <f t="shared" si="240"/>
        <v>52.302464999999998</v>
      </c>
      <c r="Q89" s="307">
        <v>0</v>
      </c>
      <c r="R89" s="211">
        <v>0</v>
      </c>
      <c r="S89" s="211">
        <v>0</v>
      </c>
      <c r="T89" s="211">
        <v>0</v>
      </c>
      <c r="U89" s="211">
        <v>0</v>
      </c>
      <c r="V89" s="220">
        <f t="shared" si="241"/>
        <v>0</v>
      </c>
      <c r="W89" s="289">
        <f t="shared" si="242"/>
        <v>0</v>
      </c>
      <c r="X89" s="307">
        <f t="shared" si="243"/>
        <v>0</v>
      </c>
      <c r="Y89" s="211">
        <f t="shared" si="244"/>
        <v>0</v>
      </c>
      <c r="Z89" s="211">
        <f t="shared" si="245"/>
        <v>26.665000000000003</v>
      </c>
      <c r="AA89" s="211">
        <f t="shared" si="246"/>
        <v>18.974207</v>
      </c>
      <c r="AB89" s="211">
        <f t="shared" si="247"/>
        <v>6.6632580000000008</v>
      </c>
      <c r="AC89" s="220">
        <f t="shared" si="248"/>
        <v>52.302464999999998</v>
      </c>
      <c r="AD89" s="289">
        <f t="shared" si="249"/>
        <v>1</v>
      </c>
      <c r="AE89" s="310">
        <v>36.4</v>
      </c>
      <c r="AF89" s="230">
        <v>36.4</v>
      </c>
      <c r="AG89" s="230">
        <v>36.4</v>
      </c>
      <c r="AH89" s="230">
        <v>36.4</v>
      </c>
      <c r="AI89" s="230">
        <v>36.4</v>
      </c>
      <c r="AJ89" s="211">
        <f t="shared" si="250"/>
        <v>0</v>
      </c>
      <c r="AK89" s="211">
        <f t="shared" si="251"/>
        <v>0</v>
      </c>
      <c r="AL89" s="211">
        <f t="shared" si="252"/>
        <v>970.60599999999999</v>
      </c>
      <c r="AM89" s="211">
        <f t="shared" si="253"/>
        <v>690.66099999999994</v>
      </c>
      <c r="AN89" s="211">
        <f t="shared" si="254"/>
        <v>242.54300000000001</v>
      </c>
      <c r="AO89" s="295">
        <f t="shared" si="255"/>
        <v>1903.81</v>
      </c>
      <c r="AP89" s="211">
        <f t="shared" si="256"/>
        <v>0</v>
      </c>
      <c r="AQ89" s="211">
        <f t="shared" si="257"/>
        <v>0</v>
      </c>
      <c r="AR89" s="211">
        <f t="shared" si="258"/>
        <v>0</v>
      </c>
      <c r="AS89" s="211">
        <f t="shared" si="259"/>
        <v>0</v>
      </c>
      <c r="AT89" s="211">
        <f t="shared" si="260"/>
        <v>0</v>
      </c>
      <c r="AU89" s="211">
        <f t="shared" si="261"/>
        <v>0</v>
      </c>
      <c r="AV89" s="312">
        <f t="shared" si="262"/>
        <v>0</v>
      </c>
      <c r="AW89" s="277">
        <f t="shared" si="263"/>
        <v>0</v>
      </c>
      <c r="AX89" s="211">
        <f t="shared" si="264"/>
        <v>0</v>
      </c>
      <c r="AY89" s="211">
        <f t="shared" si="265"/>
        <v>970.60599999999999</v>
      </c>
      <c r="AZ89" s="211">
        <f t="shared" si="266"/>
        <v>690.66099999999994</v>
      </c>
      <c r="BA89" s="211">
        <f t="shared" si="267"/>
        <v>242.54300000000001</v>
      </c>
      <c r="BB89" s="211">
        <f t="shared" si="268"/>
        <v>1903.81</v>
      </c>
      <c r="BC89" s="289">
        <f t="shared" si="269"/>
        <v>1</v>
      </c>
      <c r="BD89" s="74"/>
      <c r="BF89" s="98" t="s">
        <v>0</v>
      </c>
      <c r="BG89" s="18" t="s">
        <v>11</v>
      </c>
      <c r="BH89" s="192"/>
      <c r="BI89" s="99">
        <f>BH89*K89</f>
        <v>0</v>
      </c>
      <c r="BJ89" s="99">
        <v>0</v>
      </c>
      <c r="BK89" s="99">
        <f>BJ89*K89</f>
        <v>0</v>
      </c>
      <c r="BL89" s="99">
        <v>0</v>
      </c>
      <c r="BM89" s="100">
        <f>BL89*K89</f>
        <v>0</v>
      </c>
      <c r="BQ89" s="1">
        <v>35</v>
      </c>
      <c r="CD89" s="9" t="s">
        <v>153</v>
      </c>
      <c r="CF89" s="9" t="s">
        <v>149</v>
      </c>
      <c r="CG89" s="9" t="s">
        <v>42</v>
      </c>
      <c r="CK89" s="9" t="s">
        <v>148</v>
      </c>
      <c r="CQ89" s="72">
        <f>IF(BG89="základná",AJ89,0)</f>
        <v>0</v>
      </c>
      <c r="CR89" s="72">
        <f>IF(BG89="znížená",AJ89,0)</f>
        <v>0</v>
      </c>
      <c r="CS89" s="72">
        <f>IF(BG89="zákl. prenesená",AJ89,0)</f>
        <v>0</v>
      </c>
      <c r="CT89" s="72">
        <f>IF(BG89="zníž. prenesená",AJ89,0)</f>
        <v>0</v>
      </c>
      <c r="CU89" s="72">
        <f>IF(BG89="nulová",AJ89,0)</f>
        <v>0</v>
      </c>
      <c r="CV89" s="9" t="s">
        <v>42</v>
      </c>
      <c r="CW89" s="101">
        <f>ROUND(AE89*K89,3)</f>
        <v>0</v>
      </c>
      <c r="CX89" s="9" t="s">
        <v>153</v>
      </c>
      <c r="CY89" s="9" t="s">
        <v>292</v>
      </c>
    </row>
    <row r="90" spans="2:103" s="1" customFormat="1" ht="31.5" customHeight="1">
      <c r="B90" s="73"/>
      <c r="C90" s="93">
        <v>22</v>
      </c>
      <c r="D90" s="93" t="s">
        <v>149</v>
      </c>
      <c r="E90" s="94" t="s">
        <v>157</v>
      </c>
      <c r="F90" s="498" t="s">
        <v>158</v>
      </c>
      <c r="G90" s="498"/>
      <c r="H90" s="498"/>
      <c r="I90" s="498"/>
      <c r="J90" s="95" t="s">
        <v>152</v>
      </c>
      <c r="K90" s="211">
        <v>0</v>
      </c>
      <c r="L90" s="211">
        <v>0</v>
      </c>
      <c r="M90" s="211">
        <f>32.572*8-M42</f>
        <v>254.66900000000001</v>
      </c>
      <c r="N90" s="211">
        <f>N89*9</f>
        <v>170.76786300000001</v>
      </c>
      <c r="O90" s="211">
        <f>O89*9</f>
        <v>59.969322000000005</v>
      </c>
      <c r="P90" s="306">
        <f t="shared" si="240"/>
        <v>485.40618500000005</v>
      </c>
      <c r="Q90" s="307">
        <v>0</v>
      </c>
      <c r="R90" s="211">
        <v>0</v>
      </c>
      <c r="S90" s="211">
        <v>0</v>
      </c>
      <c r="T90" s="211">
        <v>0</v>
      </c>
      <c r="U90" s="211">
        <v>0</v>
      </c>
      <c r="V90" s="220">
        <f t="shared" si="241"/>
        <v>0</v>
      </c>
      <c r="W90" s="289">
        <f t="shared" si="242"/>
        <v>0</v>
      </c>
      <c r="X90" s="307">
        <f t="shared" si="243"/>
        <v>0</v>
      </c>
      <c r="Y90" s="211">
        <f t="shared" si="244"/>
        <v>0</v>
      </c>
      <c r="Z90" s="211">
        <f t="shared" si="245"/>
        <v>254.66900000000001</v>
      </c>
      <c r="AA90" s="211">
        <f t="shared" si="246"/>
        <v>170.76786300000001</v>
      </c>
      <c r="AB90" s="211">
        <f t="shared" si="247"/>
        <v>59.969322000000005</v>
      </c>
      <c r="AC90" s="220">
        <f t="shared" si="248"/>
        <v>485.40618500000005</v>
      </c>
      <c r="AD90" s="289">
        <f t="shared" si="249"/>
        <v>1</v>
      </c>
      <c r="AE90" s="310">
        <v>0.45</v>
      </c>
      <c r="AF90" s="230">
        <v>0.45</v>
      </c>
      <c r="AG90" s="230">
        <v>0.45</v>
      </c>
      <c r="AH90" s="230">
        <v>0.45</v>
      </c>
      <c r="AI90" s="230">
        <v>0.45</v>
      </c>
      <c r="AJ90" s="211">
        <f t="shared" si="250"/>
        <v>0</v>
      </c>
      <c r="AK90" s="211">
        <f t="shared" si="251"/>
        <v>0</v>
      </c>
      <c r="AL90" s="211">
        <f t="shared" si="252"/>
        <v>114.601</v>
      </c>
      <c r="AM90" s="211">
        <f t="shared" si="253"/>
        <v>76.846000000000004</v>
      </c>
      <c r="AN90" s="211">
        <f t="shared" si="254"/>
        <v>26.986000000000001</v>
      </c>
      <c r="AO90" s="295">
        <f t="shared" si="255"/>
        <v>218.43299999999999</v>
      </c>
      <c r="AP90" s="211">
        <f t="shared" si="256"/>
        <v>0</v>
      </c>
      <c r="AQ90" s="211">
        <f t="shared" si="257"/>
        <v>0</v>
      </c>
      <c r="AR90" s="211">
        <f t="shared" si="258"/>
        <v>0</v>
      </c>
      <c r="AS90" s="211">
        <f t="shared" si="259"/>
        <v>0</v>
      </c>
      <c r="AT90" s="211">
        <f t="shared" si="260"/>
        <v>0</v>
      </c>
      <c r="AU90" s="211">
        <f t="shared" si="261"/>
        <v>0</v>
      </c>
      <c r="AV90" s="312">
        <f t="shared" si="262"/>
        <v>0</v>
      </c>
      <c r="AW90" s="277">
        <f t="shared" si="263"/>
        <v>0</v>
      </c>
      <c r="AX90" s="211">
        <f t="shared" si="264"/>
        <v>0</v>
      </c>
      <c r="AY90" s="211">
        <f t="shared" si="265"/>
        <v>114.601</v>
      </c>
      <c r="AZ90" s="211">
        <f t="shared" si="266"/>
        <v>76.846000000000004</v>
      </c>
      <c r="BA90" s="211">
        <f t="shared" si="267"/>
        <v>26.986000000000001</v>
      </c>
      <c r="BB90" s="211">
        <f t="shared" si="268"/>
        <v>218.43299999999999</v>
      </c>
      <c r="BC90" s="289">
        <f t="shared" si="269"/>
        <v>1</v>
      </c>
      <c r="BD90" s="74"/>
      <c r="BF90" s="98" t="s">
        <v>0</v>
      </c>
      <c r="BG90" s="18" t="s">
        <v>11</v>
      </c>
      <c r="BH90" s="192"/>
      <c r="BI90" s="99">
        <f>BH90*K90</f>
        <v>0</v>
      </c>
      <c r="BJ90" s="99">
        <v>0</v>
      </c>
      <c r="BK90" s="99">
        <f>BJ90*K90</f>
        <v>0</v>
      </c>
      <c r="BL90" s="99">
        <v>0</v>
      </c>
      <c r="BM90" s="100">
        <f>BL90*K90</f>
        <v>0</v>
      </c>
      <c r="BQ90" s="1">
        <v>0.43</v>
      </c>
      <c r="CD90" s="9" t="s">
        <v>153</v>
      </c>
      <c r="CF90" s="9" t="s">
        <v>149</v>
      </c>
      <c r="CG90" s="9" t="s">
        <v>42</v>
      </c>
      <c r="CK90" s="9" t="s">
        <v>148</v>
      </c>
      <c r="CQ90" s="72">
        <f>IF(BG90="základná",AJ90,0)</f>
        <v>0</v>
      </c>
      <c r="CR90" s="72">
        <f>IF(BG90="znížená",AJ90,0)</f>
        <v>0</v>
      </c>
      <c r="CS90" s="72">
        <f>IF(BG90="zákl. prenesená",AJ90,0)</f>
        <v>0</v>
      </c>
      <c r="CT90" s="72">
        <f>IF(BG90="zníž. prenesená",AJ90,0)</f>
        <v>0</v>
      </c>
      <c r="CU90" s="72">
        <f>IF(BG90="nulová",AJ90,0)</f>
        <v>0</v>
      </c>
      <c r="CV90" s="9" t="s">
        <v>42</v>
      </c>
      <c r="CW90" s="101">
        <f>ROUND(AE90*K90,3)</f>
        <v>0</v>
      </c>
      <c r="CX90" s="9" t="s">
        <v>153</v>
      </c>
      <c r="CY90" s="9" t="s">
        <v>293</v>
      </c>
    </row>
    <row r="91" spans="2:103" s="1" customFormat="1" ht="31.5" customHeight="1">
      <c r="B91" s="73"/>
      <c r="C91" s="93">
        <v>23</v>
      </c>
      <c r="D91" s="93" t="s">
        <v>149</v>
      </c>
      <c r="E91" s="94" t="s">
        <v>160</v>
      </c>
      <c r="F91" s="498" t="s">
        <v>161</v>
      </c>
      <c r="G91" s="498"/>
      <c r="H91" s="498"/>
      <c r="I91" s="498"/>
      <c r="J91" s="95" t="s">
        <v>152</v>
      </c>
      <c r="K91" s="211">
        <v>0</v>
      </c>
      <c r="L91" s="211">
        <v>0</v>
      </c>
      <c r="M91" s="211">
        <f>32.572-M42</f>
        <v>26.665000000000003</v>
      </c>
      <c r="N91" s="211">
        <f>N89</f>
        <v>18.974207</v>
      </c>
      <c r="O91" s="211">
        <f>O89</f>
        <v>6.6632580000000008</v>
      </c>
      <c r="P91" s="306">
        <f t="shared" si="240"/>
        <v>52.302464999999998</v>
      </c>
      <c r="Q91" s="307">
        <v>0</v>
      </c>
      <c r="R91" s="211">
        <v>0</v>
      </c>
      <c r="S91" s="211">
        <v>0</v>
      </c>
      <c r="T91" s="211">
        <v>0</v>
      </c>
      <c r="U91" s="211">
        <v>0</v>
      </c>
      <c r="V91" s="220">
        <f t="shared" si="241"/>
        <v>0</v>
      </c>
      <c r="W91" s="289">
        <f t="shared" si="242"/>
        <v>0</v>
      </c>
      <c r="X91" s="307">
        <f t="shared" si="243"/>
        <v>0</v>
      </c>
      <c r="Y91" s="211">
        <f t="shared" si="244"/>
        <v>0</v>
      </c>
      <c r="Z91" s="211">
        <f t="shared" si="245"/>
        <v>26.665000000000003</v>
      </c>
      <c r="AA91" s="211">
        <f t="shared" si="246"/>
        <v>18.974207</v>
      </c>
      <c r="AB91" s="211">
        <f t="shared" si="247"/>
        <v>6.6632580000000008</v>
      </c>
      <c r="AC91" s="220">
        <f t="shared" si="248"/>
        <v>52.302464999999998</v>
      </c>
      <c r="AD91" s="289">
        <f t="shared" si="249"/>
        <v>1</v>
      </c>
      <c r="AE91" s="310">
        <v>45.43</v>
      </c>
      <c r="AF91" s="230">
        <v>45.43</v>
      </c>
      <c r="AG91" s="230">
        <v>45.43</v>
      </c>
      <c r="AH91" s="230">
        <v>45.43</v>
      </c>
      <c r="AI91" s="230">
        <v>45.43</v>
      </c>
      <c r="AJ91" s="211">
        <f t="shared" si="250"/>
        <v>0</v>
      </c>
      <c r="AK91" s="211">
        <f t="shared" si="251"/>
        <v>0</v>
      </c>
      <c r="AL91" s="211">
        <f t="shared" si="252"/>
        <v>1211.3910000000001</v>
      </c>
      <c r="AM91" s="211">
        <f t="shared" si="253"/>
        <v>861.99800000000005</v>
      </c>
      <c r="AN91" s="211">
        <f t="shared" si="254"/>
        <v>302.71199999999999</v>
      </c>
      <c r="AO91" s="295">
        <f t="shared" si="255"/>
        <v>2376.1010000000001</v>
      </c>
      <c r="AP91" s="211">
        <f t="shared" si="256"/>
        <v>0</v>
      </c>
      <c r="AQ91" s="211">
        <f t="shared" si="257"/>
        <v>0</v>
      </c>
      <c r="AR91" s="211">
        <f t="shared" si="258"/>
        <v>0</v>
      </c>
      <c r="AS91" s="211">
        <f t="shared" si="259"/>
        <v>0</v>
      </c>
      <c r="AT91" s="211">
        <f t="shared" si="260"/>
        <v>0</v>
      </c>
      <c r="AU91" s="211">
        <f t="shared" si="261"/>
        <v>0</v>
      </c>
      <c r="AV91" s="312">
        <f t="shared" si="262"/>
        <v>0</v>
      </c>
      <c r="AW91" s="277">
        <f t="shared" si="263"/>
        <v>0</v>
      </c>
      <c r="AX91" s="211">
        <f t="shared" si="264"/>
        <v>0</v>
      </c>
      <c r="AY91" s="211">
        <f t="shared" si="265"/>
        <v>1211.3910000000001</v>
      </c>
      <c r="AZ91" s="211">
        <f t="shared" si="266"/>
        <v>861.99800000000005</v>
      </c>
      <c r="BA91" s="211">
        <f t="shared" si="267"/>
        <v>302.71199999999999</v>
      </c>
      <c r="BB91" s="211">
        <f t="shared" si="268"/>
        <v>2376.1010000000001</v>
      </c>
      <c r="BC91" s="289">
        <f t="shared" si="269"/>
        <v>1</v>
      </c>
      <c r="BD91" s="74"/>
      <c r="BF91" s="98" t="s">
        <v>0</v>
      </c>
      <c r="BG91" s="18" t="s">
        <v>11</v>
      </c>
      <c r="BH91" s="192"/>
      <c r="BI91" s="99">
        <f>BH91*K91</f>
        <v>0</v>
      </c>
      <c r="BJ91" s="99">
        <v>0</v>
      </c>
      <c r="BK91" s="99">
        <f>BJ91*K91</f>
        <v>0</v>
      </c>
      <c r="BL91" s="99">
        <v>0</v>
      </c>
      <c r="BM91" s="100">
        <f>BL91*K91</f>
        <v>0</v>
      </c>
      <c r="BQ91" s="1">
        <v>45.43</v>
      </c>
      <c r="CD91" s="9" t="s">
        <v>153</v>
      </c>
      <c r="CF91" s="9" t="s">
        <v>149</v>
      </c>
      <c r="CG91" s="9" t="s">
        <v>42</v>
      </c>
      <c r="CK91" s="9" t="s">
        <v>148</v>
      </c>
      <c r="CQ91" s="72">
        <f>IF(BG91="základná",AJ91,0)</f>
        <v>0</v>
      </c>
      <c r="CR91" s="72">
        <f>IF(BG91="znížená",AJ91,0)</f>
        <v>0</v>
      </c>
      <c r="CS91" s="72">
        <f>IF(BG91="zákl. prenesená",AJ91,0)</f>
        <v>0</v>
      </c>
      <c r="CT91" s="72">
        <f>IF(BG91="zníž. prenesená",AJ91,0)</f>
        <v>0</v>
      </c>
      <c r="CU91" s="72">
        <f>IF(BG91="nulová",AJ91,0)</f>
        <v>0</v>
      </c>
      <c r="CV91" s="9" t="s">
        <v>42</v>
      </c>
      <c r="CW91" s="101">
        <f>ROUND(AE91*K91,3)</f>
        <v>0</v>
      </c>
      <c r="CX91" s="9" t="s">
        <v>153</v>
      </c>
      <c r="CY91" s="9" t="s">
        <v>294</v>
      </c>
    </row>
    <row r="92" spans="2:103" s="7" customFormat="1" ht="19.899999999999999" customHeight="1">
      <c r="B92" s="82"/>
      <c r="C92" s="83"/>
      <c r="D92" s="92" t="s">
        <v>246</v>
      </c>
      <c r="E92" s="92"/>
      <c r="F92" s="92"/>
      <c r="G92" s="92"/>
      <c r="H92" s="92"/>
      <c r="I92" s="92"/>
      <c r="J92" s="92"/>
      <c r="K92" s="219"/>
      <c r="L92" s="219"/>
      <c r="M92" s="219"/>
      <c r="N92" s="219"/>
      <c r="O92" s="219"/>
      <c r="P92" s="222"/>
      <c r="Q92" s="219"/>
      <c r="R92" s="219"/>
      <c r="S92" s="219"/>
      <c r="T92" s="219"/>
      <c r="U92" s="219"/>
      <c r="V92" s="222"/>
      <c r="W92" s="286"/>
      <c r="X92" s="219"/>
      <c r="Y92" s="219"/>
      <c r="Z92" s="219"/>
      <c r="AA92" s="219"/>
      <c r="AB92" s="219"/>
      <c r="AC92" s="222"/>
      <c r="AD92" s="286"/>
      <c r="AE92" s="219"/>
      <c r="AF92" s="219"/>
      <c r="AG92" s="219"/>
      <c r="AH92" s="219"/>
      <c r="AI92" s="219"/>
      <c r="AJ92" s="213">
        <f t="shared" ref="AJ92:AU92" si="279">SUM(AJ93:AJ95)</f>
        <v>712.72199999999998</v>
      </c>
      <c r="AK92" s="213">
        <f t="shared" si="279"/>
        <v>712.72199999999998</v>
      </c>
      <c r="AL92" s="213">
        <f t="shared" si="279"/>
        <v>42.19</v>
      </c>
      <c r="AM92" s="213">
        <f t="shared" si="279"/>
        <v>400.10699999999997</v>
      </c>
      <c r="AN92" s="213">
        <f t="shared" si="279"/>
        <v>0</v>
      </c>
      <c r="AO92" s="213">
        <f t="shared" si="279"/>
        <v>1867.7410000000002</v>
      </c>
      <c r="AP92" s="213">
        <f t="shared" si="279"/>
        <v>0</v>
      </c>
      <c r="AQ92" s="213">
        <f t="shared" si="279"/>
        <v>669.76</v>
      </c>
      <c r="AR92" s="213">
        <f t="shared" si="279"/>
        <v>0</v>
      </c>
      <c r="AS92" s="213">
        <f t="shared" si="279"/>
        <v>0</v>
      </c>
      <c r="AT92" s="213">
        <f t="shared" si="279"/>
        <v>0</v>
      </c>
      <c r="AU92" s="213">
        <f t="shared" si="279"/>
        <v>669.76</v>
      </c>
      <c r="AV92" s="317"/>
      <c r="AW92" s="213">
        <f t="shared" ref="AW92:BA92" si="280">SUM(AW93:AW95)</f>
        <v>712.72199999999998</v>
      </c>
      <c r="AX92" s="213">
        <f t="shared" si="280"/>
        <v>42.961999999999996</v>
      </c>
      <c r="AY92" s="213">
        <f t="shared" si="280"/>
        <v>42.19</v>
      </c>
      <c r="AZ92" s="213">
        <f t="shared" si="280"/>
        <v>400.10699999999997</v>
      </c>
      <c r="BA92" s="213">
        <f t="shared" si="280"/>
        <v>0</v>
      </c>
      <c r="BB92" s="213">
        <f>SUM(BB93:BB95)</f>
        <v>1197.981</v>
      </c>
      <c r="BC92" s="317"/>
      <c r="BD92" s="85"/>
      <c r="BF92" s="86"/>
      <c r="BG92" s="83"/>
      <c r="BH92" s="83"/>
      <c r="BI92" s="87">
        <f>SUM(BI101:BI104)</f>
        <v>0</v>
      </c>
      <c r="BJ92" s="83"/>
      <c r="BK92" s="87">
        <f>SUM(BK101:BK104)</f>
        <v>0</v>
      </c>
      <c r="BL92" s="83"/>
      <c r="BM92" s="88">
        <f>SUM(BM101:BM104)</f>
        <v>0</v>
      </c>
      <c r="CD92" s="89" t="s">
        <v>42</v>
      </c>
      <c r="CF92" s="90" t="s">
        <v>30</v>
      </c>
      <c r="CG92" s="90" t="s">
        <v>38</v>
      </c>
      <c r="CK92" s="89" t="s">
        <v>148</v>
      </c>
      <c r="CW92" s="91">
        <f>SUM(CW101:CW104)</f>
        <v>5712.4780000000001</v>
      </c>
    </row>
    <row r="93" spans="2:103" s="1" customFormat="1" ht="22.5" customHeight="1">
      <c r="B93" s="73"/>
      <c r="C93" s="93">
        <v>24</v>
      </c>
      <c r="D93" s="93" t="s">
        <v>149</v>
      </c>
      <c r="E93" s="94" t="s">
        <v>295</v>
      </c>
      <c r="F93" s="498" t="s">
        <v>296</v>
      </c>
      <c r="G93" s="498"/>
      <c r="H93" s="498"/>
      <c r="I93" s="498"/>
      <c r="J93" s="95" t="s">
        <v>168</v>
      </c>
      <c r="K93" s="211">
        <v>17.96</v>
      </c>
      <c r="L93" s="211">
        <f>60.06-42.1</f>
        <v>17.96</v>
      </c>
      <c r="M93" s="211">
        <v>0</v>
      </c>
      <c r="N93" s="211">
        <v>0</v>
      </c>
      <c r="O93" s="211">
        <v>0</v>
      </c>
      <c r="P93" s="306">
        <f>SUM(K93:O93)</f>
        <v>35.92</v>
      </c>
      <c r="Q93" s="307">
        <v>0</v>
      </c>
      <c r="R93" s="211">
        <v>17.96</v>
      </c>
      <c r="S93" s="211">
        <v>0</v>
      </c>
      <c r="T93" s="211">
        <v>0</v>
      </c>
      <c r="U93" s="211">
        <v>0</v>
      </c>
      <c r="V93" s="220">
        <f>SUM(Q93:U93)</f>
        <v>17.96</v>
      </c>
      <c r="W93" s="289">
        <f t="shared" ref="W93" si="281">V93/P93</f>
        <v>0.5</v>
      </c>
      <c r="X93" s="307">
        <f t="shared" ref="X93" si="282">K93-Q93</f>
        <v>17.96</v>
      </c>
      <c r="Y93" s="211">
        <f t="shared" ref="Y93" si="283">L93-R93</f>
        <v>0</v>
      </c>
      <c r="Z93" s="211">
        <f t="shared" ref="Z93" si="284">M93-S93</f>
        <v>0</v>
      </c>
      <c r="AA93" s="211">
        <f t="shared" ref="AA93" si="285">N93-T93</f>
        <v>0</v>
      </c>
      <c r="AB93" s="211">
        <f t="shared" ref="AB93" si="286">O93-U93</f>
        <v>0</v>
      </c>
      <c r="AC93" s="220">
        <f>SUM(X93:AB93)</f>
        <v>17.96</v>
      </c>
      <c r="AD93" s="289">
        <f>AC93/P93</f>
        <v>0.5</v>
      </c>
      <c r="AE93" s="310">
        <v>30.93</v>
      </c>
      <c r="AF93" s="230">
        <v>30.93</v>
      </c>
      <c r="AG93" s="230">
        <v>30.93</v>
      </c>
      <c r="AH93" s="230">
        <v>30.93</v>
      </c>
      <c r="AI93" s="230">
        <v>30.93</v>
      </c>
      <c r="AJ93" s="211">
        <f>ROUND(AE93*K93,3)</f>
        <v>555.50300000000004</v>
      </c>
      <c r="AK93" s="211">
        <f>ROUND(AE93*L93,3)</f>
        <v>555.50300000000004</v>
      </c>
      <c r="AL93" s="211">
        <f>ROUND(AE93*M93,3)</f>
        <v>0</v>
      </c>
      <c r="AM93" s="211">
        <f>ROUND(AE93*N93,3)</f>
        <v>0</v>
      </c>
      <c r="AN93" s="211">
        <f>ROUND(AE93*O93,3)</f>
        <v>0</v>
      </c>
      <c r="AO93" s="295">
        <f>AJ93+AK93+AL93+AM93+AN93</f>
        <v>1111.0060000000001</v>
      </c>
      <c r="AP93" s="277">
        <f t="shared" ref="AP93" si="287">ROUND(AE93*Q93,3)</f>
        <v>0</v>
      </c>
      <c r="AQ93" s="211">
        <f t="shared" ref="AQ93" si="288">ROUND(AF93*R93,3)</f>
        <v>555.50300000000004</v>
      </c>
      <c r="AR93" s="211">
        <f t="shared" ref="AR93" si="289">ROUND(AG93*S93,3)</f>
        <v>0</v>
      </c>
      <c r="AS93" s="211">
        <f t="shared" ref="AS93" si="290">ROUND(AH93*T93,3)</f>
        <v>0</v>
      </c>
      <c r="AT93" s="211">
        <f t="shared" ref="AT93" si="291">ROUND(AI93*U93,3)</f>
        <v>0</v>
      </c>
      <c r="AU93" s="211">
        <f>AP93+AQ93+AR93+AS93+AT93</f>
        <v>555.50300000000004</v>
      </c>
      <c r="AV93" s="312">
        <f t="shared" ref="AV93" si="292">AU93/AO93</f>
        <v>0.5</v>
      </c>
      <c r="AW93" s="277">
        <f t="shared" ref="AW93" si="293">AJ93-AP93</f>
        <v>555.50300000000004</v>
      </c>
      <c r="AX93" s="211">
        <f t="shared" ref="AX93" si="294">AK93-AQ93</f>
        <v>0</v>
      </c>
      <c r="AY93" s="211">
        <f t="shared" ref="AY93" si="295">AL93-AR93</f>
        <v>0</v>
      </c>
      <c r="AZ93" s="211">
        <f t="shared" ref="AZ93" si="296">AM93-AS93</f>
        <v>0</v>
      </c>
      <c r="BA93" s="211">
        <f t="shared" ref="BA93" si="297">AN93-AT93</f>
        <v>0</v>
      </c>
      <c r="BB93" s="211">
        <f>AW93+AX93+AY93+AZ93+BA93</f>
        <v>555.50300000000004</v>
      </c>
      <c r="BC93" s="289">
        <f t="shared" ref="BC93" si="298">BB93/AO93</f>
        <v>0.5</v>
      </c>
      <c r="BD93" s="74"/>
      <c r="BE93" s="1" t="s">
        <v>973</v>
      </c>
      <c r="BF93" s="98" t="s">
        <v>0</v>
      </c>
      <c r="BG93" s="18" t="s">
        <v>11</v>
      </c>
      <c r="BH93" s="254"/>
      <c r="BI93" s="99">
        <f>BH93*K93</f>
        <v>0</v>
      </c>
      <c r="BJ93" s="99">
        <v>0</v>
      </c>
      <c r="BK93" s="99">
        <f>BJ93*K93</f>
        <v>0</v>
      </c>
      <c r="BL93" s="99">
        <v>0</v>
      </c>
      <c r="BM93" s="100">
        <f>BL93*K93</f>
        <v>0</v>
      </c>
      <c r="BO93" s="1" t="s">
        <v>974</v>
      </c>
      <c r="BQ93" s="1">
        <v>29.74</v>
      </c>
      <c r="CD93" s="9" t="s">
        <v>169</v>
      </c>
      <c r="CF93" s="9" t="s">
        <v>149</v>
      </c>
      <c r="CG93" s="9" t="s">
        <v>42</v>
      </c>
      <c r="CK93" s="9" t="s">
        <v>148</v>
      </c>
      <c r="CQ93" s="72">
        <f>IF(BG93="základná",AJ93,0)</f>
        <v>0</v>
      </c>
      <c r="CR93" s="72">
        <f>IF(BG93="znížená",AJ93,0)</f>
        <v>555.50300000000004</v>
      </c>
      <c r="CS93" s="72">
        <f>IF(BG93="zákl. prenesená",AJ93,0)</f>
        <v>0</v>
      </c>
      <c r="CT93" s="72">
        <f>IF(BG93="zníž. prenesená",AJ93,0)</f>
        <v>0</v>
      </c>
      <c r="CU93" s="72">
        <f>IF(BG93="nulová",AJ93,0)</f>
        <v>0</v>
      </c>
      <c r="CV93" s="9" t="s">
        <v>42</v>
      </c>
      <c r="CW93" s="101">
        <f>ROUND(AE93*K93,3)</f>
        <v>555.50300000000004</v>
      </c>
      <c r="CX93" s="9" t="s">
        <v>169</v>
      </c>
      <c r="CY93" s="9" t="s">
        <v>297</v>
      </c>
    </row>
    <row r="94" spans="2:103" s="1" customFormat="1" ht="44.25" customHeight="1">
      <c r="B94" s="73"/>
      <c r="C94" s="93">
        <v>25</v>
      </c>
      <c r="D94" s="93" t="s">
        <v>149</v>
      </c>
      <c r="E94" s="94" t="s">
        <v>298</v>
      </c>
      <c r="F94" s="498" t="s">
        <v>299</v>
      </c>
      <c r="G94" s="498"/>
      <c r="H94" s="498"/>
      <c r="I94" s="498"/>
      <c r="J94" s="95" t="s">
        <v>168</v>
      </c>
      <c r="K94" s="211">
        <f>60.06+15-K48</f>
        <v>32.96</v>
      </c>
      <c r="L94" s="211">
        <f>60.06+15-L48</f>
        <v>32.96</v>
      </c>
      <c r="M94" s="211">
        <f>37.02-M48</f>
        <v>7.3700000000000045</v>
      </c>
      <c r="N94" s="211">
        <f>(26.72+3.55+5.75+8.22)*1.6*1.6-N48</f>
        <v>83.604399999999998</v>
      </c>
      <c r="O94" s="211">
        <v>0</v>
      </c>
      <c r="P94" s="306">
        <f>SUM(K94:O94)</f>
        <v>156.89440000000002</v>
      </c>
      <c r="Q94" s="307">
        <v>0</v>
      </c>
      <c r="R94" s="211">
        <f>60.06-R48</f>
        <v>17.96</v>
      </c>
      <c r="S94" s="211">
        <v>0</v>
      </c>
      <c r="T94" s="211">
        <v>0</v>
      </c>
      <c r="U94" s="211">
        <v>0</v>
      </c>
      <c r="V94" s="220">
        <f>SUM(Q94:U94)</f>
        <v>17.96</v>
      </c>
      <c r="W94" s="289">
        <f t="shared" ref="W94:W95" si="299">V94/P94</f>
        <v>0.11447189957066663</v>
      </c>
      <c r="X94" s="307">
        <f t="shared" ref="X94:X95" si="300">K94-Q94</f>
        <v>32.96</v>
      </c>
      <c r="Y94" s="211">
        <f t="shared" ref="Y94:Y95" si="301">L94-R94</f>
        <v>15</v>
      </c>
      <c r="Z94" s="211">
        <f t="shared" ref="Z94:Z95" si="302">M94-S94</f>
        <v>7.3700000000000045</v>
      </c>
      <c r="AA94" s="211">
        <f t="shared" ref="AA94:AA95" si="303">N94-T94</f>
        <v>83.604399999999998</v>
      </c>
      <c r="AB94" s="211">
        <f t="shared" ref="AB94:AB95" si="304">O94-U94</f>
        <v>0</v>
      </c>
      <c r="AC94" s="220">
        <f>SUM(X94:AB94)</f>
        <v>138.93440000000001</v>
      </c>
      <c r="AD94" s="289">
        <f>AC94/P94</f>
        <v>0.88552810042933328</v>
      </c>
      <c r="AE94" s="310">
        <v>2.39</v>
      </c>
      <c r="AF94" s="230">
        <v>2.39</v>
      </c>
      <c r="AG94" s="230">
        <v>2.39</v>
      </c>
      <c r="AH94" s="230">
        <v>2.39</v>
      </c>
      <c r="AI94" s="230">
        <v>2.39</v>
      </c>
      <c r="AJ94" s="211">
        <f>ROUND(AE94*K94,3)</f>
        <v>78.774000000000001</v>
      </c>
      <c r="AK94" s="211">
        <f>ROUND(AE94*L94,3)</f>
        <v>78.774000000000001</v>
      </c>
      <c r="AL94" s="211">
        <f>ROUND(AE94*M94,3)</f>
        <v>17.614000000000001</v>
      </c>
      <c r="AM94" s="211">
        <f>ROUND(AE94*N94,3)</f>
        <v>199.815</v>
      </c>
      <c r="AN94" s="211">
        <f>ROUND(AE94*O94,3)</f>
        <v>0</v>
      </c>
      <c r="AO94" s="295">
        <f>AJ94+AK94+AL94+AM94+AN94</f>
        <v>374.97699999999998</v>
      </c>
      <c r="AP94" s="277">
        <f t="shared" ref="AP94:AP95" si="305">ROUND(AE94*Q94,3)</f>
        <v>0</v>
      </c>
      <c r="AQ94" s="211">
        <f t="shared" ref="AQ94:AQ95" si="306">ROUND(AF94*R94,3)</f>
        <v>42.923999999999999</v>
      </c>
      <c r="AR94" s="211">
        <f t="shared" ref="AR94:AR95" si="307">ROUND(AG94*S94,3)</f>
        <v>0</v>
      </c>
      <c r="AS94" s="211">
        <f t="shared" ref="AS94:AS95" si="308">ROUND(AH94*T94,3)</f>
        <v>0</v>
      </c>
      <c r="AT94" s="211">
        <f t="shared" ref="AT94:AT95" si="309">ROUND(AI94*U94,3)</f>
        <v>0</v>
      </c>
      <c r="AU94" s="211">
        <f>AP94+AQ94+AR94+AS94+AT94</f>
        <v>42.923999999999999</v>
      </c>
      <c r="AV94" s="312">
        <f t="shared" ref="AV94:AV95" si="310">AU94/AO94</f>
        <v>0.11447102088928121</v>
      </c>
      <c r="AW94" s="277">
        <f t="shared" ref="AW94:AW95" si="311">AJ94-AP94</f>
        <v>78.774000000000001</v>
      </c>
      <c r="AX94" s="211">
        <f t="shared" ref="AX94:AX95" si="312">AK94-AQ94</f>
        <v>35.85</v>
      </c>
      <c r="AY94" s="211">
        <f t="shared" ref="AY94:AY95" si="313">AL94-AR94</f>
        <v>17.614000000000001</v>
      </c>
      <c r="AZ94" s="211">
        <f t="shared" ref="AZ94:AZ95" si="314">AM94-AS94</f>
        <v>199.815</v>
      </c>
      <c r="BA94" s="211">
        <f t="shared" ref="BA94:BA95" si="315">AN94-AT94</f>
        <v>0</v>
      </c>
      <c r="BB94" s="211">
        <f>AW94+AX94+AY94+AZ94+BA94</f>
        <v>332.053</v>
      </c>
      <c r="BC94" s="289">
        <f t="shared" ref="BC94:BC95" si="316">BB94/AO94</f>
        <v>0.88552897911071882</v>
      </c>
      <c r="BD94" s="74"/>
      <c r="BF94" s="98" t="s">
        <v>0</v>
      </c>
      <c r="BG94" s="18" t="s">
        <v>11</v>
      </c>
      <c r="BH94" s="209"/>
      <c r="BI94" s="99">
        <f>BH94*K94</f>
        <v>0</v>
      </c>
      <c r="BJ94" s="99">
        <v>0</v>
      </c>
      <c r="BK94" s="99">
        <f>BJ94*K94</f>
        <v>0</v>
      </c>
      <c r="BL94" s="99">
        <v>0</v>
      </c>
      <c r="BM94" s="100">
        <f>BL94*K94</f>
        <v>0</v>
      </c>
      <c r="BQ94" s="1">
        <v>2.2999999999999998</v>
      </c>
      <c r="CD94" s="9" t="s">
        <v>169</v>
      </c>
      <c r="CF94" s="9" t="s">
        <v>149</v>
      </c>
      <c r="CG94" s="9" t="s">
        <v>42</v>
      </c>
      <c r="CK94" s="9" t="s">
        <v>148</v>
      </c>
      <c r="CQ94" s="72">
        <f>IF(BG94="základná",AJ94,0)</f>
        <v>0</v>
      </c>
      <c r="CR94" s="72">
        <f>IF(BG94="znížená",AJ94,0)</f>
        <v>78.774000000000001</v>
      </c>
      <c r="CS94" s="72">
        <f>IF(BG94="zákl. prenesená",AJ94,0)</f>
        <v>0</v>
      </c>
      <c r="CT94" s="72">
        <f>IF(BG94="zníž. prenesená",AJ94,0)</f>
        <v>0</v>
      </c>
      <c r="CU94" s="72">
        <f>IF(BG94="nulová",AJ94,0)</f>
        <v>0</v>
      </c>
      <c r="CV94" s="9" t="s">
        <v>42</v>
      </c>
      <c r="CW94" s="101">
        <f>ROUND(AE94*K94,3)</f>
        <v>78.774000000000001</v>
      </c>
      <c r="CX94" s="9" t="s">
        <v>169</v>
      </c>
      <c r="CY94" s="9" t="s">
        <v>300</v>
      </c>
    </row>
    <row r="95" spans="2:103" s="1" customFormat="1" ht="31.5" customHeight="1">
      <c r="B95" s="73"/>
      <c r="C95" s="102">
        <v>26</v>
      </c>
      <c r="D95" s="102" t="s">
        <v>171</v>
      </c>
      <c r="E95" s="103" t="s">
        <v>301</v>
      </c>
      <c r="F95" s="499" t="s">
        <v>302</v>
      </c>
      <c r="G95" s="499"/>
      <c r="H95" s="499"/>
      <c r="I95" s="499"/>
      <c r="J95" s="104" t="s">
        <v>168</v>
      </c>
      <c r="K95" s="223">
        <f>60.06+15-K49</f>
        <v>32.96</v>
      </c>
      <c r="L95" s="223">
        <f>60.06+15-L49</f>
        <v>32.96</v>
      </c>
      <c r="M95" s="223">
        <f>44.424-M49</f>
        <v>10.326000000000001</v>
      </c>
      <c r="N95" s="223">
        <f>(26.72+3.55+5.75+8.22)*1.6*1.6-N49</f>
        <v>84.156399999999991</v>
      </c>
      <c r="O95" s="223">
        <v>0</v>
      </c>
      <c r="P95" s="306">
        <f>SUM(K95:O95)</f>
        <v>160.4024</v>
      </c>
      <c r="Q95" s="308">
        <v>0</v>
      </c>
      <c r="R95" s="223">
        <f>60.06*1.2-R49</f>
        <v>29.972000000000001</v>
      </c>
      <c r="S95" s="223">
        <v>0</v>
      </c>
      <c r="T95" s="223">
        <v>0</v>
      </c>
      <c r="U95" s="223">
        <v>0</v>
      </c>
      <c r="V95" s="220">
        <f>SUM(Q95:U95)</f>
        <v>29.972000000000001</v>
      </c>
      <c r="W95" s="289">
        <f t="shared" si="299"/>
        <v>0.18685505952529388</v>
      </c>
      <c r="X95" s="308">
        <f t="shared" si="300"/>
        <v>32.96</v>
      </c>
      <c r="Y95" s="223">
        <f t="shared" si="301"/>
        <v>2.9879999999999995</v>
      </c>
      <c r="Z95" s="223">
        <f t="shared" si="302"/>
        <v>10.326000000000001</v>
      </c>
      <c r="AA95" s="223">
        <f t="shared" si="303"/>
        <v>84.156399999999991</v>
      </c>
      <c r="AB95" s="223">
        <f t="shared" si="304"/>
        <v>0</v>
      </c>
      <c r="AC95" s="220">
        <f>SUM(X95:AB95)</f>
        <v>130.43039999999999</v>
      </c>
      <c r="AD95" s="289">
        <f>AC95/P95</f>
        <v>0.81314494047470609</v>
      </c>
      <c r="AE95" s="311">
        <v>2.38</v>
      </c>
      <c r="AF95" s="233">
        <v>2.38</v>
      </c>
      <c r="AG95" s="233">
        <v>2.38</v>
      </c>
      <c r="AH95" s="233">
        <v>2.38</v>
      </c>
      <c r="AI95" s="233">
        <v>2.38</v>
      </c>
      <c r="AJ95" s="223">
        <f>ROUND(AE95*K95,3)</f>
        <v>78.444999999999993</v>
      </c>
      <c r="AK95" s="223">
        <f>ROUND(AE95*L95,3)</f>
        <v>78.444999999999993</v>
      </c>
      <c r="AL95" s="223">
        <f>ROUND(AE95*M95,3)</f>
        <v>24.576000000000001</v>
      </c>
      <c r="AM95" s="223">
        <f>ROUND(AE95*N95,3)</f>
        <v>200.292</v>
      </c>
      <c r="AN95" s="223">
        <f>ROUND(AE95*O95,3)</f>
        <v>0</v>
      </c>
      <c r="AO95" s="295">
        <f>AJ95+AK95+AL95+AM95+AN95</f>
        <v>381.75799999999998</v>
      </c>
      <c r="AP95" s="278">
        <f t="shared" si="305"/>
        <v>0</v>
      </c>
      <c r="AQ95" s="223">
        <f t="shared" si="306"/>
        <v>71.332999999999998</v>
      </c>
      <c r="AR95" s="223">
        <f t="shared" si="307"/>
        <v>0</v>
      </c>
      <c r="AS95" s="223">
        <f t="shared" si="308"/>
        <v>0</v>
      </c>
      <c r="AT95" s="223">
        <f t="shared" si="309"/>
        <v>0</v>
      </c>
      <c r="AU95" s="211">
        <f>AP95+AQ95+AR95+AS95+AT95</f>
        <v>71.332999999999998</v>
      </c>
      <c r="AV95" s="312">
        <f t="shared" si="310"/>
        <v>0.18685397555519465</v>
      </c>
      <c r="AW95" s="278">
        <f t="shared" si="311"/>
        <v>78.444999999999993</v>
      </c>
      <c r="AX95" s="223">
        <f t="shared" si="312"/>
        <v>7.1119999999999948</v>
      </c>
      <c r="AY95" s="223">
        <f t="shared" si="313"/>
        <v>24.576000000000001</v>
      </c>
      <c r="AZ95" s="223">
        <f t="shared" si="314"/>
        <v>200.292</v>
      </c>
      <c r="BA95" s="223">
        <f t="shared" si="315"/>
        <v>0</v>
      </c>
      <c r="BB95" s="211">
        <f>AW95+AX95+AY95+AZ95+BA95</f>
        <v>310.42499999999995</v>
      </c>
      <c r="BC95" s="289">
        <f t="shared" si="316"/>
        <v>0.81314602444480522</v>
      </c>
      <c r="BD95" s="74"/>
      <c r="BE95" s="1" t="s">
        <v>967</v>
      </c>
      <c r="BF95" s="98" t="s">
        <v>0</v>
      </c>
      <c r="BG95" s="18" t="s">
        <v>11</v>
      </c>
      <c r="BH95" s="209"/>
      <c r="BI95" s="99">
        <f>BH95*K95</f>
        <v>0</v>
      </c>
      <c r="BJ95" s="99">
        <v>0</v>
      </c>
      <c r="BK95" s="99">
        <f>BJ95*K95</f>
        <v>0</v>
      </c>
      <c r="BL95" s="99">
        <v>0</v>
      </c>
      <c r="BM95" s="100">
        <f>BL95*K95</f>
        <v>0</v>
      </c>
      <c r="BO95" s="1" t="s">
        <v>968</v>
      </c>
      <c r="BQ95" s="1">
        <v>2.29</v>
      </c>
      <c r="CD95" s="9" t="s">
        <v>174</v>
      </c>
      <c r="CF95" s="9" t="s">
        <v>171</v>
      </c>
      <c r="CG95" s="9" t="s">
        <v>42</v>
      </c>
      <c r="CK95" s="9" t="s">
        <v>148</v>
      </c>
      <c r="CQ95" s="72">
        <f>IF(BG95="základná",AJ95,0)</f>
        <v>0</v>
      </c>
      <c r="CR95" s="72">
        <f>IF(BG95="znížená",AJ95,0)</f>
        <v>78.444999999999993</v>
      </c>
      <c r="CS95" s="72">
        <f>IF(BG95="zákl. prenesená",AJ95,0)</f>
        <v>0</v>
      </c>
      <c r="CT95" s="72">
        <f>IF(BG95="zníž. prenesená",AJ95,0)</f>
        <v>0</v>
      </c>
      <c r="CU95" s="72">
        <f>IF(BG95="nulová",AJ95,0)</f>
        <v>0</v>
      </c>
      <c r="CV95" s="9" t="s">
        <v>42</v>
      </c>
      <c r="CW95" s="101">
        <f>ROUND(AE95*K95,3)</f>
        <v>78.444999999999993</v>
      </c>
      <c r="CX95" s="9" t="s">
        <v>169</v>
      </c>
      <c r="CY95" s="9" t="s">
        <v>303</v>
      </c>
    </row>
    <row r="96" spans="2:103" s="7" customFormat="1" ht="29.85" customHeight="1">
      <c r="B96" s="82"/>
      <c r="C96" s="83"/>
      <c r="D96" s="92" t="s">
        <v>132</v>
      </c>
      <c r="E96" s="92"/>
      <c r="F96" s="92"/>
      <c r="G96" s="92"/>
      <c r="H96" s="92"/>
      <c r="I96" s="92"/>
      <c r="J96" s="92"/>
      <c r="K96" s="219"/>
      <c r="L96" s="219"/>
      <c r="M96" s="219"/>
      <c r="N96" s="219"/>
      <c r="O96" s="219"/>
      <c r="P96" s="222"/>
      <c r="Q96" s="219"/>
      <c r="R96" s="219"/>
      <c r="S96" s="219"/>
      <c r="T96" s="219"/>
      <c r="U96" s="219"/>
      <c r="V96" s="222"/>
      <c r="W96" s="286"/>
      <c r="X96" s="219"/>
      <c r="Y96" s="219"/>
      <c r="Z96" s="219"/>
      <c r="AA96" s="219"/>
      <c r="AB96" s="219"/>
      <c r="AC96" s="222"/>
      <c r="AD96" s="286"/>
      <c r="AE96" s="219"/>
      <c r="AF96" s="219"/>
      <c r="AG96" s="219"/>
      <c r="AH96" s="219"/>
      <c r="AI96" s="219"/>
      <c r="AJ96" s="212">
        <f t="shared" ref="AJ96:AU96" si="317">SUM(AJ97:AJ97)</f>
        <v>0</v>
      </c>
      <c r="AK96" s="212">
        <f t="shared" si="317"/>
        <v>0</v>
      </c>
      <c r="AL96" s="212">
        <f t="shared" si="317"/>
        <v>0</v>
      </c>
      <c r="AM96" s="212">
        <f t="shared" si="317"/>
        <v>4403.6499999999996</v>
      </c>
      <c r="AN96" s="212">
        <f t="shared" si="317"/>
        <v>0</v>
      </c>
      <c r="AO96" s="212">
        <f t="shared" si="317"/>
        <v>4403.6499999999996</v>
      </c>
      <c r="AP96" s="212">
        <f t="shared" si="317"/>
        <v>0</v>
      </c>
      <c r="AQ96" s="212">
        <f t="shared" si="317"/>
        <v>0</v>
      </c>
      <c r="AR96" s="212">
        <f t="shared" si="317"/>
        <v>0</v>
      </c>
      <c r="AS96" s="212">
        <f t="shared" si="317"/>
        <v>0</v>
      </c>
      <c r="AT96" s="212">
        <f t="shared" si="317"/>
        <v>0</v>
      </c>
      <c r="AU96" s="212">
        <f t="shared" si="317"/>
        <v>0</v>
      </c>
      <c r="AV96" s="317"/>
      <c r="AW96" s="212">
        <f t="shared" ref="AW96:BB96" si="318">SUM(AW97:AW97)</f>
        <v>0</v>
      </c>
      <c r="AX96" s="212">
        <f t="shared" si="318"/>
        <v>0</v>
      </c>
      <c r="AY96" s="212">
        <f t="shared" si="318"/>
        <v>0</v>
      </c>
      <c r="AZ96" s="212">
        <f t="shared" si="318"/>
        <v>4403.6499999999996</v>
      </c>
      <c r="BA96" s="212">
        <f t="shared" si="318"/>
        <v>0</v>
      </c>
      <c r="BB96" s="212">
        <f t="shared" si="318"/>
        <v>4403.6499999999996</v>
      </c>
      <c r="BC96" s="317"/>
      <c r="BD96" s="85"/>
      <c r="BF96" s="86"/>
      <c r="BG96" s="83"/>
      <c r="BH96" s="83"/>
      <c r="BI96" s="87">
        <f>SUM(BI97:BI101)</f>
        <v>0</v>
      </c>
      <c r="BJ96" s="83"/>
      <c r="BK96" s="87">
        <f>SUM(BK97:BK101)</f>
        <v>0</v>
      </c>
      <c r="BL96" s="83"/>
      <c r="BM96" s="88">
        <f>SUM(BM97:BM101)</f>
        <v>0</v>
      </c>
      <c r="CD96" s="89" t="s">
        <v>42</v>
      </c>
      <c r="CF96" s="90" t="s">
        <v>30</v>
      </c>
      <c r="CG96" s="90" t="s">
        <v>38</v>
      </c>
      <c r="CK96" s="89" t="s">
        <v>148</v>
      </c>
      <c r="CW96" s="91">
        <f>SUM(CW97:CW101)</f>
        <v>8568.7170000000006</v>
      </c>
    </row>
    <row r="97" spans="2:103" s="1" customFormat="1" ht="44.25" customHeight="1">
      <c r="B97" s="73"/>
      <c r="C97" s="229" t="s">
        <v>1414</v>
      </c>
      <c r="D97" s="93" t="s">
        <v>149</v>
      </c>
      <c r="E97" s="94" t="s">
        <v>263</v>
      </c>
      <c r="F97" s="498" t="s">
        <v>1405</v>
      </c>
      <c r="G97" s="498"/>
      <c r="H97" s="498"/>
      <c r="I97" s="498"/>
      <c r="J97" s="95" t="s">
        <v>168</v>
      </c>
      <c r="K97" s="211">
        <v>0</v>
      </c>
      <c r="L97" s="211">
        <v>0</v>
      </c>
      <c r="M97" s="211">
        <v>0</v>
      </c>
      <c r="N97" s="211">
        <f>(26.72+3.55+5.75+8.22)*1.8</f>
        <v>79.631999999999991</v>
      </c>
      <c r="O97" s="211">
        <v>0</v>
      </c>
      <c r="P97" s="306">
        <f t="shared" ref="P97" si="319">SUM(K97:O97)</f>
        <v>79.631999999999991</v>
      </c>
      <c r="Q97" s="307">
        <v>0</v>
      </c>
      <c r="R97" s="211">
        <v>0</v>
      </c>
      <c r="S97" s="211">
        <v>0</v>
      </c>
      <c r="T97" s="211">
        <v>0</v>
      </c>
      <c r="U97" s="211">
        <v>0</v>
      </c>
      <c r="V97" s="220">
        <f t="shared" ref="V97" si="320">SUM(Q97:U97)</f>
        <v>0</v>
      </c>
      <c r="W97" s="289">
        <f t="shared" ref="W97" si="321">V97/P97</f>
        <v>0</v>
      </c>
      <c r="X97" s="307">
        <f t="shared" ref="X97" si="322">K97-Q97</f>
        <v>0</v>
      </c>
      <c r="Y97" s="211">
        <f t="shared" ref="Y97" si="323">L97-R97</f>
        <v>0</v>
      </c>
      <c r="Z97" s="211">
        <f t="shared" ref="Z97" si="324">M97-S97</f>
        <v>0</v>
      </c>
      <c r="AA97" s="211">
        <f t="shared" ref="AA97" si="325">N97-T97</f>
        <v>79.631999999999991</v>
      </c>
      <c r="AB97" s="211">
        <f t="shared" ref="AB97" si="326">O97-U97</f>
        <v>0</v>
      </c>
      <c r="AC97" s="220">
        <f t="shared" ref="AC97" si="327">SUM(X97:AB97)</f>
        <v>79.631999999999991</v>
      </c>
      <c r="AD97" s="289">
        <f>AC97/P97</f>
        <v>1</v>
      </c>
      <c r="AE97" s="309">
        <v>55.3</v>
      </c>
      <c r="AF97" s="221">
        <v>36.29</v>
      </c>
      <c r="AG97" s="221">
        <v>36.29</v>
      </c>
      <c r="AH97" s="221">
        <v>36.29</v>
      </c>
      <c r="AI97" s="221">
        <v>36.29</v>
      </c>
      <c r="AJ97" s="211">
        <f t="shared" ref="AJ97" si="328">ROUND(AE97*K97,3)</f>
        <v>0</v>
      </c>
      <c r="AK97" s="211">
        <f t="shared" ref="AK97" si="329">ROUND(AE97*L97,3)</f>
        <v>0</v>
      </c>
      <c r="AL97" s="211">
        <f t="shared" ref="AL97" si="330">ROUND(AE97*M97,3)</f>
        <v>0</v>
      </c>
      <c r="AM97" s="211">
        <f t="shared" ref="AM97" si="331">ROUND(AE97*N97,3)</f>
        <v>4403.6499999999996</v>
      </c>
      <c r="AN97" s="211">
        <f t="shared" ref="AN97" si="332">ROUND(AE97*O97,3)</f>
        <v>0</v>
      </c>
      <c r="AO97" s="295">
        <f t="shared" ref="AO97" si="333">AJ97+AK97+AL97+AM97+AN97</f>
        <v>4403.6499999999996</v>
      </c>
      <c r="AP97" s="277">
        <f t="shared" ref="AP97" si="334">ROUND(AE97*Q97,3)</f>
        <v>0</v>
      </c>
      <c r="AQ97" s="211">
        <f t="shared" ref="AQ97" si="335">ROUND(AF97*R97,3)</f>
        <v>0</v>
      </c>
      <c r="AR97" s="211">
        <f t="shared" ref="AR97" si="336">ROUND(AG97*S97,3)</f>
        <v>0</v>
      </c>
      <c r="AS97" s="211">
        <f t="shared" ref="AS97" si="337">ROUND(AH97*T97,3)</f>
        <v>0</v>
      </c>
      <c r="AT97" s="211">
        <f t="shared" ref="AT97" si="338">ROUND(AI97*U97,3)</f>
        <v>0</v>
      </c>
      <c r="AU97" s="211">
        <f t="shared" ref="AU97" si="339">AP97+AQ97+AR97+AS97+AT97</f>
        <v>0</v>
      </c>
      <c r="AV97" s="312">
        <f t="shared" ref="AV97" si="340">AU97/AO97</f>
        <v>0</v>
      </c>
      <c r="AW97" s="277">
        <f t="shared" ref="AW97" si="341">AJ97-AP97</f>
        <v>0</v>
      </c>
      <c r="AX97" s="211">
        <f t="shared" ref="AX97" si="342">AK97-AQ97</f>
        <v>0</v>
      </c>
      <c r="AY97" s="211">
        <f t="shared" ref="AY97" si="343">AL97-AR97</f>
        <v>0</v>
      </c>
      <c r="AZ97" s="211">
        <f t="shared" ref="AZ97" si="344">AM97-AS97</f>
        <v>4403.6499999999996</v>
      </c>
      <c r="BA97" s="211">
        <f t="shared" ref="BA97" si="345">AN97-AT97</f>
        <v>0</v>
      </c>
      <c r="BB97" s="211">
        <f t="shared" ref="BB97" si="346">AW97+AX97+AY97+AZ97+BA97</f>
        <v>4403.6499999999996</v>
      </c>
      <c r="BC97" s="289">
        <f t="shared" ref="BC97" si="347">BB97/AO97</f>
        <v>1</v>
      </c>
      <c r="BD97" s="74"/>
      <c r="BE97" s="1" t="s">
        <v>954</v>
      </c>
      <c r="BF97" s="98" t="s">
        <v>0</v>
      </c>
      <c r="BG97" s="18" t="s">
        <v>11</v>
      </c>
      <c r="BH97" s="248"/>
      <c r="BI97" s="99">
        <f>BH97*K97</f>
        <v>0</v>
      </c>
      <c r="BJ97" s="99">
        <v>0</v>
      </c>
      <c r="BK97" s="99">
        <f>BJ97*K97</f>
        <v>0</v>
      </c>
      <c r="BL97" s="99">
        <v>0</v>
      </c>
      <c r="BM97" s="100">
        <f>BL97*K97</f>
        <v>0</v>
      </c>
      <c r="BO97" s="1" t="s">
        <v>960</v>
      </c>
      <c r="BQ97" s="1">
        <v>34.89</v>
      </c>
      <c r="CD97" s="9" t="s">
        <v>153</v>
      </c>
      <c r="CF97" s="9" t="s">
        <v>149</v>
      </c>
      <c r="CG97" s="9" t="s">
        <v>42</v>
      </c>
      <c r="CK97" s="9" t="s">
        <v>148</v>
      </c>
      <c r="CQ97" s="72">
        <f>IF(BG97="základná",AJ97,0)</f>
        <v>0</v>
      </c>
      <c r="CR97" s="72">
        <f>IF(BG97="znížená",AJ97,0)</f>
        <v>0</v>
      </c>
      <c r="CS97" s="72">
        <f>IF(BG97="zákl. prenesená",AJ97,0)</f>
        <v>0</v>
      </c>
      <c r="CT97" s="72">
        <f>IF(BG97="zníž. prenesená",AJ97,0)</f>
        <v>0</v>
      </c>
      <c r="CU97" s="72">
        <f>IF(BG97="nulová",AJ97,0)</f>
        <v>0</v>
      </c>
      <c r="CV97" s="9" t="s">
        <v>42</v>
      </c>
      <c r="CW97" s="101">
        <f>ROUND(AE97*K97,3)</f>
        <v>0</v>
      </c>
      <c r="CX97" s="9" t="s">
        <v>153</v>
      </c>
      <c r="CY97" s="9" t="s">
        <v>264</v>
      </c>
    </row>
    <row r="98" spans="2:103" s="7" customFormat="1" ht="29.85" customHeight="1">
      <c r="B98" s="82"/>
      <c r="C98" s="83"/>
      <c r="D98" s="92" t="s">
        <v>247</v>
      </c>
      <c r="E98" s="92"/>
      <c r="F98" s="92"/>
      <c r="G98" s="92"/>
      <c r="H98" s="92"/>
      <c r="I98" s="92"/>
      <c r="J98" s="92"/>
      <c r="K98" s="219"/>
      <c r="L98" s="219"/>
      <c r="M98" s="219"/>
      <c r="N98" s="219"/>
      <c r="O98" s="219"/>
      <c r="P98" s="222"/>
      <c r="Q98" s="219"/>
      <c r="R98" s="219"/>
      <c r="S98" s="219"/>
      <c r="T98" s="219"/>
      <c r="U98" s="219"/>
      <c r="V98" s="222"/>
      <c r="W98" s="286"/>
      <c r="X98" s="219"/>
      <c r="Y98" s="219"/>
      <c r="Z98" s="219"/>
      <c r="AA98" s="219"/>
      <c r="AB98" s="219"/>
      <c r="AC98" s="222"/>
      <c r="AD98" s="286"/>
      <c r="AE98" s="219"/>
      <c r="AF98" s="219"/>
      <c r="AG98" s="219"/>
      <c r="AH98" s="219"/>
      <c r="AI98" s="219"/>
      <c r="AJ98" s="212">
        <f t="shared" ref="AJ98:AU98" si="348">SUM(AJ99:AJ100)</f>
        <v>243.10000000000002</v>
      </c>
      <c r="AK98" s="212">
        <f t="shared" si="348"/>
        <v>243.10000000000002</v>
      </c>
      <c r="AL98" s="212">
        <f t="shared" si="348"/>
        <v>243.10000000000002</v>
      </c>
      <c r="AM98" s="212">
        <f t="shared" si="348"/>
        <v>243.10000000000002</v>
      </c>
      <c r="AN98" s="212">
        <f t="shared" si="348"/>
        <v>243.10000000000002</v>
      </c>
      <c r="AO98" s="296">
        <f t="shared" si="348"/>
        <v>1215.5</v>
      </c>
      <c r="AP98" s="212">
        <f t="shared" si="348"/>
        <v>0</v>
      </c>
      <c r="AQ98" s="212">
        <f t="shared" si="348"/>
        <v>0</v>
      </c>
      <c r="AR98" s="212">
        <f t="shared" si="348"/>
        <v>0</v>
      </c>
      <c r="AS98" s="212">
        <f t="shared" si="348"/>
        <v>0</v>
      </c>
      <c r="AT98" s="212">
        <f t="shared" si="348"/>
        <v>0</v>
      </c>
      <c r="AU98" s="212">
        <f t="shared" si="348"/>
        <v>0</v>
      </c>
      <c r="AV98" s="317"/>
      <c r="AW98" s="212">
        <f t="shared" ref="AW98:BB98" si="349">SUM(AW99:AW100)</f>
        <v>243.10000000000002</v>
      </c>
      <c r="AX98" s="212">
        <f t="shared" si="349"/>
        <v>243.10000000000002</v>
      </c>
      <c r="AY98" s="212">
        <f t="shared" si="349"/>
        <v>243.10000000000002</v>
      </c>
      <c r="AZ98" s="212">
        <f t="shared" si="349"/>
        <v>243.10000000000002</v>
      </c>
      <c r="BA98" s="212">
        <f t="shared" si="349"/>
        <v>243.10000000000002</v>
      </c>
      <c r="BB98" s="212">
        <f t="shared" si="349"/>
        <v>1215.5</v>
      </c>
      <c r="BC98" s="317"/>
      <c r="BD98" s="85"/>
      <c r="BF98" s="86"/>
      <c r="BG98" s="83"/>
      <c r="BH98" s="83"/>
      <c r="BI98" s="87">
        <f>SUM(BI101:BI104)</f>
        <v>0</v>
      </c>
      <c r="BJ98" s="83"/>
      <c r="BK98" s="87">
        <f>SUM(BK101:BK104)</f>
        <v>0</v>
      </c>
      <c r="BL98" s="83"/>
      <c r="BM98" s="88">
        <f>SUM(BM101:BM104)</f>
        <v>0</v>
      </c>
      <c r="CD98" s="89" t="s">
        <v>42</v>
      </c>
      <c r="CF98" s="90" t="s">
        <v>30</v>
      </c>
      <c r="CG98" s="90" t="s">
        <v>38</v>
      </c>
      <c r="CK98" s="89" t="s">
        <v>148</v>
      </c>
      <c r="CW98" s="91">
        <f>SUM(CW101:CW104)</f>
        <v>5712.4780000000001</v>
      </c>
    </row>
    <row r="99" spans="2:103" s="1" customFormat="1" ht="33.75" customHeight="1">
      <c r="B99" s="15"/>
      <c r="C99" s="229" t="s">
        <v>1415</v>
      </c>
      <c r="D99" s="93" t="s">
        <v>149</v>
      </c>
      <c r="E99" s="94" t="s">
        <v>1374</v>
      </c>
      <c r="F99" s="498" t="s">
        <v>1375</v>
      </c>
      <c r="G99" s="498"/>
      <c r="H99" s="498"/>
      <c r="I99" s="498"/>
      <c r="J99" s="95" t="s">
        <v>184</v>
      </c>
      <c r="K99" s="211">
        <v>10</v>
      </c>
      <c r="L99" s="211">
        <v>10</v>
      </c>
      <c r="M99" s="211">
        <v>10</v>
      </c>
      <c r="N99" s="211">
        <v>10</v>
      </c>
      <c r="O99" s="211">
        <v>10</v>
      </c>
      <c r="P99" s="306">
        <f>SUM(K99:O99)</f>
        <v>50</v>
      </c>
      <c r="Q99" s="307">
        <v>0</v>
      </c>
      <c r="R99" s="211">
        <v>0</v>
      </c>
      <c r="S99" s="211">
        <v>0</v>
      </c>
      <c r="T99" s="211">
        <v>0</v>
      </c>
      <c r="U99" s="211">
        <v>0</v>
      </c>
      <c r="V99" s="220">
        <f>SUM(Q99:U99)</f>
        <v>0</v>
      </c>
      <c r="W99" s="289">
        <f t="shared" ref="W99:W100" si="350">V99/P99</f>
        <v>0</v>
      </c>
      <c r="X99" s="307">
        <f t="shared" ref="X99:X100" si="351">K99-Q99</f>
        <v>10</v>
      </c>
      <c r="Y99" s="211">
        <f t="shared" ref="Y99:Y100" si="352">L99-R99</f>
        <v>10</v>
      </c>
      <c r="Z99" s="211">
        <f t="shared" ref="Z99:Z100" si="353">M99-S99</f>
        <v>10</v>
      </c>
      <c r="AA99" s="211">
        <f t="shared" ref="AA99:AA100" si="354">N99-T99</f>
        <v>10</v>
      </c>
      <c r="AB99" s="211">
        <f t="shared" ref="AB99:AB100" si="355">O99-U99</f>
        <v>10</v>
      </c>
      <c r="AC99" s="220">
        <f>SUM(X99:AB99)</f>
        <v>50</v>
      </c>
      <c r="AD99" s="289">
        <f>AC99/P99</f>
        <v>1</v>
      </c>
      <c r="AE99" s="309">
        <v>5.33</v>
      </c>
      <c r="AF99" s="221">
        <v>14.2</v>
      </c>
      <c r="AG99" s="221">
        <v>14.2</v>
      </c>
      <c r="AH99" s="221">
        <v>14.2</v>
      </c>
      <c r="AI99" s="221">
        <v>14.2</v>
      </c>
      <c r="AJ99" s="211">
        <f>ROUND(AE99*K99,3)</f>
        <v>53.3</v>
      </c>
      <c r="AK99" s="211">
        <f>ROUND(AE99*L99,3)</f>
        <v>53.3</v>
      </c>
      <c r="AL99" s="211">
        <f>ROUND(AE99*M99,3)</f>
        <v>53.3</v>
      </c>
      <c r="AM99" s="211">
        <f>ROUND(AE99*N99,3)</f>
        <v>53.3</v>
      </c>
      <c r="AN99" s="211">
        <f>ROUND(AE99*O99,3)</f>
        <v>53.3</v>
      </c>
      <c r="AO99" s="295">
        <f>AJ99+AK99+AL99+AM99+AN99</f>
        <v>266.5</v>
      </c>
      <c r="AP99" s="277">
        <f t="shared" ref="AP99:AP100" si="356">ROUND(AE99*Q99,3)</f>
        <v>0</v>
      </c>
      <c r="AQ99" s="211">
        <f t="shared" ref="AQ99:AQ100" si="357">ROUND(AF99*R99,3)</f>
        <v>0</v>
      </c>
      <c r="AR99" s="211">
        <f t="shared" ref="AR99:AR100" si="358">ROUND(AG99*S99,3)</f>
        <v>0</v>
      </c>
      <c r="AS99" s="211">
        <f t="shared" ref="AS99:AS100" si="359">ROUND(AH99*T99,3)</f>
        <v>0</v>
      </c>
      <c r="AT99" s="211">
        <f t="shared" ref="AT99:AT100" si="360">ROUND(AI99*U99,3)</f>
        <v>0</v>
      </c>
      <c r="AU99" s="211">
        <f>AP99+AQ99+AR99+AS99+AT99</f>
        <v>0</v>
      </c>
      <c r="AV99" s="312">
        <f t="shared" ref="AV99:AV100" si="361">AU99/AO99</f>
        <v>0</v>
      </c>
      <c r="AW99" s="277">
        <f t="shared" ref="AW99:AW100" si="362">AJ99-AP99</f>
        <v>53.3</v>
      </c>
      <c r="AX99" s="211">
        <f t="shared" ref="AX99:AX100" si="363">AK99-AQ99</f>
        <v>53.3</v>
      </c>
      <c r="AY99" s="211">
        <f t="shared" ref="AY99:AY100" si="364">AL99-AR99</f>
        <v>53.3</v>
      </c>
      <c r="AZ99" s="211">
        <f t="shared" ref="AZ99:AZ100" si="365">AM99-AS99</f>
        <v>53.3</v>
      </c>
      <c r="BA99" s="211">
        <f t="shared" ref="BA99:BA100" si="366">AN99-AT99</f>
        <v>53.3</v>
      </c>
      <c r="BB99" s="211">
        <f>AW99+AX99+AY99+AZ99+BA99</f>
        <v>266.5</v>
      </c>
      <c r="BC99" s="289">
        <f t="shared" ref="BC99:BC100" si="367">BB99/AO99</f>
        <v>1</v>
      </c>
      <c r="BD99" s="17"/>
      <c r="BF99" s="209"/>
      <c r="BG99" s="209"/>
      <c r="BH99" s="209"/>
      <c r="BI99" s="209"/>
      <c r="BJ99" s="209"/>
      <c r="BK99" s="209"/>
      <c r="BL99" s="209"/>
      <c r="BM99" s="209"/>
      <c r="CF99" s="9"/>
      <c r="CG99" s="9"/>
      <c r="CK99" s="9"/>
      <c r="CW99" s="101"/>
    </row>
    <row r="100" spans="2:103" s="1" customFormat="1" ht="33.75" customHeight="1">
      <c r="B100" s="15"/>
      <c r="C100" s="229" t="s">
        <v>1416</v>
      </c>
      <c r="D100" s="102" t="s">
        <v>171</v>
      </c>
      <c r="E100" s="94" t="s">
        <v>1376</v>
      </c>
      <c r="F100" s="500" t="s">
        <v>1377</v>
      </c>
      <c r="G100" s="501"/>
      <c r="H100" s="501"/>
      <c r="I100" s="502"/>
      <c r="J100" s="95" t="s">
        <v>184</v>
      </c>
      <c r="K100" s="211">
        <v>10</v>
      </c>
      <c r="L100" s="211">
        <v>10</v>
      </c>
      <c r="M100" s="211">
        <v>10</v>
      </c>
      <c r="N100" s="211">
        <v>10</v>
      </c>
      <c r="O100" s="211">
        <v>10</v>
      </c>
      <c r="P100" s="306">
        <f>SUM(K100:O100)</f>
        <v>50</v>
      </c>
      <c r="Q100" s="307">
        <v>0</v>
      </c>
      <c r="R100" s="211">
        <v>0</v>
      </c>
      <c r="S100" s="211">
        <v>0</v>
      </c>
      <c r="T100" s="211">
        <v>0</v>
      </c>
      <c r="U100" s="211">
        <v>0</v>
      </c>
      <c r="V100" s="220">
        <f>SUM(Q100:U100)</f>
        <v>0</v>
      </c>
      <c r="W100" s="289">
        <f t="shared" si="350"/>
        <v>0</v>
      </c>
      <c r="X100" s="307">
        <f t="shared" si="351"/>
        <v>10</v>
      </c>
      <c r="Y100" s="211">
        <f t="shared" si="352"/>
        <v>10</v>
      </c>
      <c r="Z100" s="211">
        <f t="shared" si="353"/>
        <v>10</v>
      </c>
      <c r="AA100" s="211">
        <f t="shared" si="354"/>
        <v>10</v>
      </c>
      <c r="AB100" s="211">
        <f t="shared" si="355"/>
        <v>10</v>
      </c>
      <c r="AC100" s="220">
        <f>SUM(X100:AB100)</f>
        <v>50</v>
      </c>
      <c r="AD100" s="289">
        <f>AC100/P100</f>
        <v>1</v>
      </c>
      <c r="AE100" s="309">
        <v>18.98</v>
      </c>
      <c r="AF100" s="221">
        <v>14.2</v>
      </c>
      <c r="AG100" s="221">
        <v>14.2</v>
      </c>
      <c r="AH100" s="221">
        <v>14.2</v>
      </c>
      <c r="AI100" s="221">
        <v>14.2</v>
      </c>
      <c r="AJ100" s="211">
        <f>ROUND(AE100*K100,3)</f>
        <v>189.8</v>
      </c>
      <c r="AK100" s="211">
        <f>ROUND(AE100*L100,3)</f>
        <v>189.8</v>
      </c>
      <c r="AL100" s="211">
        <f>ROUND(AE100*M100,3)</f>
        <v>189.8</v>
      </c>
      <c r="AM100" s="211">
        <f>ROUND(AE100*N100,3)</f>
        <v>189.8</v>
      </c>
      <c r="AN100" s="211">
        <f>ROUND(AE100*O100,3)</f>
        <v>189.8</v>
      </c>
      <c r="AO100" s="295">
        <f>AJ100+AK100+AL100+AM100+AN100</f>
        <v>949</v>
      </c>
      <c r="AP100" s="277">
        <f t="shared" si="356"/>
        <v>0</v>
      </c>
      <c r="AQ100" s="211">
        <f t="shared" si="357"/>
        <v>0</v>
      </c>
      <c r="AR100" s="211">
        <f t="shared" si="358"/>
        <v>0</v>
      </c>
      <c r="AS100" s="211">
        <f t="shared" si="359"/>
        <v>0</v>
      </c>
      <c r="AT100" s="211">
        <f t="shared" si="360"/>
        <v>0</v>
      </c>
      <c r="AU100" s="211">
        <f>AP100+AQ100+AR100+AS100+AT100</f>
        <v>0</v>
      </c>
      <c r="AV100" s="312">
        <f t="shared" si="361"/>
        <v>0</v>
      </c>
      <c r="AW100" s="277">
        <f t="shared" si="362"/>
        <v>189.8</v>
      </c>
      <c r="AX100" s="211">
        <f t="shared" si="363"/>
        <v>189.8</v>
      </c>
      <c r="AY100" s="211">
        <f t="shared" si="364"/>
        <v>189.8</v>
      </c>
      <c r="AZ100" s="211">
        <f t="shared" si="365"/>
        <v>189.8</v>
      </c>
      <c r="BA100" s="211">
        <f t="shared" si="366"/>
        <v>189.8</v>
      </c>
      <c r="BB100" s="211">
        <f>AW100+AX100+AY100+AZ100+BA100</f>
        <v>949</v>
      </c>
      <c r="BC100" s="289">
        <f t="shared" si="367"/>
        <v>1</v>
      </c>
      <c r="BD100" s="17"/>
      <c r="BF100" s="209"/>
      <c r="BG100" s="209"/>
      <c r="BH100" s="209"/>
      <c r="BI100" s="209"/>
      <c r="BJ100" s="209"/>
      <c r="BK100" s="209"/>
      <c r="BL100" s="209"/>
      <c r="BM100" s="209"/>
      <c r="CF100" s="9"/>
      <c r="CG100" s="9"/>
      <c r="CK100" s="9"/>
      <c r="CW100" s="101"/>
    </row>
    <row r="101" spans="2:103" s="7" customFormat="1" ht="29.85" customHeight="1">
      <c r="B101" s="82"/>
      <c r="C101" s="83"/>
      <c r="D101" s="92" t="s">
        <v>248</v>
      </c>
      <c r="E101" s="92"/>
      <c r="F101" s="92"/>
      <c r="G101" s="92"/>
      <c r="H101" s="92"/>
      <c r="I101" s="92"/>
      <c r="J101" s="92"/>
      <c r="K101" s="219"/>
      <c r="L101" s="219"/>
      <c r="M101" s="219"/>
      <c r="N101" s="219"/>
      <c r="O101" s="219"/>
      <c r="P101" s="222"/>
      <c r="Q101" s="219"/>
      <c r="R101" s="219"/>
      <c r="S101" s="219"/>
      <c r="T101" s="219"/>
      <c r="U101" s="219"/>
      <c r="V101" s="222"/>
      <c r="W101" s="286"/>
      <c r="X101" s="219"/>
      <c r="Y101" s="219"/>
      <c r="Z101" s="219"/>
      <c r="AA101" s="219"/>
      <c r="AB101" s="219"/>
      <c r="AC101" s="222"/>
      <c r="AD101" s="286"/>
      <c r="AE101" s="219"/>
      <c r="AF101" s="219"/>
      <c r="AG101" s="219"/>
      <c r="AH101" s="219"/>
      <c r="AI101" s="219"/>
      <c r="AJ101" s="212">
        <f>SUM(AJ102:AJ104)</f>
        <v>2856.2389999999996</v>
      </c>
      <c r="AK101" s="212">
        <f t="shared" ref="AK101:AO101" si="368">SUM(AK102:AK104)</f>
        <v>2856.2389999999996</v>
      </c>
      <c r="AL101" s="212">
        <f t="shared" si="368"/>
        <v>928.70299999999997</v>
      </c>
      <c r="AM101" s="212">
        <f t="shared" si="368"/>
        <v>3667.1</v>
      </c>
      <c r="AN101" s="212">
        <f t="shared" si="368"/>
        <v>534.85899999999992</v>
      </c>
      <c r="AO101" s="296">
        <f t="shared" si="368"/>
        <v>10843.140000000001</v>
      </c>
      <c r="AP101" s="212">
        <f>SUM(AP102:AP104)</f>
        <v>0</v>
      </c>
      <c r="AQ101" s="212">
        <f t="shared" ref="AQ101:AU101" si="369">SUM(AQ102:AQ104)</f>
        <v>0</v>
      </c>
      <c r="AR101" s="212">
        <f t="shared" si="369"/>
        <v>0</v>
      </c>
      <c r="AS101" s="212">
        <f t="shared" si="369"/>
        <v>0</v>
      </c>
      <c r="AT101" s="212">
        <f t="shared" si="369"/>
        <v>0</v>
      </c>
      <c r="AU101" s="212">
        <f t="shared" si="369"/>
        <v>0</v>
      </c>
      <c r="AV101" s="317"/>
      <c r="AW101" s="212">
        <f>SUM(AW102:AW104)</f>
        <v>2856.2389999999996</v>
      </c>
      <c r="AX101" s="212">
        <f t="shared" ref="AX101:BA101" si="370">SUM(AX102:AX104)</f>
        <v>2856.2389999999996</v>
      </c>
      <c r="AY101" s="212">
        <f t="shared" si="370"/>
        <v>928.70299999999997</v>
      </c>
      <c r="AZ101" s="212">
        <f t="shared" si="370"/>
        <v>3667.1</v>
      </c>
      <c r="BA101" s="212">
        <f t="shared" si="370"/>
        <v>534.85899999999992</v>
      </c>
      <c r="BB101" s="212">
        <f>SUM(BB102:BB104)</f>
        <v>10843.140000000001</v>
      </c>
      <c r="BC101" s="317"/>
      <c r="BD101" s="85"/>
      <c r="BF101" s="86"/>
      <c r="BG101" s="83"/>
      <c r="BH101" s="83"/>
      <c r="BI101" s="87">
        <f>SUM(BI102:BI104)</f>
        <v>0</v>
      </c>
      <c r="BJ101" s="83"/>
      <c r="BK101" s="87">
        <f>SUM(BK102:BK104)</f>
        <v>0</v>
      </c>
      <c r="BL101" s="83"/>
      <c r="BM101" s="88">
        <f>SUM(BM102:BM104)</f>
        <v>0</v>
      </c>
      <c r="CD101" s="89" t="s">
        <v>42</v>
      </c>
      <c r="CF101" s="90" t="s">
        <v>30</v>
      </c>
      <c r="CG101" s="90" t="s">
        <v>38</v>
      </c>
      <c r="CK101" s="89" t="s">
        <v>148</v>
      </c>
      <c r="CW101" s="91">
        <f>SUM(CW102:CW104)</f>
        <v>2856.2389999999996</v>
      </c>
    </row>
    <row r="102" spans="2:103" s="1" customFormat="1" ht="31.5" customHeight="1">
      <c r="B102" s="73"/>
      <c r="C102" s="93">
        <v>32</v>
      </c>
      <c r="D102" s="93" t="s">
        <v>149</v>
      </c>
      <c r="E102" s="94" t="s">
        <v>326</v>
      </c>
      <c r="F102" s="498" t="s">
        <v>327</v>
      </c>
      <c r="G102" s="498"/>
      <c r="H102" s="498"/>
      <c r="I102" s="498"/>
      <c r="J102" s="95" t="s">
        <v>168</v>
      </c>
      <c r="K102" s="211">
        <v>36.936999999999998</v>
      </c>
      <c r="L102" s="211">
        <v>36.936999999999998</v>
      </c>
      <c r="M102" s="211">
        <v>21.204000000000008</v>
      </c>
      <c r="N102" s="211">
        <v>58.304000000000002</v>
      </c>
      <c r="O102" s="211">
        <v>0</v>
      </c>
      <c r="P102" s="306">
        <f>SUM(K102:O102)</f>
        <v>153.38200000000001</v>
      </c>
      <c r="Q102" s="307">
        <v>0</v>
      </c>
      <c r="R102" s="211">
        <v>0</v>
      </c>
      <c r="S102" s="211">
        <v>0</v>
      </c>
      <c r="T102" s="211">
        <v>0</v>
      </c>
      <c r="U102" s="211">
        <v>0</v>
      </c>
      <c r="V102" s="220">
        <f>SUM(Q102:U102)</f>
        <v>0</v>
      </c>
      <c r="W102" s="289">
        <f t="shared" ref="W102:W104" si="371">V102/P102</f>
        <v>0</v>
      </c>
      <c r="X102" s="307">
        <f t="shared" ref="X102:X104" si="372">K102-Q102</f>
        <v>36.936999999999998</v>
      </c>
      <c r="Y102" s="211">
        <f t="shared" ref="Y102:Y104" si="373">L102-R102</f>
        <v>36.936999999999998</v>
      </c>
      <c r="Z102" s="211">
        <f t="shared" ref="Z102:Z104" si="374">M102-S102</f>
        <v>21.204000000000008</v>
      </c>
      <c r="AA102" s="211">
        <f t="shared" ref="AA102:AA104" si="375">N102-T102</f>
        <v>58.304000000000002</v>
      </c>
      <c r="AB102" s="211">
        <f t="shared" ref="AB102:AB104" si="376">O102-U102</f>
        <v>0</v>
      </c>
      <c r="AC102" s="220">
        <f>SUM(X102:AB102)</f>
        <v>153.38200000000001</v>
      </c>
      <c r="AD102" s="289">
        <f>AC102/P102</f>
        <v>1</v>
      </c>
      <c r="AE102" s="310">
        <v>24.12</v>
      </c>
      <c r="AF102" s="230">
        <v>24.12</v>
      </c>
      <c r="AG102" s="230">
        <v>24.12</v>
      </c>
      <c r="AH102" s="230">
        <v>24.12</v>
      </c>
      <c r="AI102" s="230">
        <v>24.12</v>
      </c>
      <c r="AJ102" s="211">
        <f>ROUND(AE102*K102,3)</f>
        <v>890.92</v>
      </c>
      <c r="AK102" s="211">
        <f>ROUND(AE102*L102,3)</f>
        <v>890.92</v>
      </c>
      <c r="AL102" s="211">
        <f>ROUND(AE102*M102,3)</f>
        <v>511.44</v>
      </c>
      <c r="AM102" s="211">
        <f>ROUND(AE102*N102,3)</f>
        <v>1406.2919999999999</v>
      </c>
      <c r="AN102" s="211">
        <f>ROUND(AE102*O102,3)</f>
        <v>0</v>
      </c>
      <c r="AO102" s="295">
        <f>AJ102+AK102+AL102+AM102+AN102</f>
        <v>3699.5719999999997</v>
      </c>
      <c r="AP102" s="277">
        <f t="shared" ref="AP102:AP104" si="377">ROUND(AE102*Q102,3)</f>
        <v>0</v>
      </c>
      <c r="AQ102" s="211">
        <f t="shared" ref="AQ102:AQ104" si="378">ROUND(AF102*R102,3)</f>
        <v>0</v>
      </c>
      <c r="AR102" s="211">
        <f t="shared" ref="AR102:AR104" si="379">ROUND(AG102*S102,3)</f>
        <v>0</v>
      </c>
      <c r="AS102" s="211">
        <f t="shared" ref="AS102:AS104" si="380">ROUND(AH102*T102,3)</f>
        <v>0</v>
      </c>
      <c r="AT102" s="211">
        <f t="shared" ref="AT102:AT104" si="381">ROUND(AI102*U102,3)</f>
        <v>0</v>
      </c>
      <c r="AU102" s="211">
        <f>AP102+AQ102+AR102+AS102+AT102</f>
        <v>0</v>
      </c>
      <c r="AV102" s="312">
        <f t="shared" ref="AV102:AV104" si="382">AU102/AO102</f>
        <v>0</v>
      </c>
      <c r="AW102" s="277">
        <f t="shared" ref="AW102:AW104" si="383">AJ102-AP102</f>
        <v>890.92</v>
      </c>
      <c r="AX102" s="211">
        <f t="shared" ref="AX102:AX104" si="384">AK102-AQ102</f>
        <v>890.92</v>
      </c>
      <c r="AY102" s="211">
        <f t="shared" ref="AY102:AY104" si="385">AL102-AR102</f>
        <v>511.44</v>
      </c>
      <c r="AZ102" s="211">
        <f t="shared" ref="AZ102:AZ104" si="386">AM102-AS102</f>
        <v>1406.2919999999999</v>
      </c>
      <c r="BA102" s="211">
        <f t="shared" ref="BA102:BA104" si="387">AN102-AT102</f>
        <v>0</v>
      </c>
      <c r="BB102" s="211">
        <f>AW102+AX102+AY102+AZ102+BA102</f>
        <v>3699.5719999999997</v>
      </c>
      <c r="BC102" s="289">
        <f t="shared" ref="BC102:BC104" si="388">BB102/AO102</f>
        <v>1</v>
      </c>
      <c r="BD102" s="74"/>
      <c r="BF102" s="98" t="s">
        <v>0</v>
      </c>
      <c r="BG102" s="18" t="s">
        <v>11</v>
      </c>
      <c r="BH102" s="192"/>
      <c r="BI102" s="99">
        <f>BH102*K102</f>
        <v>0</v>
      </c>
      <c r="BJ102" s="99">
        <v>0</v>
      </c>
      <c r="BK102" s="99">
        <f>BJ102*K102</f>
        <v>0</v>
      </c>
      <c r="BL102" s="99">
        <v>0</v>
      </c>
      <c r="BM102" s="100">
        <f>BL102*K102</f>
        <v>0</v>
      </c>
      <c r="BQ102" s="1">
        <v>23.19</v>
      </c>
      <c r="CD102" s="9" t="s">
        <v>169</v>
      </c>
      <c r="CF102" s="9" t="s">
        <v>149</v>
      </c>
      <c r="CG102" s="9" t="s">
        <v>42</v>
      </c>
      <c r="CK102" s="9" t="s">
        <v>148</v>
      </c>
      <c r="CQ102" s="72">
        <f>IF(BG102="základná",AJ102,0)</f>
        <v>0</v>
      </c>
      <c r="CR102" s="72">
        <f>IF(BG102="znížená",AJ102,0)</f>
        <v>890.92</v>
      </c>
      <c r="CS102" s="72">
        <f>IF(BG102="zákl. prenesená",AJ102,0)</f>
        <v>0</v>
      </c>
      <c r="CT102" s="72">
        <f>IF(BG102="zníž. prenesená",AJ102,0)</f>
        <v>0</v>
      </c>
      <c r="CU102" s="72">
        <f>IF(BG102="nulová",AJ102,0)</f>
        <v>0</v>
      </c>
      <c r="CV102" s="9" t="s">
        <v>42</v>
      </c>
      <c r="CW102" s="101">
        <f>ROUND(AE102*K102,3)</f>
        <v>890.92</v>
      </c>
      <c r="CX102" s="9" t="s">
        <v>169</v>
      </c>
      <c r="CY102" s="9" t="s">
        <v>328</v>
      </c>
    </row>
    <row r="103" spans="2:103" s="1" customFormat="1" ht="22.5" customHeight="1">
      <c r="B103" s="73"/>
      <c r="C103" s="102">
        <v>33</v>
      </c>
      <c r="D103" s="102" t="s">
        <v>171</v>
      </c>
      <c r="E103" s="103" t="s">
        <v>329</v>
      </c>
      <c r="F103" s="499" t="s">
        <v>330</v>
      </c>
      <c r="G103" s="499"/>
      <c r="H103" s="499"/>
      <c r="I103" s="499"/>
      <c r="J103" s="104" t="s">
        <v>168</v>
      </c>
      <c r="K103" s="223">
        <v>43.415000000000006</v>
      </c>
      <c r="L103" s="223">
        <v>43.415000000000006</v>
      </c>
      <c r="M103" s="223">
        <v>9.2970000000000113</v>
      </c>
      <c r="N103" s="223">
        <v>50.107000000000014</v>
      </c>
      <c r="O103" s="223">
        <v>12.137800000000002</v>
      </c>
      <c r="P103" s="306">
        <f>SUM(K103:O103)</f>
        <v>158.37180000000004</v>
      </c>
      <c r="Q103" s="308">
        <v>0</v>
      </c>
      <c r="R103" s="223">
        <v>0</v>
      </c>
      <c r="S103" s="223">
        <v>0</v>
      </c>
      <c r="T103" s="223">
        <v>0</v>
      </c>
      <c r="U103" s="223">
        <v>0</v>
      </c>
      <c r="V103" s="220">
        <f>SUM(Q103:U103)</f>
        <v>0</v>
      </c>
      <c r="W103" s="289">
        <f t="shared" si="371"/>
        <v>0</v>
      </c>
      <c r="X103" s="308">
        <f t="shared" si="372"/>
        <v>43.415000000000006</v>
      </c>
      <c r="Y103" s="223">
        <f t="shared" si="373"/>
        <v>43.415000000000006</v>
      </c>
      <c r="Z103" s="223">
        <f t="shared" si="374"/>
        <v>9.2970000000000113</v>
      </c>
      <c r="AA103" s="223">
        <f t="shared" si="375"/>
        <v>50.107000000000014</v>
      </c>
      <c r="AB103" s="223">
        <f t="shared" si="376"/>
        <v>12.137800000000002</v>
      </c>
      <c r="AC103" s="220">
        <f>SUM(X103:AB103)</f>
        <v>158.37180000000004</v>
      </c>
      <c r="AD103" s="289">
        <f>AC103/P103</f>
        <v>1</v>
      </c>
      <c r="AE103" s="311">
        <v>43.68</v>
      </c>
      <c r="AF103" s="233">
        <v>43.68</v>
      </c>
      <c r="AG103" s="233">
        <v>43.68</v>
      </c>
      <c r="AH103" s="233">
        <v>43.68</v>
      </c>
      <c r="AI103" s="233">
        <v>43.68</v>
      </c>
      <c r="AJ103" s="223">
        <f>ROUND(AE103*K103,3)</f>
        <v>1896.367</v>
      </c>
      <c r="AK103" s="223">
        <f>ROUND(AE103*L103,3)</f>
        <v>1896.367</v>
      </c>
      <c r="AL103" s="223">
        <f>ROUND(AE103*M103,3)</f>
        <v>406.09300000000002</v>
      </c>
      <c r="AM103" s="223">
        <f>ROUND(AE103*N103,3)</f>
        <v>2188.674</v>
      </c>
      <c r="AN103" s="223">
        <f>ROUND(AE103*O103,3)</f>
        <v>530.17899999999997</v>
      </c>
      <c r="AO103" s="295">
        <f>AJ103+AK103+AL103+AM103+AN103</f>
        <v>6917.68</v>
      </c>
      <c r="AP103" s="278">
        <f t="shared" si="377"/>
        <v>0</v>
      </c>
      <c r="AQ103" s="223">
        <f t="shared" si="378"/>
        <v>0</v>
      </c>
      <c r="AR103" s="223">
        <f t="shared" si="379"/>
        <v>0</v>
      </c>
      <c r="AS103" s="223">
        <f t="shared" si="380"/>
        <v>0</v>
      </c>
      <c r="AT103" s="223">
        <f t="shared" si="381"/>
        <v>0</v>
      </c>
      <c r="AU103" s="211">
        <f>AP103+AQ103+AR103+AS103+AT103</f>
        <v>0</v>
      </c>
      <c r="AV103" s="312">
        <f t="shared" si="382"/>
        <v>0</v>
      </c>
      <c r="AW103" s="278">
        <f t="shared" si="383"/>
        <v>1896.367</v>
      </c>
      <c r="AX103" s="223">
        <f t="shared" si="384"/>
        <v>1896.367</v>
      </c>
      <c r="AY103" s="223">
        <f t="shared" si="385"/>
        <v>406.09300000000002</v>
      </c>
      <c r="AZ103" s="223">
        <f t="shared" si="386"/>
        <v>2188.674</v>
      </c>
      <c r="BA103" s="223">
        <f t="shared" si="387"/>
        <v>530.17899999999997</v>
      </c>
      <c r="BB103" s="211">
        <f>AW103+AX103+AY103+AZ103+BA103</f>
        <v>6917.68</v>
      </c>
      <c r="BC103" s="289">
        <f t="shared" si="388"/>
        <v>1</v>
      </c>
      <c r="BD103" s="74"/>
      <c r="BE103" s="1" t="s">
        <v>969</v>
      </c>
      <c r="BF103" s="98" t="s">
        <v>0</v>
      </c>
      <c r="BG103" s="18" t="s">
        <v>11</v>
      </c>
      <c r="BH103" s="192"/>
      <c r="BI103" s="99">
        <f>BH103*K103</f>
        <v>0</v>
      </c>
      <c r="BJ103" s="99">
        <v>0</v>
      </c>
      <c r="BK103" s="99">
        <f>BJ103*K103</f>
        <v>0</v>
      </c>
      <c r="BL103" s="99">
        <v>0</v>
      </c>
      <c r="BM103" s="100">
        <f>BL103*K103</f>
        <v>0</v>
      </c>
      <c r="BO103" s="113" t="s">
        <v>970</v>
      </c>
      <c r="BQ103" s="1">
        <v>42</v>
      </c>
      <c r="CD103" s="9" t="s">
        <v>174</v>
      </c>
      <c r="CF103" s="9" t="s">
        <v>171</v>
      </c>
      <c r="CG103" s="9" t="s">
        <v>42</v>
      </c>
      <c r="CK103" s="9" t="s">
        <v>148</v>
      </c>
      <c r="CQ103" s="72">
        <f>IF(BG103="základná",AJ103,0)</f>
        <v>0</v>
      </c>
      <c r="CR103" s="72">
        <f>IF(BG103="znížená",AJ103,0)</f>
        <v>1896.367</v>
      </c>
      <c r="CS103" s="72">
        <f>IF(BG103="zákl. prenesená",AJ103,0)</f>
        <v>0</v>
      </c>
      <c r="CT103" s="72">
        <f>IF(BG103="zníž. prenesená",AJ103,0)</f>
        <v>0</v>
      </c>
      <c r="CU103" s="72">
        <f>IF(BG103="nulová",AJ103,0)</f>
        <v>0</v>
      </c>
      <c r="CV103" s="9" t="s">
        <v>42</v>
      </c>
      <c r="CW103" s="101">
        <f>ROUND(AE103*K103,3)</f>
        <v>1896.367</v>
      </c>
      <c r="CX103" s="9" t="s">
        <v>169</v>
      </c>
      <c r="CY103" s="9" t="s">
        <v>331</v>
      </c>
    </row>
    <row r="104" spans="2:103" s="1" customFormat="1" ht="31.5" customHeight="1">
      <c r="B104" s="73"/>
      <c r="C104" s="93">
        <v>34</v>
      </c>
      <c r="D104" s="93" t="s">
        <v>149</v>
      </c>
      <c r="E104" s="94" t="s">
        <v>332</v>
      </c>
      <c r="F104" s="498" t="s">
        <v>333</v>
      </c>
      <c r="G104" s="498"/>
      <c r="H104" s="498"/>
      <c r="I104" s="498"/>
      <c r="J104" s="95" t="s">
        <v>152</v>
      </c>
      <c r="K104" s="211">
        <v>2.21</v>
      </c>
      <c r="L104" s="211">
        <v>2.21</v>
      </c>
      <c r="M104" s="211">
        <v>0.35799999999999998</v>
      </c>
      <c r="N104" s="211">
        <v>2.3119999999999998</v>
      </c>
      <c r="O104" s="211">
        <v>0.15</v>
      </c>
      <c r="P104" s="306">
        <f>SUM(K104:O104)</f>
        <v>7.24</v>
      </c>
      <c r="Q104" s="307">
        <v>0</v>
      </c>
      <c r="R104" s="211">
        <v>0</v>
      </c>
      <c r="S104" s="211">
        <v>0</v>
      </c>
      <c r="T104" s="211">
        <v>0</v>
      </c>
      <c r="U104" s="211">
        <v>0</v>
      </c>
      <c r="V104" s="220">
        <f>SUM(Q104:U104)</f>
        <v>0</v>
      </c>
      <c r="W104" s="289">
        <f t="shared" si="371"/>
        <v>0</v>
      </c>
      <c r="X104" s="307">
        <f t="shared" si="372"/>
        <v>2.21</v>
      </c>
      <c r="Y104" s="211">
        <f t="shared" si="373"/>
        <v>2.21</v>
      </c>
      <c r="Z104" s="211">
        <f t="shared" si="374"/>
        <v>0.35799999999999998</v>
      </c>
      <c r="AA104" s="211">
        <f t="shared" si="375"/>
        <v>2.3119999999999998</v>
      </c>
      <c r="AB104" s="211">
        <f t="shared" si="376"/>
        <v>0.15</v>
      </c>
      <c r="AC104" s="220">
        <f>SUM(X104:AB104)</f>
        <v>7.24</v>
      </c>
      <c r="AD104" s="289">
        <f>AC104/P104</f>
        <v>1</v>
      </c>
      <c r="AE104" s="310">
        <v>31.2</v>
      </c>
      <c r="AF104" s="230">
        <v>31.2</v>
      </c>
      <c r="AG104" s="230">
        <v>31.2</v>
      </c>
      <c r="AH104" s="230">
        <v>31.2</v>
      </c>
      <c r="AI104" s="230">
        <v>31.2</v>
      </c>
      <c r="AJ104" s="211">
        <f>ROUND(AE104*K104,3)</f>
        <v>68.951999999999998</v>
      </c>
      <c r="AK104" s="211">
        <f>ROUND(AE104*L104,3)</f>
        <v>68.951999999999998</v>
      </c>
      <c r="AL104" s="211">
        <f>ROUND(AE104*M104,3)</f>
        <v>11.17</v>
      </c>
      <c r="AM104" s="211">
        <f>ROUND(AE104*N104,3)</f>
        <v>72.134</v>
      </c>
      <c r="AN104" s="211">
        <f>ROUND(AE104*O104,3)</f>
        <v>4.68</v>
      </c>
      <c r="AO104" s="295">
        <f>AJ104+AK104+AL104+AM104+AN104</f>
        <v>225.88799999999998</v>
      </c>
      <c r="AP104" s="277">
        <f t="shared" si="377"/>
        <v>0</v>
      </c>
      <c r="AQ104" s="211">
        <f t="shared" si="378"/>
        <v>0</v>
      </c>
      <c r="AR104" s="211">
        <f t="shared" si="379"/>
        <v>0</v>
      </c>
      <c r="AS104" s="211">
        <f t="shared" si="380"/>
        <v>0</v>
      </c>
      <c r="AT104" s="211">
        <f t="shared" si="381"/>
        <v>0</v>
      </c>
      <c r="AU104" s="211">
        <f>AP104+AQ104+AR104+AS104+AT104</f>
        <v>0</v>
      </c>
      <c r="AV104" s="312">
        <f t="shared" si="382"/>
        <v>0</v>
      </c>
      <c r="AW104" s="277">
        <f t="shared" si="383"/>
        <v>68.951999999999998</v>
      </c>
      <c r="AX104" s="211">
        <f t="shared" si="384"/>
        <v>68.951999999999998</v>
      </c>
      <c r="AY104" s="211">
        <f t="shared" si="385"/>
        <v>11.17</v>
      </c>
      <c r="AZ104" s="211">
        <f t="shared" si="386"/>
        <v>72.134</v>
      </c>
      <c r="BA104" s="211">
        <f t="shared" si="387"/>
        <v>4.68</v>
      </c>
      <c r="BB104" s="211">
        <f>AW104+AX104+AY104+AZ104+BA104</f>
        <v>225.88799999999998</v>
      </c>
      <c r="BC104" s="289">
        <f t="shared" si="388"/>
        <v>1</v>
      </c>
      <c r="BD104" s="74"/>
      <c r="BF104" s="98" t="s">
        <v>0</v>
      </c>
      <c r="BG104" s="18" t="s">
        <v>11</v>
      </c>
      <c r="BH104" s="192"/>
      <c r="BI104" s="99">
        <f>BH104*K104</f>
        <v>0</v>
      </c>
      <c r="BJ104" s="99">
        <v>0</v>
      </c>
      <c r="BK104" s="99">
        <f>BJ104*K104</f>
        <v>0</v>
      </c>
      <c r="BL104" s="99">
        <v>0</v>
      </c>
      <c r="BM104" s="100">
        <f>BL104*K104</f>
        <v>0</v>
      </c>
      <c r="BQ104" s="1">
        <v>30</v>
      </c>
      <c r="CD104" s="9" t="s">
        <v>169</v>
      </c>
      <c r="CF104" s="9" t="s">
        <v>149</v>
      </c>
      <c r="CG104" s="9" t="s">
        <v>42</v>
      </c>
      <c r="CK104" s="9" t="s">
        <v>148</v>
      </c>
      <c r="CQ104" s="72">
        <f>IF(BG104="základná",AJ104,0)</f>
        <v>0</v>
      </c>
      <c r="CR104" s="72">
        <f>IF(BG104="znížená",AJ104,0)</f>
        <v>68.951999999999998</v>
      </c>
      <c r="CS104" s="72">
        <f>IF(BG104="zákl. prenesená",AJ104,0)</f>
        <v>0</v>
      </c>
      <c r="CT104" s="72">
        <f>IF(BG104="zníž. prenesená",AJ104,0)</f>
        <v>0</v>
      </c>
      <c r="CU104" s="72">
        <f>IF(BG104="nulová",AJ104,0)</f>
        <v>0</v>
      </c>
      <c r="CV104" s="9" t="s">
        <v>42</v>
      </c>
      <c r="CW104" s="101">
        <f>ROUND(AE104*K104,3)</f>
        <v>68.951999999999998</v>
      </c>
      <c r="CX104" s="9" t="s">
        <v>169</v>
      </c>
      <c r="CY104" s="9" t="s">
        <v>334</v>
      </c>
    </row>
    <row r="105" spans="2:103" s="1" customFormat="1" ht="6.95" customHeight="1">
      <c r="B105" s="23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87"/>
      <c r="X105" s="24"/>
      <c r="Y105" s="24"/>
      <c r="Z105" s="24"/>
      <c r="AA105" s="24"/>
      <c r="AB105" s="24"/>
      <c r="AC105" s="24"/>
      <c r="AD105" s="287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5"/>
    </row>
  </sheetData>
  <autoFilter ref="C17:BC104">
    <filterColumn colId="3" showButton="0"/>
    <filterColumn colId="4" showButton="0"/>
    <filterColumn colId="5" showButton="0"/>
  </autoFilter>
  <mergeCells count="79">
    <mergeCell ref="AP16:AV16"/>
    <mergeCell ref="AW16:BC16"/>
    <mergeCell ref="F27:I27"/>
    <mergeCell ref="F28:I28"/>
    <mergeCell ref="F26:I26"/>
    <mergeCell ref="F21:I21"/>
    <mergeCell ref="F22:I22"/>
    <mergeCell ref="F23:I23"/>
    <mergeCell ref="F24:I24"/>
    <mergeCell ref="F25:I25"/>
    <mergeCell ref="C5:AJ5"/>
    <mergeCell ref="F7:AJ7"/>
    <mergeCell ref="F8:AJ8"/>
    <mergeCell ref="F9:AJ9"/>
    <mergeCell ref="F17:I17"/>
    <mergeCell ref="K16:P16"/>
    <mergeCell ref="X16:AD16"/>
    <mergeCell ref="AJ16:AO16"/>
    <mergeCell ref="Q16:W16"/>
    <mergeCell ref="F29:I29"/>
    <mergeCell ref="F31:I31"/>
    <mergeCell ref="F32:I32"/>
    <mergeCell ref="F44:I44"/>
    <mergeCell ref="F36:I36"/>
    <mergeCell ref="F37:I37"/>
    <mergeCell ref="F39:I39"/>
    <mergeCell ref="F40:I40"/>
    <mergeCell ref="F41:I41"/>
    <mergeCell ref="F42:I42"/>
    <mergeCell ref="F38:I38"/>
    <mergeCell ref="F33:I33"/>
    <mergeCell ref="F34:I34"/>
    <mergeCell ref="F35:I35"/>
    <mergeCell ref="F47:I47"/>
    <mergeCell ref="F48:I48"/>
    <mergeCell ref="F49:I49"/>
    <mergeCell ref="F50:I50"/>
    <mergeCell ref="F52:I52"/>
    <mergeCell ref="F53:I53"/>
    <mergeCell ref="F54:I54"/>
    <mergeCell ref="F56:I56"/>
    <mergeCell ref="F57:I57"/>
    <mergeCell ref="F58:I58"/>
    <mergeCell ref="F59:I59"/>
    <mergeCell ref="F61:I61"/>
    <mergeCell ref="F62:I62"/>
    <mergeCell ref="F84:I84"/>
    <mergeCell ref="F74:I74"/>
    <mergeCell ref="F75:I75"/>
    <mergeCell ref="F76:I76"/>
    <mergeCell ref="F70:I70"/>
    <mergeCell ref="F71:I71"/>
    <mergeCell ref="F72:I72"/>
    <mergeCell ref="F73:I73"/>
    <mergeCell ref="F68:I68"/>
    <mergeCell ref="F69:I69"/>
    <mergeCell ref="F81:I81"/>
    <mergeCell ref="F82:I82"/>
    <mergeCell ref="F99:I99"/>
    <mergeCell ref="F100:I100"/>
    <mergeCell ref="F97:I97"/>
    <mergeCell ref="F93:I93"/>
    <mergeCell ref="F63:I63"/>
    <mergeCell ref="F83:I83"/>
    <mergeCell ref="F104:I104"/>
    <mergeCell ref="F78:I78"/>
    <mergeCell ref="F87:I87"/>
    <mergeCell ref="F79:I79"/>
    <mergeCell ref="F80:I80"/>
    <mergeCell ref="F89:I89"/>
    <mergeCell ref="F90:I90"/>
    <mergeCell ref="F91:I91"/>
    <mergeCell ref="F85:I85"/>
    <mergeCell ref="F86:I86"/>
    <mergeCell ref="F94:I94"/>
    <mergeCell ref="F95:I95"/>
    <mergeCell ref="F102:I102"/>
    <mergeCell ref="F103:I103"/>
    <mergeCell ref="F88:I88"/>
  </mergeCells>
  <conditionalFormatting sqref="W105:W1048576 W1:W20">
    <cfRule type="dataBar" priority="12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{2B448FF5-1787-4DC4-B839-252E1C286449}</x14:id>
        </ext>
      </extLst>
    </cfRule>
  </conditionalFormatting>
  <conditionalFormatting sqref="Q21:V67 Q94:V104 AP94:AU104 Q70:V92 AP70:AU91">
    <cfRule type="cellIs" dxfId="138" priority="118" operator="greaterThan">
      <formula>0</formula>
    </cfRule>
  </conditionalFormatting>
  <conditionalFormatting sqref="K21:BC104">
    <cfRule type="cellIs" dxfId="137" priority="117" operator="lessThan">
      <formula>0</formula>
    </cfRule>
  </conditionalFormatting>
  <conditionalFormatting sqref="AP18:AU67">
    <cfRule type="cellIs" dxfId="136" priority="115" operator="greaterThan">
      <formula>0</formula>
    </cfRule>
  </conditionalFormatting>
  <conditionalFormatting sqref="AD21">
    <cfRule type="dataBar" priority="1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{ACAB2D30-FC05-4EC6-9EB9-A1EAEC0ED83E}</x14:id>
        </ext>
      </extLst>
    </cfRule>
  </conditionalFormatting>
  <conditionalFormatting sqref="AD21">
    <cfRule type="colorScale" priority="113">
      <colorScale>
        <cfvo type="min"/>
        <cfvo type="max"/>
        <color rgb="FFF8696B"/>
        <color rgb="FFFCFCFF"/>
      </colorScale>
    </cfRule>
  </conditionalFormatting>
  <conditionalFormatting sqref="AD22:AD29">
    <cfRule type="dataBar" priority="1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{2DC429EC-4FC4-4F5E-A183-54D280532F89}</x14:id>
        </ext>
      </extLst>
    </cfRule>
  </conditionalFormatting>
  <conditionalFormatting sqref="AD22:AD29">
    <cfRule type="colorScale" priority="111">
      <colorScale>
        <cfvo type="min"/>
        <cfvo type="max"/>
        <color rgb="FFF8696B"/>
        <color rgb="FFFCFCFF"/>
      </colorScale>
    </cfRule>
  </conditionalFormatting>
  <conditionalFormatting sqref="AD31:AD42">
    <cfRule type="dataBar" priority="1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{CDE2E9E4-8464-4E69-98C4-B7FF3B7A7B56}</x14:id>
        </ext>
      </extLst>
    </cfRule>
  </conditionalFormatting>
  <conditionalFormatting sqref="AD31:AD42">
    <cfRule type="colorScale" priority="109">
      <colorScale>
        <cfvo type="min"/>
        <cfvo type="max"/>
        <color rgb="FFF8696B"/>
        <color rgb="FFFCFCFF"/>
      </colorScale>
    </cfRule>
  </conditionalFormatting>
  <conditionalFormatting sqref="AD44">
    <cfRule type="dataBar" priority="10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{81275500-6FC8-4E10-8763-60A7B2A48D10}</x14:id>
        </ext>
      </extLst>
    </cfRule>
  </conditionalFormatting>
  <conditionalFormatting sqref="AD44">
    <cfRule type="colorScale" priority="107">
      <colorScale>
        <cfvo type="min"/>
        <cfvo type="max"/>
        <color rgb="FFF8696B"/>
        <color rgb="FFFCFCFF"/>
      </colorScale>
    </cfRule>
  </conditionalFormatting>
  <conditionalFormatting sqref="AD47:AD50">
    <cfRule type="dataBar" priority="10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{EB6374EB-3AE7-4A78-9053-48BAD1D8F369}</x14:id>
        </ext>
      </extLst>
    </cfRule>
  </conditionalFormatting>
  <conditionalFormatting sqref="AD47:AD50">
    <cfRule type="colorScale" priority="105">
      <colorScale>
        <cfvo type="min"/>
        <cfvo type="max"/>
        <color rgb="FFF8696B"/>
        <color rgb="FFFCFCFF"/>
      </colorScale>
    </cfRule>
  </conditionalFormatting>
  <conditionalFormatting sqref="AD52:AD54">
    <cfRule type="dataBar" priority="10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{C20481B6-296C-4F11-BA25-4546A75865A3}</x14:id>
        </ext>
      </extLst>
    </cfRule>
  </conditionalFormatting>
  <conditionalFormatting sqref="AD52:AD54">
    <cfRule type="colorScale" priority="103">
      <colorScale>
        <cfvo type="min"/>
        <cfvo type="max"/>
        <color rgb="FFF8696B"/>
        <color rgb="FFFCFCFF"/>
      </colorScale>
    </cfRule>
  </conditionalFormatting>
  <conditionalFormatting sqref="AD56:AD59">
    <cfRule type="dataBar" priority="10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{31ED6382-B4B5-4953-A938-E53B806DECB2}</x14:id>
        </ext>
      </extLst>
    </cfRule>
  </conditionalFormatting>
  <conditionalFormatting sqref="AD56:AD59">
    <cfRule type="colorScale" priority="101">
      <colorScale>
        <cfvo type="min"/>
        <cfvo type="max"/>
        <color rgb="FFF8696B"/>
        <color rgb="FFFCFCFF"/>
      </colorScale>
    </cfRule>
  </conditionalFormatting>
  <conditionalFormatting sqref="AD61:AD63">
    <cfRule type="dataBar" priority="10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{49CADEEE-6565-442F-B9C7-CA8B0A3B7857}</x14:id>
        </ext>
      </extLst>
    </cfRule>
  </conditionalFormatting>
  <conditionalFormatting sqref="AD61:AD63">
    <cfRule type="colorScale" priority="99">
      <colorScale>
        <cfvo type="min"/>
        <cfvo type="max"/>
        <color rgb="FFF8696B"/>
        <color rgb="FFFCFCFF"/>
      </colorScale>
    </cfRule>
  </conditionalFormatting>
  <conditionalFormatting sqref="AD94">
    <cfRule type="dataBar" priority="9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{25B189BC-FFBB-4145-B681-E528AF25C9C9}</x14:id>
        </ext>
      </extLst>
    </cfRule>
  </conditionalFormatting>
  <conditionalFormatting sqref="AD94">
    <cfRule type="colorScale" priority="93">
      <colorScale>
        <cfvo type="min"/>
        <cfvo type="max"/>
        <color rgb="FFF8696B"/>
        <color rgb="FFFCFCFF"/>
      </colorScale>
    </cfRule>
  </conditionalFormatting>
  <conditionalFormatting sqref="AD95">
    <cfRule type="dataBar" priority="9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{DBA60F25-C032-48A7-8322-CB24A87AAEEE}</x14:id>
        </ext>
      </extLst>
    </cfRule>
  </conditionalFormatting>
  <conditionalFormatting sqref="AD95">
    <cfRule type="colorScale" priority="91">
      <colorScale>
        <cfvo type="min"/>
        <cfvo type="max"/>
        <color rgb="FFF8696B"/>
        <color rgb="FFFCFCFF"/>
      </colorScale>
    </cfRule>
  </conditionalFormatting>
  <conditionalFormatting sqref="AD102:AD104">
    <cfRule type="dataBar" priority="8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{038DDA04-80F8-4EDE-B8F8-90E12F2B691C}</x14:id>
        </ext>
      </extLst>
    </cfRule>
  </conditionalFormatting>
  <conditionalFormatting sqref="AD102:AD104">
    <cfRule type="colorScale" priority="85">
      <colorScale>
        <cfvo type="min"/>
        <cfvo type="max"/>
        <color rgb="FFF8696B"/>
        <color rgb="FFFCFCFF"/>
      </colorScale>
    </cfRule>
  </conditionalFormatting>
  <conditionalFormatting sqref="AV21:AV29">
    <cfRule type="dataBar" priority="8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{7139839E-6E0B-4457-BFA7-40B51A09D3FA}</x14:id>
        </ext>
      </extLst>
    </cfRule>
  </conditionalFormatting>
  <conditionalFormatting sqref="AV31:AV42">
    <cfRule type="dataBar" priority="8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{3B6EB679-FD20-4FE0-AB84-87581ACF83CD}</x14:id>
        </ext>
      </extLst>
    </cfRule>
  </conditionalFormatting>
  <conditionalFormatting sqref="AV44">
    <cfRule type="dataBar" priority="8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{B908D8BA-AB93-4E41-88A5-6811013B0194}</x14:id>
        </ext>
      </extLst>
    </cfRule>
  </conditionalFormatting>
  <conditionalFormatting sqref="AV47:AV50">
    <cfRule type="dataBar" priority="8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{DBE08009-3013-4292-BEC2-FA1F9206CA36}</x14:id>
        </ext>
      </extLst>
    </cfRule>
  </conditionalFormatting>
  <conditionalFormatting sqref="AV52:AV54">
    <cfRule type="dataBar" priority="8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{BA23F51C-2E93-41AC-B3BE-E5EE1710FF5E}</x14:id>
        </ext>
      </extLst>
    </cfRule>
  </conditionalFormatting>
  <conditionalFormatting sqref="AV56:AV59">
    <cfRule type="dataBar" priority="7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{1F99A3EF-4067-4847-96CE-58BBB79D5517}</x14:id>
        </ext>
      </extLst>
    </cfRule>
  </conditionalFormatting>
  <conditionalFormatting sqref="AV61:AV63">
    <cfRule type="dataBar" priority="7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{20FAD5F8-AD1F-402C-91D3-654DEB281D66}</x14:id>
        </ext>
      </extLst>
    </cfRule>
  </conditionalFormatting>
  <conditionalFormatting sqref="AV94:AV95">
    <cfRule type="dataBar" priority="7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{CEBF5964-B369-4439-8C4E-D2BFE49F052F}</x14:id>
        </ext>
      </extLst>
    </cfRule>
  </conditionalFormatting>
  <conditionalFormatting sqref="AV102:AV104">
    <cfRule type="dataBar" priority="7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{541EAF39-B38C-47B5-B1B6-14D059B20D92}</x14:id>
        </ext>
      </extLst>
    </cfRule>
  </conditionalFormatting>
  <conditionalFormatting sqref="BC21:BC29">
    <cfRule type="dataBar" priority="7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{870EAAB7-16F4-4A53-A085-C803BC762FE7}</x14:id>
        </ext>
      </extLst>
    </cfRule>
  </conditionalFormatting>
  <conditionalFormatting sqref="BC21:BC29">
    <cfRule type="colorScale" priority="70">
      <colorScale>
        <cfvo type="min"/>
        <cfvo type="max"/>
        <color rgb="FFF8696B"/>
        <color rgb="FFFCFCFF"/>
      </colorScale>
    </cfRule>
  </conditionalFormatting>
  <conditionalFormatting sqref="BC31:BC42">
    <cfRule type="dataBar" priority="6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{F96EB374-E412-4DDA-A120-74CF33B92E21}</x14:id>
        </ext>
      </extLst>
    </cfRule>
  </conditionalFormatting>
  <conditionalFormatting sqref="BC31:BC42">
    <cfRule type="colorScale" priority="68">
      <colorScale>
        <cfvo type="min"/>
        <cfvo type="max"/>
        <color rgb="FFF8696B"/>
        <color rgb="FFFCFCFF"/>
      </colorScale>
    </cfRule>
  </conditionalFormatting>
  <conditionalFormatting sqref="BC44">
    <cfRule type="dataBar" priority="6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{253EC3C5-7AD6-4184-89C4-C09987E26B02}</x14:id>
        </ext>
      </extLst>
    </cfRule>
  </conditionalFormatting>
  <conditionalFormatting sqref="BC44">
    <cfRule type="colorScale" priority="66">
      <colorScale>
        <cfvo type="min"/>
        <cfvo type="max"/>
        <color rgb="FFF8696B"/>
        <color rgb="FFFCFCFF"/>
      </colorScale>
    </cfRule>
  </conditionalFormatting>
  <conditionalFormatting sqref="BC47:BC50">
    <cfRule type="dataBar" priority="6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{2BE19A8A-B76F-4B54-811E-6859B3373349}</x14:id>
        </ext>
      </extLst>
    </cfRule>
  </conditionalFormatting>
  <conditionalFormatting sqref="BC47:BC50">
    <cfRule type="colorScale" priority="64">
      <colorScale>
        <cfvo type="min"/>
        <cfvo type="max"/>
        <color rgb="FFF8696B"/>
        <color rgb="FFFCFCFF"/>
      </colorScale>
    </cfRule>
  </conditionalFormatting>
  <conditionalFormatting sqref="BC52:BC54">
    <cfRule type="dataBar" priority="6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{39236651-A97B-41B8-9600-3DCEC0161664}</x14:id>
        </ext>
      </extLst>
    </cfRule>
  </conditionalFormatting>
  <conditionalFormatting sqref="BC52:BC54">
    <cfRule type="colorScale" priority="62">
      <colorScale>
        <cfvo type="min"/>
        <cfvo type="max"/>
        <color rgb="FFF8696B"/>
        <color rgb="FFFCFCFF"/>
      </colorScale>
    </cfRule>
  </conditionalFormatting>
  <conditionalFormatting sqref="BC56:BC59">
    <cfRule type="dataBar" priority="6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{CEA06E08-30B0-49FC-93E8-A451C7738DF6}</x14:id>
        </ext>
      </extLst>
    </cfRule>
  </conditionalFormatting>
  <conditionalFormatting sqref="BC56:BC59">
    <cfRule type="colorScale" priority="60">
      <colorScale>
        <cfvo type="min"/>
        <cfvo type="max"/>
        <color rgb="FFF8696B"/>
        <color rgb="FFFCFCFF"/>
      </colorScale>
    </cfRule>
  </conditionalFormatting>
  <conditionalFormatting sqref="BC61:BC63">
    <cfRule type="dataBar" priority="5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{FFEE4794-9A68-4467-B8D4-E4E2C090C141}</x14:id>
        </ext>
      </extLst>
    </cfRule>
  </conditionalFormatting>
  <conditionalFormatting sqref="BC61:BC63">
    <cfRule type="colorScale" priority="58">
      <colorScale>
        <cfvo type="min"/>
        <cfvo type="max"/>
        <color rgb="FFF8696B"/>
        <color rgb="FFFCFCFF"/>
      </colorScale>
    </cfRule>
  </conditionalFormatting>
  <conditionalFormatting sqref="BC94:BC95">
    <cfRule type="dataBar" priority="5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{D1AFD910-9C7F-46D9-AD66-CB9B91233982}</x14:id>
        </ext>
      </extLst>
    </cfRule>
  </conditionalFormatting>
  <conditionalFormatting sqref="BC94:BC95">
    <cfRule type="colorScale" priority="52">
      <colorScale>
        <cfvo type="min"/>
        <cfvo type="max"/>
        <color rgb="FFF8696B"/>
        <color rgb="FFFCFCFF"/>
      </colorScale>
    </cfRule>
  </conditionalFormatting>
  <conditionalFormatting sqref="BC102:BC104">
    <cfRule type="dataBar" priority="4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{09845656-E329-4B2C-9FAD-8B6B248AD5D8}</x14:id>
        </ext>
      </extLst>
    </cfRule>
  </conditionalFormatting>
  <conditionalFormatting sqref="BC102:BC104">
    <cfRule type="colorScale" priority="46">
      <colorScale>
        <cfvo type="min"/>
        <cfvo type="max"/>
        <color rgb="FFF8696B"/>
        <color rgb="FFFCFCFF"/>
      </colorScale>
    </cfRule>
  </conditionalFormatting>
  <conditionalFormatting sqref="AW18:BB67">
    <cfRule type="cellIs" dxfId="135" priority="45" operator="lessThan">
      <formula>0</formula>
    </cfRule>
  </conditionalFormatting>
  <conditionalFormatting sqref="Q93:V93">
    <cfRule type="cellIs" dxfId="134" priority="40" operator="greaterThan">
      <formula>0</formula>
    </cfRule>
  </conditionalFormatting>
  <conditionalFormatting sqref="X93:AC93">
    <cfRule type="cellIs" dxfId="133" priority="39" operator="lessThan">
      <formula>0</formula>
    </cfRule>
  </conditionalFormatting>
  <conditionalFormatting sqref="AP93:AU93">
    <cfRule type="cellIs" dxfId="132" priority="38" operator="greaterThan">
      <formula>0</formula>
    </cfRule>
  </conditionalFormatting>
  <conditionalFormatting sqref="AD93">
    <cfRule type="dataBar" priority="3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{5F80AA82-0210-4D37-9A98-6D74527B8F80}</x14:id>
        </ext>
      </extLst>
    </cfRule>
  </conditionalFormatting>
  <conditionalFormatting sqref="AD93">
    <cfRule type="colorScale" priority="36">
      <colorScale>
        <cfvo type="min"/>
        <cfvo type="max"/>
        <color rgb="FFF8696B"/>
        <color rgb="FFFCFCFF"/>
      </colorScale>
    </cfRule>
  </conditionalFormatting>
  <conditionalFormatting sqref="AV93">
    <cfRule type="dataBar" priority="3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{D2C57947-6533-4905-BC7E-1459189D0CEA}</x14:id>
        </ext>
      </extLst>
    </cfRule>
  </conditionalFormatting>
  <conditionalFormatting sqref="BC93">
    <cfRule type="dataBar" priority="3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{BBF3902A-A5F6-400E-99DF-69C219C5E184}</x14:id>
        </ext>
      </extLst>
    </cfRule>
  </conditionalFormatting>
  <conditionalFormatting sqref="BC93">
    <cfRule type="colorScale" priority="33">
      <colorScale>
        <cfvo type="min"/>
        <cfvo type="max"/>
        <color rgb="FFF8696B"/>
        <color rgb="FFFCFCFF"/>
      </colorScale>
    </cfRule>
  </conditionalFormatting>
  <conditionalFormatting sqref="AW93:BB93">
    <cfRule type="cellIs" dxfId="131" priority="32" operator="lessThan">
      <formula>0</formula>
    </cfRule>
  </conditionalFormatting>
  <conditionalFormatting sqref="W93">
    <cfRule type="dataBar" priority="3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{D50AF2D8-CD54-40DE-99C6-49A2BDB954A1}</x14:id>
        </ext>
      </extLst>
    </cfRule>
  </conditionalFormatting>
  <conditionalFormatting sqref="AP92">
    <cfRule type="cellIs" dxfId="130" priority="30" operator="lessThan">
      <formula>0</formula>
    </cfRule>
  </conditionalFormatting>
  <conditionalFormatting sqref="AQ92">
    <cfRule type="cellIs" dxfId="129" priority="29" operator="lessThan">
      <formula>0</formula>
    </cfRule>
  </conditionalFormatting>
  <conditionalFormatting sqref="AR92">
    <cfRule type="cellIs" dxfId="128" priority="28" operator="lessThan">
      <formula>0</formula>
    </cfRule>
  </conditionalFormatting>
  <conditionalFormatting sqref="AS92">
    <cfRule type="cellIs" dxfId="127" priority="27" operator="lessThan">
      <formula>0</formula>
    </cfRule>
  </conditionalFormatting>
  <conditionalFormatting sqref="AT92">
    <cfRule type="cellIs" dxfId="126" priority="26" operator="lessThan">
      <formula>0</formula>
    </cfRule>
  </conditionalFormatting>
  <conditionalFormatting sqref="AU92">
    <cfRule type="cellIs" dxfId="125" priority="25" operator="lessThan">
      <formula>0</formula>
    </cfRule>
  </conditionalFormatting>
  <conditionalFormatting sqref="AJ92">
    <cfRule type="cellIs" dxfId="124" priority="24" operator="lessThan">
      <formula>0</formula>
    </cfRule>
  </conditionalFormatting>
  <conditionalFormatting sqref="AK92">
    <cfRule type="cellIs" dxfId="123" priority="23" operator="lessThan">
      <formula>0</formula>
    </cfRule>
  </conditionalFormatting>
  <conditionalFormatting sqref="AL92">
    <cfRule type="cellIs" dxfId="122" priority="22" operator="lessThan">
      <formula>0</formula>
    </cfRule>
  </conditionalFormatting>
  <conditionalFormatting sqref="AM92">
    <cfRule type="cellIs" dxfId="121" priority="21" operator="lessThan">
      <formula>0</formula>
    </cfRule>
  </conditionalFormatting>
  <conditionalFormatting sqref="AN92">
    <cfRule type="cellIs" dxfId="120" priority="20" operator="lessThan">
      <formula>0</formula>
    </cfRule>
  </conditionalFormatting>
  <conditionalFormatting sqref="AO92">
    <cfRule type="cellIs" dxfId="119" priority="19" operator="lessThan">
      <formula>0</formula>
    </cfRule>
  </conditionalFormatting>
  <conditionalFormatting sqref="Q68:V69">
    <cfRule type="cellIs" dxfId="118" priority="18" operator="greaterThan">
      <formula>0</formula>
    </cfRule>
  </conditionalFormatting>
  <conditionalFormatting sqref="X68:AC69">
    <cfRule type="cellIs" dxfId="117" priority="17" operator="lessThan">
      <formula>0</formula>
    </cfRule>
  </conditionalFormatting>
  <conditionalFormatting sqref="AP68:AU69">
    <cfRule type="cellIs" dxfId="116" priority="16" operator="greaterThan">
      <formula>0</formula>
    </cfRule>
  </conditionalFormatting>
  <conditionalFormatting sqref="AD68">
    <cfRule type="dataBar" priority="1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{4BD45D95-050B-4270-920A-4615079F5DAC}</x14:id>
        </ext>
      </extLst>
    </cfRule>
  </conditionalFormatting>
  <conditionalFormatting sqref="AD68">
    <cfRule type="colorScale" priority="14">
      <colorScale>
        <cfvo type="min"/>
        <cfvo type="max"/>
        <color rgb="FFF8696B"/>
        <color rgb="FFFCFCFF"/>
      </colorScale>
    </cfRule>
  </conditionalFormatting>
  <conditionalFormatting sqref="AD69">
    <cfRule type="dataBar" priority="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{49C3EB1E-0608-4172-8F1C-719B2DA42E22}</x14:id>
        </ext>
      </extLst>
    </cfRule>
  </conditionalFormatting>
  <conditionalFormatting sqref="AD69">
    <cfRule type="colorScale" priority="12">
      <colorScale>
        <cfvo type="min"/>
        <cfvo type="max"/>
        <color rgb="FFF8696B"/>
        <color rgb="FFFCFCFF"/>
      </colorScale>
    </cfRule>
  </conditionalFormatting>
  <conditionalFormatting sqref="AV68:AV69">
    <cfRule type="dataBar" priority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{C992CC73-1491-481F-A03E-E910014CF407}</x14:id>
        </ext>
      </extLst>
    </cfRule>
  </conditionalFormatting>
  <conditionalFormatting sqref="BC68:BC69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{51E2E3B8-9202-4BDB-AA55-7BDC8A90D6E2}</x14:id>
        </ext>
      </extLst>
    </cfRule>
  </conditionalFormatting>
  <conditionalFormatting sqref="BC68:BC69">
    <cfRule type="colorScale" priority="9">
      <colorScale>
        <cfvo type="min"/>
        <cfvo type="max"/>
        <color rgb="FFF8696B"/>
        <color rgb="FFFCFCFF"/>
      </colorScale>
    </cfRule>
  </conditionalFormatting>
  <conditionalFormatting sqref="AW68:BB69">
    <cfRule type="cellIs" dxfId="115" priority="8" operator="lessThan">
      <formula>0</formula>
    </cfRule>
  </conditionalFormatting>
  <conditionalFormatting sqref="W68:W69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{F7B6202A-E1CC-42AF-B175-1102DFF7AA1F}</x14:id>
        </ext>
      </extLst>
    </cfRule>
  </conditionalFormatting>
  <conditionalFormatting sqref="AD70:AD76">
    <cfRule type="dataBar" priority="14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{D6D434D1-50A9-4D77-9B1D-5F92295BB3DC}</x14:id>
        </ext>
      </extLst>
    </cfRule>
  </conditionalFormatting>
  <conditionalFormatting sqref="AD70:AD76">
    <cfRule type="colorScale" priority="143">
      <colorScale>
        <cfvo type="min"/>
        <cfvo type="max"/>
        <color rgb="FFF8696B"/>
        <color rgb="FFFCFCFF"/>
      </colorScale>
    </cfRule>
  </conditionalFormatting>
  <conditionalFormatting sqref="AV70:AV76">
    <cfRule type="dataBar" priority="14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{71D8A312-F478-41E3-8FFF-8B662F933812}</x14:id>
        </ext>
      </extLst>
    </cfRule>
  </conditionalFormatting>
  <conditionalFormatting sqref="BC70:BC76">
    <cfRule type="dataBar" priority="14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{69EE410F-7A6E-4F85-83B2-DD63F6BFE53A}</x14:id>
        </ext>
      </extLst>
    </cfRule>
  </conditionalFormatting>
  <conditionalFormatting sqref="BC70:BC76">
    <cfRule type="colorScale" priority="146">
      <colorScale>
        <cfvo type="min"/>
        <cfvo type="max"/>
        <color rgb="FFF8696B"/>
        <color rgb="FFFCFCFF"/>
      </colorScale>
    </cfRule>
  </conditionalFormatting>
  <conditionalFormatting sqref="AD99:AD100">
    <cfRule type="dataBar" priority="15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{D05BF6F6-8BB6-416B-B432-8F5083DD40F2}</x14:id>
        </ext>
      </extLst>
    </cfRule>
  </conditionalFormatting>
  <conditionalFormatting sqref="AD99:AD100">
    <cfRule type="colorScale" priority="155">
      <colorScale>
        <cfvo type="min"/>
        <cfvo type="max"/>
        <color rgb="FFF8696B"/>
        <color rgb="FFFCFCFF"/>
      </colorScale>
    </cfRule>
  </conditionalFormatting>
  <conditionalFormatting sqref="AV99:AV100">
    <cfRule type="dataBar" priority="15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{F3375924-809E-48DB-8993-AF2D14B34CC1}</x14:id>
        </ext>
      </extLst>
    </cfRule>
  </conditionalFormatting>
  <conditionalFormatting sqref="BC99:BC100">
    <cfRule type="dataBar" priority="15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{68CFA639-9498-4543-BD51-5625F32187F1}</x14:id>
        </ext>
      </extLst>
    </cfRule>
  </conditionalFormatting>
  <conditionalFormatting sqref="BC99:BC100">
    <cfRule type="colorScale" priority="158">
      <colorScale>
        <cfvo type="min"/>
        <cfvo type="max"/>
        <color rgb="FFF8696B"/>
        <color rgb="FFFCFCFF"/>
      </colorScale>
    </cfRule>
  </conditionalFormatting>
  <conditionalFormatting sqref="AD78:AD91">
    <cfRule type="dataBar" priority="22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{6B66FA0E-0497-489F-8FFB-E80AC8FDC7E8}</x14:id>
        </ext>
      </extLst>
    </cfRule>
  </conditionalFormatting>
  <conditionalFormatting sqref="AD78:AD91">
    <cfRule type="colorScale" priority="227">
      <colorScale>
        <cfvo type="min"/>
        <cfvo type="max"/>
        <color rgb="FFF8696B"/>
        <color rgb="FFFCFCFF"/>
      </colorScale>
    </cfRule>
  </conditionalFormatting>
  <conditionalFormatting sqref="AD97">
    <cfRule type="dataBar" priority="24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{C74FE540-51FC-4782-88F7-740E16029407}</x14:id>
        </ext>
      </extLst>
    </cfRule>
  </conditionalFormatting>
  <conditionalFormatting sqref="AD97">
    <cfRule type="colorScale" priority="244">
      <colorScale>
        <cfvo type="min"/>
        <cfvo type="max"/>
        <color rgb="FFF8696B"/>
        <color rgb="FFFCFCFF"/>
      </colorScale>
    </cfRule>
  </conditionalFormatting>
  <conditionalFormatting sqref="AV97">
    <cfRule type="dataBar" priority="24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{02410260-7AB6-4CBB-907D-61A52DABC69A}</x14:id>
        </ext>
      </extLst>
    </cfRule>
  </conditionalFormatting>
  <conditionalFormatting sqref="BC97">
    <cfRule type="dataBar" priority="24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{27D719D7-B85E-4B90-A948-31A225AB11DD}</x14:id>
        </ext>
      </extLst>
    </cfRule>
  </conditionalFormatting>
  <conditionalFormatting sqref="BC97">
    <cfRule type="colorScale" priority="247">
      <colorScale>
        <cfvo type="min"/>
        <cfvo type="max"/>
        <color rgb="FFF8696B"/>
        <color rgb="FFFCFCFF"/>
      </colorScale>
    </cfRule>
  </conditionalFormatting>
  <conditionalFormatting sqref="W94:W104 W21:W67 W70:W92">
    <cfRule type="dataBar" priority="24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{77C28D96-4789-4DF0-8757-5EF3F5B015A8}</x14:id>
        </ext>
      </extLst>
    </cfRule>
  </conditionalFormatting>
  <conditionalFormatting sqref="AV78:AV91">
    <cfRule type="dataBar" priority="25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{C6EBC4FA-58B8-45CE-A342-F340311D93BD}</x14:id>
        </ext>
      </extLst>
    </cfRule>
  </conditionalFormatting>
  <conditionalFormatting sqref="BC78:BC91">
    <cfRule type="dataBar" priority="25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{B02C97F5-5399-4338-915E-4695E855D092}</x14:id>
        </ext>
      </extLst>
    </cfRule>
  </conditionalFormatting>
  <conditionalFormatting sqref="BC78:BC91">
    <cfRule type="colorScale" priority="258">
      <colorScale>
        <cfvo type="min"/>
        <cfvo type="max"/>
        <color rgb="FFF8696B"/>
        <color rgb="FFFCFCFF"/>
      </colorScale>
    </cfRule>
  </conditionalFormatting>
  <pageMargins left="0.58333330000000005" right="0.58333330000000005" top="0.5" bottom="0.46666669999999999" header="0" footer="0"/>
  <pageSetup paperSize="8" scale="91" fitToHeight="100" orientation="landscape" blackAndWhite="1" r:id="rId1"/>
  <headerFooter>
    <oddFooter>&amp;CStrana &amp;P z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448FF5-1787-4DC4-B839-252E1C28644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W105:W1048576 W1:W20</xm:sqref>
        </x14:conditionalFormatting>
        <x14:conditionalFormatting xmlns:xm="http://schemas.microsoft.com/office/excel/2006/main">
          <x14:cfRule type="dataBar" id="{ACAB2D30-FC05-4EC6-9EB9-A1EAEC0ED83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AD21</xm:sqref>
        </x14:conditionalFormatting>
        <x14:conditionalFormatting xmlns:xm="http://schemas.microsoft.com/office/excel/2006/main">
          <x14:cfRule type="dataBar" id="{2DC429EC-4FC4-4F5E-A183-54D280532F8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AD22:AD29</xm:sqref>
        </x14:conditionalFormatting>
        <x14:conditionalFormatting xmlns:xm="http://schemas.microsoft.com/office/excel/2006/main">
          <x14:cfRule type="dataBar" id="{CDE2E9E4-8464-4E69-98C4-B7FF3B7A7B5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AD31:AD42</xm:sqref>
        </x14:conditionalFormatting>
        <x14:conditionalFormatting xmlns:xm="http://schemas.microsoft.com/office/excel/2006/main">
          <x14:cfRule type="dataBar" id="{81275500-6FC8-4E10-8763-60A7B2A48D1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AD44</xm:sqref>
        </x14:conditionalFormatting>
        <x14:conditionalFormatting xmlns:xm="http://schemas.microsoft.com/office/excel/2006/main">
          <x14:cfRule type="dataBar" id="{EB6374EB-3AE7-4A78-9053-48BAD1D8F36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AD47:AD50</xm:sqref>
        </x14:conditionalFormatting>
        <x14:conditionalFormatting xmlns:xm="http://schemas.microsoft.com/office/excel/2006/main">
          <x14:cfRule type="dataBar" id="{C20481B6-296C-4F11-BA25-4546A75865A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AD52:AD54</xm:sqref>
        </x14:conditionalFormatting>
        <x14:conditionalFormatting xmlns:xm="http://schemas.microsoft.com/office/excel/2006/main">
          <x14:cfRule type="dataBar" id="{31ED6382-B4B5-4953-A938-E53B806DECB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AD56:AD59</xm:sqref>
        </x14:conditionalFormatting>
        <x14:conditionalFormatting xmlns:xm="http://schemas.microsoft.com/office/excel/2006/main">
          <x14:cfRule type="dataBar" id="{49CADEEE-6565-442F-B9C7-CA8B0A3B785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AD61:AD63</xm:sqref>
        </x14:conditionalFormatting>
        <x14:conditionalFormatting xmlns:xm="http://schemas.microsoft.com/office/excel/2006/main">
          <x14:cfRule type="dataBar" id="{25B189BC-FFBB-4145-B681-E528AF25C9C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AD94</xm:sqref>
        </x14:conditionalFormatting>
        <x14:conditionalFormatting xmlns:xm="http://schemas.microsoft.com/office/excel/2006/main">
          <x14:cfRule type="dataBar" id="{DBA60F25-C032-48A7-8322-CB24A87AAEE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AD95</xm:sqref>
        </x14:conditionalFormatting>
        <x14:conditionalFormatting xmlns:xm="http://schemas.microsoft.com/office/excel/2006/main">
          <x14:cfRule type="dataBar" id="{038DDA04-80F8-4EDE-B8F8-90E12F2B691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AD102:AD104</xm:sqref>
        </x14:conditionalFormatting>
        <x14:conditionalFormatting xmlns:xm="http://schemas.microsoft.com/office/excel/2006/main">
          <x14:cfRule type="dataBar" id="{7139839E-6E0B-4457-BFA7-40B51A09D3F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AV21:AV29</xm:sqref>
        </x14:conditionalFormatting>
        <x14:conditionalFormatting xmlns:xm="http://schemas.microsoft.com/office/excel/2006/main">
          <x14:cfRule type="dataBar" id="{3B6EB679-FD20-4FE0-AB84-87581ACF83C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AV31:AV42</xm:sqref>
        </x14:conditionalFormatting>
        <x14:conditionalFormatting xmlns:xm="http://schemas.microsoft.com/office/excel/2006/main">
          <x14:cfRule type="dataBar" id="{B908D8BA-AB93-4E41-88A5-6811013B019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AV44</xm:sqref>
        </x14:conditionalFormatting>
        <x14:conditionalFormatting xmlns:xm="http://schemas.microsoft.com/office/excel/2006/main">
          <x14:cfRule type="dataBar" id="{DBE08009-3013-4292-BEC2-FA1F9206CA3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AV47:AV50</xm:sqref>
        </x14:conditionalFormatting>
        <x14:conditionalFormatting xmlns:xm="http://schemas.microsoft.com/office/excel/2006/main">
          <x14:cfRule type="dataBar" id="{BA23F51C-2E93-41AC-B3BE-E5EE1710FF5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AV52:AV54</xm:sqref>
        </x14:conditionalFormatting>
        <x14:conditionalFormatting xmlns:xm="http://schemas.microsoft.com/office/excel/2006/main">
          <x14:cfRule type="dataBar" id="{1F99A3EF-4067-4847-96CE-58BBB79D551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AV56:AV59</xm:sqref>
        </x14:conditionalFormatting>
        <x14:conditionalFormatting xmlns:xm="http://schemas.microsoft.com/office/excel/2006/main">
          <x14:cfRule type="dataBar" id="{20FAD5F8-AD1F-402C-91D3-654DEB281D6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AV61:AV63</xm:sqref>
        </x14:conditionalFormatting>
        <x14:conditionalFormatting xmlns:xm="http://schemas.microsoft.com/office/excel/2006/main">
          <x14:cfRule type="dataBar" id="{CEBF5964-B369-4439-8C4E-D2BFE49F052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AV94:AV95</xm:sqref>
        </x14:conditionalFormatting>
        <x14:conditionalFormatting xmlns:xm="http://schemas.microsoft.com/office/excel/2006/main">
          <x14:cfRule type="dataBar" id="{541EAF39-B38C-47B5-B1B6-14D059B20D9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AV102:AV104</xm:sqref>
        </x14:conditionalFormatting>
        <x14:conditionalFormatting xmlns:xm="http://schemas.microsoft.com/office/excel/2006/main">
          <x14:cfRule type="dataBar" id="{870EAAB7-16F4-4A53-A085-C803BC762FE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BC21:BC29</xm:sqref>
        </x14:conditionalFormatting>
        <x14:conditionalFormatting xmlns:xm="http://schemas.microsoft.com/office/excel/2006/main">
          <x14:cfRule type="dataBar" id="{F96EB374-E412-4DDA-A120-74CF33B92E2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BC31:BC42</xm:sqref>
        </x14:conditionalFormatting>
        <x14:conditionalFormatting xmlns:xm="http://schemas.microsoft.com/office/excel/2006/main">
          <x14:cfRule type="dataBar" id="{253EC3C5-7AD6-4184-89C4-C09987E26B0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BC44</xm:sqref>
        </x14:conditionalFormatting>
        <x14:conditionalFormatting xmlns:xm="http://schemas.microsoft.com/office/excel/2006/main">
          <x14:cfRule type="dataBar" id="{2BE19A8A-B76F-4B54-811E-6859B337334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BC47:BC50</xm:sqref>
        </x14:conditionalFormatting>
        <x14:conditionalFormatting xmlns:xm="http://schemas.microsoft.com/office/excel/2006/main">
          <x14:cfRule type="dataBar" id="{39236651-A97B-41B8-9600-3DCEC016166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BC52:BC54</xm:sqref>
        </x14:conditionalFormatting>
        <x14:conditionalFormatting xmlns:xm="http://schemas.microsoft.com/office/excel/2006/main">
          <x14:cfRule type="dataBar" id="{CEA06E08-30B0-49FC-93E8-A451C7738DF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BC56:BC59</xm:sqref>
        </x14:conditionalFormatting>
        <x14:conditionalFormatting xmlns:xm="http://schemas.microsoft.com/office/excel/2006/main">
          <x14:cfRule type="dataBar" id="{FFEE4794-9A68-4467-B8D4-E4E2C090C14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BC61:BC63</xm:sqref>
        </x14:conditionalFormatting>
        <x14:conditionalFormatting xmlns:xm="http://schemas.microsoft.com/office/excel/2006/main">
          <x14:cfRule type="dataBar" id="{D1AFD910-9C7F-46D9-AD66-CB9B9123398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BC94:BC95</xm:sqref>
        </x14:conditionalFormatting>
        <x14:conditionalFormatting xmlns:xm="http://schemas.microsoft.com/office/excel/2006/main">
          <x14:cfRule type="dataBar" id="{09845656-E329-4B2C-9FAD-8B6B248AD5D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BC102:BC104</xm:sqref>
        </x14:conditionalFormatting>
        <x14:conditionalFormatting xmlns:xm="http://schemas.microsoft.com/office/excel/2006/main">
          <x14:cfRule type="dataBar" id="{5F80AA82-0210-4D37-9A98-6D74527B8F8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AD93</xm:sqref>
        </x14:conditionalFormatting>
        <x14:conditionalFormatting xmlns:xm="http://schemas.microsoft.com/office/excel/2006/main">
          <x14:cfRule type="dataBar" id="{D2C57947-6533-4905-BC7E-1459189D0CE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AV93</xm:sqref>
        </x14:conditionalFormatting>
        <x14:conditionalFormatting xmlns:xm="http://schemas.microsoft.com/office/excel/2006/main">
          <x14:cfRule type="dataBar" id="{BBF3902A-A5F6-400E-99DF-69C219C5E18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BC93</xm:sqref>
        </x14:conditionalFormatting>
        <x14:conditionalFormatting xmlns:xm="http://schemas.microsoft.com/office/excel/2006/main">
          <x14:cfRule type="dataBar" id="{D50AF2D8-CD54-40DE-99C6-49A2BDB954A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W93</xm:sqref>
        </x14:conditionalFormatting>
        <x14:conditionalFormatting xmlns:xm="http://schemas.microsoft.com/office/excel/2006/main">
          <x14:cfRule type="dataBar" id="{4BD45D95-050B-4270-920A-4615079F5DA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AD68</xm:sqref>
        </x14:conditionalFormatting>
        <x14:conditionalFormatting xmlns:xm="http://schemas.microsoft.com/office/excel/2006/main">
          <x14:cfRule type="dataBar" id="{49C3EB1E-0608-4172-8F1C-719B2DA42E2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AD69</xm:sqref>
        </x14:conditionalFormatting>
        <x14:conditionalFormatting xmlns:xm="http://schemas.microsoft.com/office/excel/2006/main">
          <x14:cfRule type="dataBar" id="{C992CC73-1491-481F-A03E-E910014CF40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AV68:AV69</xm:sqref>
        </x14:conditionalFormatting>
        <x14:conditionalFormatting xmlns:xm="http://schemas.microsoft.com/office/excel/2006/main">
          <x14:cfRule type="dataBar" id="{51E2E3B8-9202-4BDB-AA55-7BDC8A90D6E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BC68:BC69</xm:sqref>
        </x14:conditionalFormatting>
        <x14:conditionalFormatting xmlns:xm="http://schemas.microsoft.com/office/excel/2006/main">
          <x14:cfRule type="dataBar" id="{F7B6202A-E1CC-42AF-B175-1102DFF7AA1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W68:W69</xm:sqref>
        </x14:conditionalFormatting>
        <x14:conditionalFormatting xmlns:xm="http://schemas.microsoft.com/office/excel/2006/main">
          <x14:cfRule type="dataBar" id="{D6D434D1-50A9-4D77-9B1D-5F92295BB3D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AD70:AD76</xm:sqref>
        </x14:conditionalFormatting>
        <x14:conditionalFormatting xmlns:xm="http://schemas.microsoft.com/office/excel/2006/main">
          <x14:cfRule type="dataBar" id="{71D8A312-F478-41E3-8FFF-8B662F93381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AV70:AV76</xm:sqref>
        </x14:conditionalFormatting>
        <x14:conditionalFormatting xmlns:xm="http://schemas.microsoft.com/office/excel/2006/main">
          <x14:cfRule type="dataBar" id="{69EE410F-7A6E-4F85-83B2-DD63F6BFE53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BC70:BC76</xm:sqref>
        </x14:conditionalFormatting>
        <x14:conditionalFormatting xmlns:xm="http://schemas.microsoft.com/office/excel/2006/main">
          <x14:cfRule type="dataBar" id="{D05BF6F6-8BB6-416B-B432-8F5083DD40F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AD99:AD100</xm:sqref>
        </x14:conditionalFormatting>
        <x14:conditionalFormatting xmlns:xm="http://schemas.microsoft.com/office/excel/2006/main">
          <x14:cfRule type="dataBar" id="{F3375924-809E-48DB-8993-AF2D14B34CC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AV99:AV100</xm:sqref>
        </x14:conditionalFormatting>
        <x14:conditionalFormatting xmlns:xm="http://schemas.microsoft.com/office/excel/2006/main">
          <x14:cfRule type="dataBar" id="{68CFA639-9498-4543-BD51-5625F32187F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BC99:BC100</xm:sqref>
        </x14:conditionalFormatting>
        <x14:conditionalFormatting xmlns:xm="http://schemas.microsoft.com/office/excel/2006/main">
          <x14:cfRule type="dataBar" id="{6B66FA0E-0497-489F-8FFB-E80AC8FDC7E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AD78:AD91</xm:sqref>
        </x14:conditionalFormatting>
        <x14:conditionalFormatting xmlns:xm="http://schemas.microsoft.com/office/excel/2006/main">
          <x14:cfRule type="dataBar" id="{C74FE540-51FC-4782-88F7-740E1602940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AD97</xm:sqref>
        </x14:conditionalFormatting>
        <x14:conditionalFormatting xmlns:xm="http://schemas.microsoft.com/office/excel/2006/main">
          <x14:cfRule type="dataBar" id="{02410260-7AB6-4CBB-907D-61A52DABC69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AV97</xm:sqref>
        </x14:conditionalFormatting>
        <x14:conditionalFormatting xmlns:xm="http://schemas.microsoft.com/office/excel/2006/main">
          <x14:cfRule type="dataBar" id="{27D719D7-B85E-4B90-A948-31A225AB11D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BC97</xm:sqref>
        </x14:conditionalFormatting>
        <x14:conditionalFormatting xmlns:xm="http://schemas.microsoft.com/office/excel/2006/main">
          <x14:cfRule type="dataBar" id="{77C28D96-4789-4DF0-8757-5EF3F5B015A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W94:W104 W21:W67 W70:W92</xm:sqref>
        </x14:conditionalFormatting>
        <x14:conditionalFormatting xmlns:xm="http://schemas.microsoft.com/office/excel/2006/main">
          <x14:cfRule type="dataBar" id="{C6EBC4FA-58B8-45CE-A342-F340311D93B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AV78:AV91</xm:sqref>
        </x14:conditionalFormatting>
        <x14:conditionalFormatting xmlns:xm="http://schemas.microsoft.com/office/excel/2006/main">
          <x14:cfRule type="dataBar" id="{B02C97F5-5399-4338-915E-4695E855D09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BC78:BC91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CY80"/>
  <sheetViews>
    <sheetView showGridLines="0" view="pageBreakPreview" zoomScaleNormal="25" zoomScaleSheetLayoutView="100" workbookViewId="0">
      <pane ySplit="1" topLeftCell="A46" activePane="bottomLeft" state="frozen"/>
      <selection pane="bottomLeft" activeCell="A57" sqref="A57:XFD58"/>
    </sheetView>
  </sheetViews>
  <sheetFormatPr defaultRowHeight="13.5" outlineLevelRow="1" outlineLevelCol="1"/>
  <cols>
    <col min="1" max="1" width="8.33203125" style="121" customWidth="1"/>
    <col min="2" max="2" width="1.6640625" style="121" customWidth="1"/>
    <col min="3" max="3" width="4.1640625" style="121" customWidth="1"/>
    <col min="4" max="4" width="4.33203125" style="121" customWidth="1"/>
    <col min="5" max="5" width="17.1640625" style="121" customWidth="1"/>
    <col min="6" max="7" width="11.1640625" style="121" customWidth="1"/>
    <col min="8" max="8" width="12.5" style="121" customWidth="1"/>
    <col min="9" max="9" width="7" style="121" customWidth="1"/>
    <col min="10" max="10" width="5.1640625" style="121" customWidth="1"/>
    <col min="11" max="16" width="11.5" style="121" customWidth="1"/>
    <col min="17" max="30" width="11.5" style="121" hidden="1" customWidth="1" outlineLevel="1"/>
    <col min="31" max="31" width="13" style="121" bestFit="1" customWidth="1" collapsed="1"/>
    <col min="32" max="35" width="12.83203125" style="121" hidden="1" customWidth="1"/>
    <col min="36" max="36" width="18.83203125" style="121" bestFit="1" customWidth="1"/>
    <col min="37" max="41" width="18.6640625" style="121" customWidth="1"/>
    <col min="42" max="42" width="18.83203125" style="121" hidden="1" customWidth="1" outlineLevel="1"/>
    <col min="43" max="47" width="18.6640625" style="121" hidden="1" customWidth="1" outlineLevel="1"/>
    <col min="48" max="48" width="10.83203125" style="121" hidden="1" customWidth="1" outlineLevel="1"/>
    <col min="49" max="49" width="18.83203125" style="121" hidden="1" customWidth="1" outlineLevel="1"/>
    <col min="50" max="54" width="18.6640625" style="121" hidden="1" customWidth="1" outlineLevel="1"/>
    <col min="55" max="55" width="11.83203125" style="121" hidden="1" customWidth="1" outlineLevel="1"/>
    <col min="56" max="56" width="1.6640625" style="121" customWidth="1" collapsed="1"/>
    <col min="57" max="57" width="11.33203125" style="121" customWidth="1"/>
    <col min="58" max="58" width="29.6640625" style="121" hidden="1" customWidth="1"/>
    <col min="59" max="59" width="16.33203125" style="121" hidden="1" customWidth="1"/>
    <col min="60" max="60" width="12.33203125" style="121" hidden="1" customWidth="1"/>
    <col min="61" max="61" width="16.33203125" style="121" hidden="1" customWidth="1"/>
    <col min="62" max="62" width="12.1640625" style="121" hidden="1" customWidth="1"/>
    <col min="63" max="63" width="15" style="121" hidden="1" customWidth="1"/>
    <col min="64" max="64" width="11" style="121" hidden="1" customWidth="1"/>
    <col min="65" max="65" width="15" style="121" hidden="1" customWidth="1"/>
    <col min="66" max="66" width="16.33203125" style="121" hidden="1" customWidth="1"/>
    <col min="67" max="67" width="15.33203125" style="121" customWidth="1"/>
    <col min="68" max="68" width="9.83203125" style="121" hidden="1" customWidth="1"/>
    <col min="69" max="69" width="16.33203125" style="121" hidden="1" customWidth="1"/>
    <col min="70" max="94" width="9.33203125" style="121"/>
    <col min="95" max="99" width="9.5" style="121" bestFit="1" customWidth="1"/>
    <col min="100" max="100" width="9.33203125" style="121"/>
    <col min="101" max="101" width="11.5" style="121" bestFit="1" customWidth="1"/>
    <col min="102" max="16384" width="9.33203125" style="121"/>
  </cols>
  <sheetData>
    <row r="4" spans="2:56" s="1" customFormat="1" ht="6.95" customHeight="1"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8"/>
    </row>
    <row r="5" spans="2:56" s="1" customFormat="1" ht="36.950000000000003" customHeight="1">
      <c r="B5" s="15"/>
      <c r="C5" s="485" t="s">
        <v>134</v>
      </c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515"/>
      <c r="AD5" s="515"/>
      <c r="AE5" s="515"/>
      <c r="AF5" s="515"/>
      <c r="AG5" s="515"/>
      <c r="AH5" s="515"/>
      <c r="AI5" s="515"/>
      <c r="AJ5" s="515"/>
      <c r="AK5" s="198"/>
      <c r="AL5" s="198"/>
      <c r="AM5" s="198"/>
      <c r="AN5" s="198"/>
      <c r="AO5" s="198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17"/>
    </row>
    <row r="6" spans="2:56" s="1" customFormat="1" ht="6.95" customHeight="1">
      <c r="B6" s="15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254"/>
      <c r="R6" s="254"/>
      <c r="S6" s="254"/>
      <c r="T6" s="254"/>
      <c r="U6" s="254"/>
      <c r="V6" s="254"/>
      <c r="W6" s="274"/>
      <c r="X6" s="274"/>
      <c r="Y6" s="274"/>
      <c r="Z6" s="274"/>
      <c r="AA6" s="274"/>
      <c r="AB6" s="274"/>
      <c r="AC6" s="274"/>
      <c r="AD6" s="274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17"/>
    </row>
    <row r="7" spans="2:56" s="1" customFormat="1" ht="30" customHeight="1">
      <c r="B7" s="15"/>
      <c r="C7" s="199" t="s">
        <v>3</v>
      </c>
      <c r="D7" s="198"/>
      <c r="E7" s="198"/>
      <c r="F7" s="513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6"/>
      <c r="S7" s="516"/>
      <c r="T7" s="516"/>
      <c r="U7" s="516"/>
      <c r="V7" s="516"/>
      <c r="W7" s="516"/>
      <c r="X7" s="516"/>
      <c r="Y7" s="516"/>
      <c r="Z7" s="516"/>
      <c r="AA7" s="516"/>
      <c r="AB7" s="516"/>
      <c r="AC7" s="516"/>
      <c r="AD7" s="516"/>
      <c r="AE7" s="516"/>
      <c r="AF7" s="516"/>
      <c r="AG7" s="516"/>
      <c r="AH7" s="516"/>
      <c r="AI7" s="516"/>
      <c r="AJ7" s="516"/>
      <c r="AK7" s="199"/>
      <c r="AL7" s="199"/>
      <c r="AM7" s="199"/>
      <c r="AN7" s="199"/>
      <c r="AO7" s="199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17"/>
    </row>
    <row r="8" spans="2:56" ht="30" customHeight="1">
      <c r="B8" s="10"/>
      <c r="C8" s="199" t="s">
        <v>121</v>
      </c>
      <c r="D8" s="200"/>
      <c r="E8" s="200"/>
      <c r="F8" s="513" t="s">
        <v>122</v>
      </c>
      <c r="G8" s="517"/>
      <c r="H8" s="517"/>
      <c r="I8" s="517"/>
      <c r="J8" s="517"/>
      <c r="K8" s="517"/>
      <c r="L8" s="517"/>
      <c r="M8" s="517"/>
      <c r="N8" s="517"/>
      <c r="O8" s="517"/>
      <c r="P8" s="517"/>
      <c r="Q8" s="517"/>
      <c r="R8" s="517"/>
      <c r="S8" s="517"/>
      <c r="T8" s="517"/>
      <c r="U8" s="517"/>
      <c r="V8" s="517"/>
      <c r="W8" s="517"/>
      <c r="X8" s="517"/>
      <c r="Y8" s="517"/>
      <c r="Z8" s="517"/>
      <c r="AA8" s="517"/>
      <c r="AB8" s="517"/>
      <c r="AC8" s="517"/>
      <c r="AD8" s="517"/>
      <c r="AE8" s="517"/>
      <c r="AF8" s="517"/>
      <c r="AG8" s="517"/>
      <c r="AH8" s="517"/>
      <c r="AI8" s="517"/>
      <c r="AJ8" s="517"/>
      <c r="AK8" s="200"/>
      <c r="AL8" s="200"/>
      <c r="AM8" s="200"/>
      <c r="AN8" s="200"/>
      <c r="AO8" s="200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11"/>
    </row>
    <row r="9" spans="2:56" s="1" customFormat="1" ht="36.950000000000003" customHeight="1">
      <c r="B9" s="15"/>
      <c r="C9" s="33" t="s">
        <v>123</v>
      </c>
      <c r="D9" s="198"/>
      <c r="E9" s="198"/>
      <c r="F9" s="487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515"/>
      <c r="R9" s="515"/>
      <c r="S9" s="515"/>
      <c r="T9" s="515"/>
      <c r="U9" s="515"/>
      <c r="V9" s="515"/>
      <c r="W9" s="515"/>
      <c r="X9" s="515"/>
      <c r="Y9" s="515"/>
      <c r="Z9" s="515"/>
      <c r="AA9" s="515"/>
      <c r="AB9" s="515"/>
      <c r="AC9" s="515"/>
      <c r="AD9" s="515"/>
      <c r="AE9" s="515"/>
      <c r="AF9" s="515"/>
      <c r="AG9" s="515"/>
      <c r="AH9" s="515"/>
      <c r="AI9" s="515"/>
      <c r="AJ9" s="515"/>
      <c r="AK9" s="198"/>
      <c r="AL9" s="198"/>
      <c r="AM9" s="198"/>
      <c r="AN9" s="198"/>
      <c r="AO9" s="198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17"/>
    </row>
    <row r="10" spans="2:56" s="1" customFormat="1" ht="6.95" customHeight="1">
      <c r="B10" s="15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254"/>
      <c r="R10" s="254"/>
      <c r="S10" s="254"/>
      <c r="T10" s="254"/>
      <c r="U10" s="254"/>
      <c r="V10" s="254"/>
      <c r="W10" s="274"/>
      <c r="X10" s="274"/>
      <c r="Y10" s="274"/>
      <c r="Z10" s="274"/>
      <c r="AA10" s="274"/>
      <c r="AB10" s="274"/>
      <c r="AC10" s="274"/>
      <c r="AD10" s="274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17"/>
    </row>
    <row r="11" spans="2:56" s="1" customFormat="1" ht="18" customHeight="1">
      <c r="B11" s="15"/>
      <c r="C11" s="199" t="s">
        <v>4</v>
      </c>
      <c r="D11" s="198"/>
      <c r="E11" s="198"/>
      <c r="F11" s="195"/>
      <c r="G11" s="198"/>
      <c r="H11" s="198"/>
      <c r="I11" s="198"/>
      <c r="J11" s="198"/>
      <c r="K11" s="199"/>
      <c r="L11" s="199"/>
      <c r="M11" s="199"/>
      <c r="N11" s="199"/>
      <c r="O11" s="199"/>
      <c r="P11" s="199"/>
      <c r="Q11" s="255"/>
      <c r="R11" s="255"/>
      <c r="S11" s="255"/>
      <c r="T11" s="255"/>
      <c r="U11" s="255"/>
      <c r="V11" s="255"/>
      <c r="W11" s="275"/>
      <c r="X11" s="275"/>
      <c r="Y11" s="275"/>
      <c r="Z11" s="275"/>
      <c r="AA11" s="275"/>
      <c r="AB11" s="275"/>
      <c r="AC11" s="275"/>
      <c r="AD11" s="275"/>
      <c r="AE11" s="198"/>
      <c r="AF11" s="198"/>
      <c r="AG11" s="198"/>
      <c r="AH11" s="198"/>
      <c r="AI11" s="198"/>
      <c r="AJ11" s="197"/>
      <c r="AK11" s="197"/>
      <c r="AL11" s="197"/>
      <c r="AM11" s="197"/>
      <c r="AN11" s="197"/>
      <c r="AO11" s="197"/>
      <c r="AP11" s="273"/>
      <c r="AQ11" s="273"/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/>
      <c r="BC11" s="273"/>
      <c r="BD11" s="17"/>
    </row>
    <row r="12" spans="2:56" s="1" customFormat="1" ht="6.95" customHeight="1">
      <c r="B12" s="15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254"/>
      <c r="R12" s="254"/>
      <c r="S12" s="254"/>
      <c r="T12" s="254"/>
      <c r="U12" s="254"/>
      <c r="V12" s="254"/>
      <c r="W12" s="274"/>
      <c r="X12" s="274"/>
      <c r="Y12" s="274"/>
      <c r="Z12" s="274"/>
      <c r="AA12" s="274"/>
      <c r="AB12" s="274"/>
      <c r="AC12" s="274"/>
      <c r="AD12" s="274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17"/>
    </row>
    <row r="13" spans="2:56" s="1" customFormat="1" ht="15">
      <c r="B13" s="15"/>
      <c r="C13" s="199" t="s">
        <v>6</v>
      </c>
      <c r="D13" s="198"/>
      <c r="E13" s="198"/>
      <c r="F13" s="195"/>
      <c r="G13" s="198"/>
      <c r="H13" s="198"/>
      <c r="I13" s="198"/>
      <c r="J13" s="198"/>
      <c r="K13" s="199"/>
      <c r="L13" s="199"/>
      <c r="M13" s="199"/>
      <c r="N13" s="199"/>
      <c r="O13" s="199"/>
      <c r="P13" s="199"/>
      <c r="Q13" s="255"/>
      <c r="R13" s="255"/>
      <c r="S13" s="255"/>
      <c r="T13" s="255"/>
      <c r="U13" s="255"/>
      <c r="V13" s="255"/>
      <c r="W13" s="275"/>
      <c r="X13" s="275"/>
      <c r="Y13" s="275"/>
      <c r="Z13" s="275"/>
      <c r="AA13" s="275"/>
      <c r="AB13" s="275"/>
      <c r="AC13" s="275"/>
      <c r="AD13" s="275"/>
      <c r="AE13" s="198"/>
      <c r="AF13" s="198"/>
      <c r="AG13" s="198"/>
      <c r="AH13" s="198"/>
      <c r="AI13" s="198"/>
      <c r="AJ13" s="195"/>
      <c r="AK13" s="195"/>
      <c r="AL13" s="195"/>
      <c r="AM13" s="195"/>
      <c r="AN13" s="195"/>
      <c r="AO13" s="195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17"/>
    </row>
    <row r="14" spans="2:56" s="1" customFormat="1" ht="14.45" customHeight="1">
      <c r="B14" s="15"/>
      <c r="C14" s="199" t="s">
        <v>7</v>
      </c>
      <c r="D14" s="198"/>
      <c r="E14" s="198"/>
      <c r="F14" s="195"/>
      <c r="G14" s="198"/>
      <c r="H14" s="198"/>
      <c r="I14" s="198"/>
      <c r="J14" s="198"/>
      <c r="K14" s="199"/>
      <c r="L14" s="199"/>
      <c r="M14" s="199"/>
      <c r="N14" s="199"/>
      <c r="O14" s="199"/>
      <c r="P14" s="199"/>
      <c r="Q14" s="255"/>
      <c r="R14" s="255"/>
      <c r="S14" s="255"/>
      <c r="T14" s="255"/>
      <c r="U14" s="255"/>
      <c r="V14" s="255"/>
      <c r="W14" s="275"/>
      <c r="X14" s="275"/>
      <c r="Y14" s="275"/>
      <c r="Z14" s="275"/>
      <c r="AA14" s="275"/>
      <c r="AB14" s="275"/>
      <c r="AC14" s="275"/>
      <c r="AD14" s="275"/>
      <c r="AE14" s="198"/>
      <c r="AF14" s="198"/>
      <c r="AG14" s="198"/>
      <c r="AH14" s="198"/>
      <c r="AI14" s="198"/>
      <c r="AJ14" s="195"/>
      <c r="AK14" s="195"/>
      <c r="AL14" s="195"/>
      <c r="AM14" s="195"/>
      <c r="AN14" s="195"/>
      <c r="AO14" s="195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17"/>
    </row>
    <row r="15" spans="2:56" s="1" customFormat="1" ht="14.45" customHeight="1">
      <c r="B15" s="15"/>
      <c r="C15" s="255"/>
      <c r="D15" s="254"/>
      <c r="E15" s="254"/>
      <c r="F15" s="252"/>
      <c r="G15" s="254"/>
      <c r="H15" s="254"/>
      <c r="I15" s="254"/>
      <c r="J15" s="254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75"/>
      <c r="X15" s="275"/>
      <c r="Y15" s="275"/>
      <c r="Z15" s="275"/>
      <c r="AA15" s="275"/>
      <c r="AB15" s="275"/>
      <c r="AC15" s="275"/>
      <c r="AD15" s="275"/>
      <c r="AE15" s="254"/>
      <c r="AF15" s="254"/>
      <c r="AG15" s="254"/>
      <c r="AH15" s="254"/>
      <c r="AI15" s="254"/>
      <c r="AJ15" s="252"/>
      <c r="AK15" s="252"/>
      <c r="AL15" s="252"/>
      <c r="AM15" s="252"/>
      <c r="AN15" s="252"/>
      <c r="AO15" s="252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17"/>
    </row>
    <row r="16" spans="2:56" s="1" customFormat="1" ht="16.5" customHeight="1">
      <c r="B16" s="15"/>
      <c r="C16" s="198"/>
      <c r="D16" s="198"/>
      <c r="E16" s="198"/>
      <c r="F16" s="198"/>
      <c r="G16" s="198"/>
      <c r="H16" s="198"/>
      <c r="I16" s="198"/>
      <c r="J16" s="198"/>
      <c r="K16" s="512" t="s">
        <v>1408</v>
      </c>
      <c r="L16" s="512"/>
      <c r="M16" s="512"/>
      <c r="N16" s="512"/>
      <c r="O16" s="512"/>
      <c r="P16" s="512"/>
      <c r="Q16" s="497" t="s">
        <v>1409</v>
      </c>
      <c r="R16" s="497"/>
      <c r="S16" s="497"/>
      <c r="T16" s="497"/>
      <c r="U16" s="497"/>
      <c r="V16" s="497"/>
      <c r="W16" s="497"/>
      <c r="X16" s="496" t="s">
        <v>1410</v>
      </c>
      <c r="Y16" s="496"/>
      <c r="Z16" s="496"/>
      <c r="AA16" s="496"/>
      <c r="AB16" s="496"/>
      <c r="AC16" s="496"/>
      <c r="AD16" s="496"/>
      <c r="AE16" s="198"/>
      <c r="AF16" s="198"/>
      <c r="AG16" s="198"/>
      <c r="AH16" s="198"/>
      <c r="AI16" s="198"/>
      <c r="AJ16" s="512" t="s">
        <v>1408</v>
      </c>
      <c r="AK16" s="512"/>
      <c r="AL16" s="512"/>
      <c r="AM16" s="512"/>
      <c r="AN16" s="512"/>
      <c r="AO16" s="512"/>
      <c r="AP16" s="497" t="s">
        <v>1409</v>
      </c>
      <c r="AQ16" s="497"/>
      <c r="AR16" s="497"/>
      <c r="AS16" s="497"/>
      <c r="AT16" s="497"/>
      <c r="AU16" s="497"/>
      <c r="AV16" s="497"/>
      <c r="AW16" s="496" t="s">
        <v>1410</v>
      </c>
      <c r="AX16" s="496"/>
      <c r="AY16" s="496"/>
      <c r="AZ16" s="496"/>
      <c r="BA16" s="496"/>
      <c r="BB16" s="496"/>
      <c r="BC16" s="496"/>
      <c r="BD16" s="17"/>
    </row>
    <row r="17" spans="2:103" s="6" customFormat="1" ht="29.25" customHeight="1">
      <c r="B17" s="75"/>
      <c r="C17" s="76" t="s">
        <v>135</v>
      </c>
      <c r="D17" s="196" t="s">
        <v>136</v>
      </c>
      <c r="E17" s="196" t="s">
        <v>14</v>
      </c>
      <c r="F17" s="511" t="s">
        <v>137</v>
      </c>
      <c r="G17" s="511"/>
      <c r="H17" s="511"/>
      <c r="I17" s="511"/>
      <c r="J17" s="196" t="s">
        <v>138</v>
      </c>
      <c r="K17" s="196" t="s">
        <v>1089</v>
      </c>
      <c r="L17" s="196" t="s">
        <v>1090</v>
      </c>
      <c r="M17" s="196" t="s">
        <v>1091</v>
      </c>
      <c r="N17" s="196" t="s">
        <v>1092</v>
      </c>
      <c r="O17" s="196" t="s">
        <v>1093</v>
      </c>
      <c r="P17" s="196" t="s">
        <v>1106</v>
      </c>
      <c r="Q17" s="253" t="s">
        <v>1089</v>
      </c>
      <c r="R17" s="253" t="s">
        <v>1090</v>
      </c>
      <c r="S17" s="253" t="s">
        <v>1091</v>
      </c>
      <c r="T17" s="253" t="s">
        <v>1092</v>
      </c>
      <c r="U17" s="253" t="s">
        <v>1093</v>
      </c>
      <c r="V17" s="253" t="s">
        <v>1106</v>
      </c>
      <c r="W17" s="272" t="s">
        <v>883</v>
      </c>
      <c r="X17" s="272" t="s">
        <v>1089</v>
      </c>
      <c r="Y17" s="272" t="s">
        <v>1090</v>
      </c>
      <c r="Z17" s="272" t="s">
        <v>1091</v>
      </c>
      <c r="AA17" s="272" t="s">
        <v>1092</v>
      </c>
      <c r="AB17" s="272" t="s">
        <v>1093</v>
      </c>
      <c r="AC17" s="272" t="s">
        <v>1106</v>
      </c>
      <c r="AD17" s="272" t="s">
        <v>883</v>
      </c>
      <c r="AE17" s="202" t="s">
        <v>1095</v>
      </c>
      <c r="AF17" s="202" t="s">
        <v>1096</v>
      </c>
      <c r="AG17" s="202" t="s">
        <v>1098</v>
      </c>
      <c r="AH17" s="202" t="s">
        <v>1100</v>
      </c>
      <c r="AI17" s="202" t="s">
        <v>1102</v>
      </c>
      <c r="AJ17" s="196" t="s">
        <v>1094</v>
      </c>
      <c r="AK17" s="196" t="s">
        <v>1097</v>
      </c>
      <c r="AL17" s="196" t="s">
        <v>1099</v>
      </c>
      <c r="AM17" s="196" t="s">
        <v>1101</v>
      </c>
      <c r="AN17" s="196" t="s">
        <v>1103</v>
      </c>
      <c r="AO17" s="291" t="s">
        <v>1107</v>
      </c>
      <c r="AP17" s="272" t="s">
        <v>1094</v>
      </c>
      <c r="AQ17" s="272" t="s">
        <v>1097</v>
      </c>
      <c r="AR17" s="272" t="s">
        <v>1099</v>
      </c>
      <c r="AS17" s="272" t="s">
        <v>1101</v>
      </c>
      <c r="AT17" s="272" t="s">
        <v>1103</v>
      </c>
      <c r="AU17" s="272" t="s">
        <v>1107</v>
      </c>
      <c r="AV17" s="406" t="s">
        <v>883</v>
      </c>
      <c r="AW17" s="272" t="s">
        <v>1094</v>
      </c>
      <c r="AX17" s="272" t="s">
        <v>1097</v>
      </c>
      <c r="AY17" s="272" t="s">
        <v>1099</v>
      </c>
      <c r="AZ17" s="272" t="s">
        <v>1101</v>
      </c>
      <c r="BA17" s="272" t="s">
        <v>1103</v>
      </c>
      <c r="BB17" s="272" t="s">
        <v>1107</v>
      </c>
      <c r="BC17" s="406" t="s">
        <v>883</v>
      </c>
      <c r="BD17" s="78"/>
      <c r="BE17" s="6" t="s">
        <v>950</v>
      </c>
      <c r="BF17" s="39" t="s">
        <v>141</v>
      </c>
      <c r="BG17" s="40" t="s">
        <v>10</v>
      </c>
      <c r="BH17" s="40" t="s">
        <v>142</v>
      </c>
      <c r="BI17" s="40" t="s">
        <v>143</v>
      </c>
      <c r="BJ17" s="40" t="s">
        <v>144</v>
      </c>
      <c r="BK17" s="40" t="s">
        <v>145</v>
      </c>
      <c r="BL17" s="40" t="s">
        <v>146</v>
      </c>
      <c r="BM17" s="41" t="s">
        <v>147</v>
      </c>
      <c r="BO17" s="6" t="s">
        <v>136</v>
      </c>
    </row>
    <row r="18" spans="2:103" s="1" customFormat="1" ht="29.25" customHeight="1">
      <c r="B18" s="15"/>
      <c r="C18" s="43" t="s">
        <v>73</v>
      </c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254"/>
      <c r="R18" s="254"/>
      <c r="S18" s="254"/>
      <c r="T18" s="254"/>
      <c r="U18" s="254"/>
      <c r="V18" s="254"/>
      <c r="W18" s="274"/>
      <c r="X18" s="274"/>
      <c r="Y18" s="274"/>
      <c r="Z18" s="274"/>
      <c r="AA18" s="274"/>
      <c r="AB18" s="274"/>
      <c r="AC18" s="274"/>
      <c r="AD18" s="274"/>
      <c r="AE18" s="198"/>
      <c r="AF18" s="198"/>
      <c r="AG18" s="198"/>
      <c r="AH18" s="198"/>
      <c r="AI18" s="198"/>
      <c r="AJ18" s="129">
        <f t="shared" ref="AJ18:AO18" si="0">AJ19+AJ29</f>
        <v>10937.622000000001</v>
      </c>
      <c r="AK18" s="129">
        <f t="shared" si="0"/>
        <v>10331.562000000002</v>
      </c>
      <c r="AL18" s="129">
        <f t="shared" si="0"/>
        <v>15306.834000000001</v>
      </c>
      <c r="AM18" s="129">
        <f t="shared" si="0"/>
        <v>14862.964</v>
      </c>
      <c r="AN18" s="129">
        <f t="shared" si="0"/>
        <v>17659.808999999997</v>
      </c>
      <c r="AO18" s="430">
        <f t="shared" si="0"/>
        <v>69098.791000000012</v>
      </c>
      <c r="AP18" s="129">
        <f t="shared" ref="AP18:AU18" si="1">AP19+AP29</f>
        <v>0</v>
      </c>
      <c r="AQ18" s="129">
        <f t="shared" si="1"/>
        <v>0</v>
      </c>
      <c r="AR18" s="129">
        <f t="shared" si="1"/>
        <v>0</v>
      </c>
      <c r="AS18" s="129">
        <f t="shared" si="1"/>
        <v>0</v>
      </c>
      <c r="AT18" s="129">
        <f t="shared" si="1"/>
        <v>0</v>
      </c>
      <c r="AU18" s="129">
        <f t="shared" si="1"/>
        <v>0</v>
      </c>
      <c r="AV18" s="435">
        <f>AU18/AO18</f>
        <v>0</v>
      </c>
      <c r="AW18" s="129">
        <f t="shared" ref="AW18:BB18" si="2">AW19+AW29</f>
        <v>10937.622000000001</v>
      </c>
      <c r="AX18" s="129">
        <f t="shared" si="2"/>
        <v>10331.562000000002</v>
      </c>
      <c r="AY18" s="129">
        <f t="shared" si="2"/>
        <v>15306.834000000001</v>
      </c>
      <c r="AZ18" s="129">
        <f t="shared" si="2"/>
        <v>14862.964</v>
      </c>
      <c r="BA18" s="129">
        <f t="shared" si="2"/>
        <v>17659.808999999997</v>
      </c>
      <c r="BB18" s="129">
        <f t="shared" si="2"/>
        <v>69098.791000000012</v>
      </c>
      <c r="BC18" s="435">
        <f>BB18/AO18</f>
        <v>1</v>
      </c>
      <c r="BD18" s="17"/>
      <c r="BF18" s="42"/>
      <c r="BG18" s="19"/>
      <c r="BH18" s="19"/>
      <c r="BI18" s="79">
        <f>BI19+BI29+BI56</f>
        <v>0</v>
      </c>
      <c r="BJ18" s="19"/>
      <c r="BK18" s="79">
        <f>BK19+BK29+BK56</f>
        <v>0</v>
      </c>
      <c r="BL18" s="19"/>
      <c r="BM18" s="80">
        <f>BM19+BM29+BM56</f>
        <v>0</v>
      </c>
      <c r="CF18" s="9" t="s">
        <v>30</v>
      </c>
      <c r="CG18" s="9" t="s">
        <v>126</v>
      </c>
      <c r="CW18" s="81">
        <f>CW19+CW29+CW56</f>
        <v>10937.622000000001</v>
      </c>
    </row>
    <row r="19" spans="2:103" s="7" customFormat="1" ht="37.35" customHeight="1">
      <c r="B19" s="82"/>
      <c r="C19" s="83"/>
      <c r="D19" s="84" t="s">
        <v>127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130">
        <f t="shared" ref="AJ19:BB19" si="3">AJ20</f>
        <v>521.346</v>
      </c>
      <c r="AK19" s="130">
        <f t="shared" si="3"/>
        <v>521.346</v>
      </c>
      <c r="AL19" s="130">
        <f t="shared" si="3"/>
        <v>1151.4279999999999</v>
      </c>
      <c r="AM19" s="130">
        <f t="shared" si="3"/>
        <v>521.346</v>
      </c>
      <c r="AN19" s="130">
        <f t="shared" si="3"/>
        <v>0</v>
      </c>
      <c r="AO19" s="431">
        <f t="shared" si="3"/>
        <v>2715.4659999999999</v>
      </c>
      <c r="AP19" s="130">
        <f t="shared" si="3"/>
        <v>0</v>
      </c>
      <c r="AQ19" s="130">
        <f t="shared" si="3"/>
        <v>0</v>
      </c>
      <c r="AR19" s="130">
        <f t="shared" si="3"/>
        <v>0</v>
      </c>
      <c r="AS19" s="130">
        <f t="shared" si="3"/>
        <v>0</v>
      </c>
      <c r="AT19" s="130">
        <f t="shared" si="3"/>
        <v>0</v>
      </c>
      <c r="AU19" s="130">
        <f t="shared" si="3"/>
        <v>0</v>
      </c>
      <c r="AV19" s="130"/>
      <c r="AW19" s="130">
        <f t="shared" si="3"/>
        <v>521.346</v>
      </c>
      <c r="AX19" s="130">
        <f t="shared" si="3"/>
        <v>521.346</v>
      </c>
      <c r="AY19" s="130">
        <f t="shared" si="3"/>
        <v>1151.4279999999999</v>
      </c>
      <c r="AZ19" s="130">
        <f t="shared" si="3"/>
        <v>521.346</v>
      </c>
      <c r="BA19" s="130">
        <f t="shared" si="3"/>
        <v>0</v>
      </c>
      <c r="BB19" s="130">
        <f t="shared" si="3"/>
        <v>2715.4659999999999</v>
      </c>
      <c r="BC19" s="130"/>
      <c r="BD19" s="85"/>
      <c r="BF19" s="86"/>
      <c r="BG19" s="83"/>
      <c r="BH19" s="83"/>
      <c r="BI19" s="87">
        <f>BI20</f>
        <v>0</v>
      </c>
      <c r="BJ19" s="83"/>
      <c r="BK19" s="87">
        <f>BK20</f>
        <v>0</v>
      </c>
      <c r="BL19" s="83"/>
      <c r="BM19" s="88">
        <f>BM20</f>
        <v>0</v>
      </c>
      <c r="BP19" s="7">
        <v>1.04</v>
      </c>
      <c r="CD19" s="89" t="s">
        <v>38</v>
      </c>
      <c r="CF19" s="90" t="s">
        <v>30</v>
      </c>
      <c r="CG19" s="90" t="s">
        <v>31</v>
      </c>
      <c r="CK19" s="89" t="s">
        <v>148</v>
      </c>
      <c r="CW19" s="91">
        <f>CW20</f>
        <v>521.346</v>
      </c>
    </row>
    <row r="20" spans="2:103" s="7" customFormat="1" ht="19.899999999999999" customHeight="1">
      <c r="B20" s="82"/>
      <c r="C20" s="83"/>
      <c r="D20" s="92" t="s">
        <v>128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131">
        <f t="shared" ref="AJ20:AO20" si="4">SUM(AJ21:AJ28)</f>
        <v>521.346</v>
      </c>
      <c r="AK20" s="131">
        <f t="shared" si="4"/>
        <v>521.346</v>
      </c>
      <c r="AL20" s="131">
        <f t="shared" si="4"/>
        <v>1151.4279999999999</v>
      </c>
      <c r="AM20" s="131">
        <f t="shared" si="4"/>
        <v>521.346</v>
      </c>
      <c r="AN20" s="131">
        <f t="shared" si="4"/>
        <v>0</v>
      </c>
      <c r="AO20" s="432">
        <f t="shared" si="4"/>
        <v>2715.4659999999999</v>
      </c>
      <c r="AP20" s="131">
        <f t="shared" ref="AP20:AU20" si="5">SUM(AP21:AP28)</f>
        <v>0</v>
      </c>
      <c r="AQ20" s="131">
        <f t="shared" si="5"/>
        <v>0</v>
      </c>
      <c r="AR20" s="131">
        <f t="shared" si="5"/>
        <v>0</v>
      </c>
      <c r="AS20" s="131">
        <f t="shared" si="5"/>
        <v>0</v>
      </c>
      <c r="AT20" s="131">
        <f t="shared" si="5"/>
        <v>0</v>
      </c>
      <c r="AU20" s="131">
        <f t="shared" si="5"/>
        <v>0</v>
      </c>
      <c r="AV20" s="163"/>
      <c r="AW20" s="131">
        <f t="shared" ref="AW20:BB20" si="6">SUM(AW21:AW28)</f>
        <v>521.346</v>
      </c>
      <c r="AX20" s="131">
        <f t="shared" si="6"/>
        <v>521.346</v>
      </c>
      <c r="AY20" s="131">
        <f t="shared" si="6"/>
        <v>1151.4279999999999</v>
      </c>
      <c r="AZ20" s="131">
        <f t="shared" si="6"/>
        <v>521.346</v>
      </c>
      <c r="BA20" s="131">
        <f t="shared" si="6"/>
        <v>0</v>
      </c>
      <c r="BB20" s="131">
        <f t="shared" si="6"/>
        <v>2715.4659999999999</v>
      </c>
      <c r="BC20" s="163"/>
      <c r="BD20" s="85"/>
      <c r="BF20" s="86"/>
      <c r="BG20" s="83"/>
      <c r="BH20" s="83"/>
      <c r="BI20" s="87">
        <f>SUM(BI21:BI28)</f>
        <v>0</v>
      </c>
      <c r="BJ20" s="83"/>
      <c r="BK20" s="87">
        <f>SUM(BK21:BK28)</f>
        <v>0</v>
      </c>
      <c r="BL20" s="83"/>
      <c r="BM20" s="88">
        <f>SUM(BM21:BM28)</f>
        <v>0</v>
      </c>
      <c r="CD20" s="89" t="s">
        <v>38</v>
      </c>
      <c r="CF20" s="90" t="s">
        <v>30</v>
      </c>
      <c r="CG20" s="90" t="s">
        <v>38</v>
      </c>
      <c r="CK20" s="89" t="s">
        <v>148</v>
      </c>
      <c r="CW20" s="91">
        <f>SUM(CW21:CW28)</f>
        <v>521.346</v>
      </c>
    </row>
    <row r="21" spans="2:103" s="1" customFormat="1" ht="31.5" customHeight="1">
      <c r="B21" s="73"/>
      <c r="C21" s="93" t="s">
        <v>38</v>
      </c>
      <c r="D21" s="93" t="s">
        <v>149</v>
      </c>
      <c r="E21" s="94" t="s">
        <v>337</v>
      </c>
      <c r="F21" s="498" t="s">
        <v>338</v>
      </c>
      <c r="G21" s="498"/>
      <c r="H21" s="498"/>
      <c r="I21" s="498"/>
      <c r="J21" s="95" t="s">
        <v>184</v>
      </c>
      <c r="K21" s="128">
        <v>24</v>
      </c>
      <c r="L21" s="128">
        <v>24</v>
      </c>
      <c r="M21" s="128">
        <v>34</v>
      </c>
      <c r="N21" s="128">
        <v>24</v>
      </c>
      <c r="O21" s="128">
        <v>0</v>
      </c>
      <c r="P21" s="403">
        <f t="shared" ref="P21:P28" si="7">SUM(K21:O21)</f>
        <v>106</v>
      </c>
      <c r="Q21" s="400">
        <v>0</v>
      </c>
      <c r="R21" s="400">
        <v>0</v>
      </c>
      <c r="S21" s="400">
        <v>0</v>
      </c>
      <c r="T21" s="400">
        <v>0</v>
      </c>
      <c r="U21" s="400">
        <v>0</v>
      </c>
      <c r="V21" s="165">
        <f t="shared" ref="V21:V28" si="8">SUM(Q21:U21)</f>
        <v>0</v>
      </c>
      <c r="W21" s="289">
        <f t="shared" ref="W21:W28" si="9">V21/P21</f>
        <v>0</v>
      </c>
      <c r="X21" s="400">
        <f>K21-Q21</f>
        <v>24</v>
      </c>
      <c r="Y21" s="400">
        <f t="shared" ref="Y21:Y28" si="10">L21-R21</f>
        <v>24</v>
      </c>
      <c r="Z21" s="400">
        <f t="shared" ref="Z21:Z28" si="11">M21-S21</f>
        <v>34</v>
      </c>
      <c r="AA21" s="400">
        <f t="shared" ref="AA21:AA28" si="12">N21-T21</f>
        <v>24</v>
      </c>
      <c r="AB21" s="400">
        <f t="shared" ref="AB21:AB28" si="13">O21-U21</f>
        <v>0</v>
      </c>
      <c r="AC21" s="165">
        <f t="shared" ref="AC21:AC28" si="14">SUM(X21:AB21)</f>
        <v>106</v>
      </c>
      <c r="AD21" s="289">
        <f>AC21/P21</f>
        <v>1</v>
      </c>
      <c r="AE21" s="201">
        <v>0.88</v>
      </c>
      <c r="AF21" s="201">
        <v>0.88</v>
      </c>
      <c r="AG21" s="201">
        <v>0.88</v>
      </c>
      <c r="AH21" s="201">
        <v>0.88</v>
      </c>
      <c r="AI21" s="201">
        <v>0.88</v>
      </c>
      <c r="AJ21" s="128">
        <f t="shared" ref="AJ21:AN28" si="15">ROUND(AE21*K21,3)</f>
        <v>21.12</v>
      </c>
      <c r="AK21" s="128">
        <f t="shared" si="15"/>
        <v>21.12</v>
      </c>
      <c r="AL21" s="128">
        <f t="shared" si="15"/>
        <v>29.92</v>
      </c>
      <c r="AM21" s="128">
        <f t="shared" si="15"/>
        <v>21.12</v>
      </c>
      <c r="AN21" s="128">
        <f t="shared" si="15"/>
        <v>0</v>
      </c>
      <c r="AO21" s="411">
        <f t="shared" ref="AO21:AO28" si="16">SUM(AJ21:AN21)</f>
        <v>93.28</v>
      </c>
      <c r="AP21" s="211">
        <f>ROUND(AE21*Q21,3)</f>
        <v>0</v>
      </c>
      <c r="AQ21" s="211">
        <f t="shared" ref="AQ21:AQ28" si="17">ROUND(AF21*R21,3)</f>
        <v>0</v>
      </c>
      <c r="AR21" s="211">
        <f t="shared" ref="AR21:AR28" si="18">ROUND(AG21*S21,3)</f>
        <v>0</v>
      </c>
      <c r="AS21" s="211">
        <f t="shared" ref="AS21:AS28" si="19">ROUND(AH21*T21,3)</f>
        <v>0</v>
      </c>
      <c r="AT21" s="211">
        <f t="shared" ref="AT21:AT28" si="20">ROUND(AI21*U21,3)</f>
        <v>0</v>
      </c>
      <c r="AU21" s="128">
        <f t="shared" ref="AU21:AU28" si="21">SUM(AP21:AT21)</f>
        <v>0</v>
      </c>
      <c r="AV21" s="289">
        <f>AU21/AO21</f>
        <v>0</v>
      </c>
      <c r="AW21" s="211">
        <f>AJ21-AP21</f>
        <v>21.12</v>
      </c>
      <c r="AX21" s="211">
        <f t="shared" ref="AX21:AX28" si="22">AK21-AQ21</f>
        <v>21.12</v>
      </c>
      <c r="AY21" s="211">
        <f t="shared" ref="AY21:AY28" si="23">AL21-AR21</f>
        <v>29.92</v>
      </c>
      <c r="AZ21" s="211">
        <f t="shared" ref="AZ21:AZ28" si="24">AM21-AS21</f>
        <v>21.12</v>
      </c>
      <c r="BA21" s="211">
        <f t="shared" ref="BA21:BA28" si="25">AN21-AT21</f>
        <v>0</v>
      </c>
      <c r="BB21" s="128">
        <f t="shared" ref="BB21:BB28" si="26">SUM(AW21:BA21)</f>
        <v>93.28</v>
      </c>
      <c r="BC21" s="289">
        <f>BB21/AO21</f>
        <v>1</v>
      </c>
      <c r="BD21" s="74"/>
      <c r="BF21" s="98" t="s">
        <v>0</v>
      </c>
      <c r="BG21" s="18" t="s">
        <v>11</v>
      </c>
      <c r="BH21" s="198"/>
      <c r="BI21" s="99">
        <f t="shared" ref="BI21:BI28" si="27">BH21*K21</f>
        <v>0</v>
      </c>
      <c r="BJ21" s="99">
        <v>0</v>
      </c>
      <c r="BK21" s="99">
        <f t="shared" ref="BK21:BK28" si="28">BJ21*K21</f>
        <v>0</v>
      </c>
      <c r="BL21" s="99">
        <v>0</v>
      </c>
      <c r="BM21" s="100">
        <f t="shared" ref="BM21:BM28" si="29">BL21*K21</f>
        <v>0</v>
      </c>
      <c r="BQ21" s="115">
        <v>0.85</v>
      </c>
      <c r="CD21" s="9" t="s">
        <v>153</v>
      </c>
      <c r="CF21" s="9" t="s">
        <v>149</v>
      </c>
      <c r="CG21" s="9" t="s">
        <v>42</v>
      </c>
      <c r="CK21" s="9" t="s">
        <v>148</v>
      </c>
      <c r="CQ21" s="72">
        <f t="shared" ref="CQ21:CQ28" si="30">IF(BG21="základná",AJ21,0)</f>
        <v>0</v>
      </c>
      <c r="CR21" s="72">
        <f t="shared" ref="CR21:CR28" si="31">IF(BG21="znížená",AJ21,0)</f>
        <v>21.12</v>
      </c>
      <c r="CS21" s="72">
        <f t="shared" ref="CS21:CS28" si="32">IF(BG21="zákl. prenesená",AJ21,0)</f>
        <v>0</v>
      </c>
      <c r="CT21" s="72">
        <f t="shared" ref="CT21:CT28" si="33">IF(BG21="zníž. prenesená",AJ21,0)</f>
        <v>0</v>
      </c>
      <c r="CU21" s="72">
        <f t="shared" ref="CU21:CU28" si="34">IF(BG21="nulová",AJ21,0)</f>
        <v>0</v>
      </c>
      <c r="CV21" s="9" t="s">
        <v>42</v>
      </c>
      <c r="CW21" s="101">
        <f t="shared" ref="CW21:CW28" si="35">ROUND(AE21*K21,3)</f>
        <v>21.12</v>
      </c>
      <c r="CX21" s="9" t="s">
        <v>153</v>
      </c>
      <c r="CY21" s="9" t="s">
        <v>339</v>
      </c>
    </row>
    <row r="22" spans="2:103" s="1" customFormat="1" ht="31.5" customHeight="1">
      <c r="B22" s="73"/>
      <c r="C22" s="93" t="s">
        <v>42</v>
      </c>
      <c r="D22" s="93" t="s">
        <v>149</v>
      </c>
      <c r="E22" s="94" t="s">
        <v>340</v>
      </c>
      <c r="F22" s="498" t="s">
        <v>341</v>
      </c>
      <c r="G22" s="498"/>
      <c r="H22" s="498"/>
      <c r="I22" s="498"/>
      <c r="J22" s="95" t="s">
        <v>168</v>
      </c>
      <c r="K22" s="128">
        <v>11.5</v>
      </c>
      <c r="L22" s="128">
        <v>11.5</v>
      </c>
      <c r="M22" s="128">
        <v>89.1</v>
      </c>
      <c r="N22" s="128">
        <v>11.5</v>
      </c>
      <c r="O22" s="128">
        <v>0</v>
      </c>
      <c r="P22" s="403">
        <f t="shared" si="7"/>
        <v>123.6</v>
      </c>
      <c r="Q22" s="400">
        <v>0</v>
      </c>
      <c r="R22" s="400">
        <v>0</v>
      </c>
      <c r="S22" s="400">
        <v>0</v>
      </c>
      <c r="T22" s="400">
        <v>0</v>
      </c>
      <c r="U22" s="400">
        <v>0</v>
      </c>
      <c r="V22" s="165">
        <f t="shared" si="8"/>
        <v>0</v>
      </c>
      <c r="W22" s="289">
        <f t="shared" si="9"/>
        <v>0</v>
      </c>
      <c r="X22" s="400">
        <f t="shared" ref="X22:X28" si="36">K22-Q22</f>
        <v>11.5</v>
      </c>
      <c r="Y22" s="400">
        <f t="shared" si="10"/>
        <v>11.5</v>
      </c>
      <c r="Z22" s="400">
        <f t="shared" si="11"/>
        <v>89.1</v>
      </c>
      <c r="AA22" s="400">
        <f t="shared" si="12"/>
        <v>11.5</v>
      </c>
      <c r="AB22" s="400">
        <f t="shared" si="13"/>
        <v>0</v>
      </c>
      <c r="AC22" s="165">
        <f t="shared" si="14"/>
        <v>123.6</v>
      </c>
      <c r="AD22" s="289">
        <f t="shared" ref="AD22:AD28" si="37">AC22/P22</f>
        <v>1</v>
      </c>
      <c r="AE22" s="201">
        <v>8.07</v>
      </c>
      <c r="AF22" s="201">
        <v>8.07</v>
      </c>
      <c r="AG22" s="201">
        <v>8.07</v>
      </c>
      <c r="AH22" s="201">
        <v>8.07</v>
      </c>
      <c r="AI22" s="201">
        <v>8.07</v>
      </c>
      <c r="AJ22" s="128">
        <f t="shared" si="15"/>
        <v>92.805000000000007</v>
      </c>
      <c r="AK22" s="128">
        <f t="shared" si="15"/>
        <v>92.805000000000007</v>
      </c>
      <c r="AL22" s="128">
        <f t="shared" si="15"/>
        <v>719.03700000000003</v>
      </c>
      <c r="AM22" s="128">
        <f t="shared" si="15"/>
        <v>92.805000000000007</v>
      </c>
      <c r="AN22" s="128">
        <f t="shared" si="15"/>
        <v>0</v>
      </c>
      <c r="AO22" s="411">
        <f t="shared" si="16"/>
        <v>997.452</v>
      </c>
      <c r="AP22" s="211">
        <f t="shared" ref="AP22:AP28" si="38">ROUND(AE22*Q22,3)</f>
        <v>0</v>
      </c>
      <c r="AQ22" s="211">
        <f t="shared" si="17"/>
        <v>0</v>
      </c>
      <c r="AR22" s="211">
        <f t="shared" si="18"/>
        <v>0</v>
      </c>
      <c r="AS22" s="211">
        <f t="shared" si="19"/>
        <v>0</v>
      </c>
      <c r="AT22" s="211">
        <f t="shared" si="20"/>
        <v>0</v>
      </c>
      <c r="AU22" s="128">
        <f t="shared" si="21"/>
        <v>0</v>
      </c>
      <c r="AV22" s="289">
        <f t="shared" ref="AV22:AV28" si="39">AU22/AO22</f>
        <v>0</v>
      </c>
      <c r="AW22" s="211">
        <f t="shared" ref="AW22:AW28" si="40">AJ22-AP22</f>
        <v>92.805000000000007</v>
      </c>
      <c r="AX22" s="211">
        <f t="shared" si="22"/>
        <v>92.805000000000007</v>
      </c>
      <c r="AY22" s="211">
        <f t="shared" si="23"/>
        <v>719.03700000000003</v>
      </c>
      <c r="AZ22" s="211">
        <f t="shared" si="24"/>
        <v>92.805000000000007</v>
      </c>
      <c r="BA22" s="211">
        <f t="shared" si="25"/>
        <v>0</v>
      </c>
      <c r="BB22" s="128">
        <f t="shared" si="26"/>
        <v>997.452</v>
      </c>
      <c r="BC22" s="289">
        <f t="shared" ref="BC22:BC28" si="41">BB22/AO22</f>
        <v>1</v>
      </c>
      <c r="BD22" s="74"/>
      <c r="BF22" s="98" t="s">
        <v>0</v>
      </c>
      <c r="BG22" s="18" t="s">
        <v>11</v>
      </c>
      <c r="BH22" s="198"/>
      <c r="BI22" s="99">
        <f t="shared" si="27"/>
        <v>0</v>
      </c>
      <c r="BJ22" s="99">
        <v>0</v>
      </c>
      <c r="BK22" s="99">
        <f t="shared" si="28"/>
        <v>0</v>
      </c>
      <c r="BL22" s="99">
        <v>0</v>
      </c>
      <c r="BM22" s="100">
        <f t="shared" si="29"/>
        <v>0</v>
      </c>
      <c r="BQ22" s="115">
        <v>7.76</v>
      </c>
      <c r="CD22" s="9" t="s">
        <v>153</v>
      </c>
      <c r="CF22" s="9" t="s">
        <v>149</v>
      </c>
      <c r="CG22" s="9" t="s">
        <v>42</v>
      </c>
      <c r="CK22" s="9" t="s">
        <v>148</v>
      </c>
      <c r="CQ22" s="72">
        <f t="shared" si="30"/>
        <v>0</v>
      </c>
      <c r="CR22" s="72">
        <f t="shared" si="31"/>
        <v>92.805000000000007</v>
      </c>
      <c r="CS22" s="72">
        <f t="shared" si="32"/>
        <v>0</v>
      </c>
      <c r="CT22" s="72">
        <f t="shared" si="33"/>
        <v>0</v>
      </c>
      <c r="CU22" s="72">
        <f t="shared" si="34"/>
        <v>0</v>
      </c>
      <c r="CV22" s="9" t="s">
        <v>42</v>
      </c>
      <c r="CW22" s="101">
        <f t="shared" si="35"/>
        <v>92.805000000000007</v>
      </c>
      <c r="CX22" s="9" t="s">
        <v>153</v>
      </c>
      <c r="CY22" s="9" t="s">
        <v>342</v>
      </c>
    </row>
    <row r="23" spans="2:103" s="1" customFormat="1" ht="31.5" customHeight="1">
      <c r="B23" s="73"/>
      <c r="C23" s="93" t="s">
        <v>105</v>
      </c>
      <c r="D23" s="93" t="s">
        <v>149</v>
      </c>
      <c r="E23" s="94" t="s">
        <v>343</v>
      </c>
      <c r="F23" s="498" t="s">
        <v>344</v>
      </c>
      <c r="G23" s="498"/>
      <c r="H23" s="498"/>
      <c r="I23" s="498"/>
      <c r="J23" s="95" t="s">
        <v>184</v>
      </c>
      <c r="K23" s="128">
        <v>4</v>
      </c>
      <c r="L23" s="128">
        <v>4</v>
      </c>
      <c r="M23" s="128">
        <v>1</v>
      </c>
      <c r="N23" s="128">
        <v>4</v>
      </c>
      <c r="O23" s="128">
        <v>0</v>
      </c>
      <c r="P23" s="403">
        <f t="shared" si="7"/>
        <v>13</v>
      </c>
      <c r="Q23" s="400">
        <v>0</v>
      </c>
      <c r="R23" s="400">
        <v>0</v>
      </c>
      <c r="S23" s="400">
        <v>0</v>
      </c>
      <c r="T23" s="400">
        <v>0</v>
      </c>
      <c r="U23" s="400">
        <v>0</v>
      </c>
      <c r="V23" s="165">
        <f t="shared" si="8"/>
        <v>0</v>
      </c>
      <c r="W23" s="289">
        <f t="shared" si="9"/>
        <v>0</v>
      </c>
      <c r="X23" s="400">
        <f t="shared" si="36"/>
        <v>4</v>
      </c>
      <c r="Y23" s="400">
        <f t="shared" si="10"/>
        <v>4</v>
      </c>
      <c r="Z23" s="400">
        <f t="shared" si="11"/>
        <v>1</v>
      </c>
      <c r="AA23" s="400">
        <f t="shared" si="12"/>
        <v>4</v>
      </c>
      <c r="AB23" s="400">
        <f t="shared" si="13"/>
        <v>0</v>
      </c>
      <c r="AC23" s="165">
        <f t="shared" si="14"/>
        <v>13</v>
      </c>
      <c r="AD23" s="289">
        <f t="shared" si="37"/>
        <v>1</v>
      </c>
      <c r="AE23" s="201">
        <v>1.65</v>
      </c>
      <c r="AF23" s="201">
        <v>1.65</v>
      </c>
      <c r="AG23" s="201">
        <v>1.65</v>
      </c>
      <c r="AH23" s="201">
        <v>1.65</v>
      </c>
      <c r="AI23" s="201">
        <v>1.65</v>
      </c>
      <c r="AJ23" s="128">
        <f t="shared" si="15"/>
        <v>6.6</v>
      </c>
      <c r="AK23" s="128">
        <f t="shared" si="15"/>
        <v>6.6</v>
      </c>
      <c r="AL23" s="128">
        <f t="shared" si="15"/>
        <v>1.65</v>
      </c>
      <c r="AM23" s="128">
        <f t="shared" si="15"/>
        <v>6.6</v>
      </c>
      <c r="AN23" s="128">
        <f t="shared" si="15"/>
        <v>0</v>
      </c>
      <c r="AO23" s="411">
        <f t="shared" si="16"/>
        <v>21.45</v>
      </c>
      <c r="AP23" s="211">
        <f t="shared" si="38"/>
        <v>0</v>
      </c>
      <c r="AQ23" s="211">
        <f t="shared" si="17"/>
        <v>0</v>
      </c>
      <c r="AR23" s="211">
        <f t="shared" si="18"/>
        <v>0</v>
      </c>
      <c r="AS23" s="211">
        <f t="shared" si="19"/>
        <v>0</v>
      </c>
      <c r="AT23" s="211">
        <f t="shared" si="20"/>
        <v>0</v>
      </c>
      <c r="AU23" s="128">
        <f t="shared" si="21"/>
        <v>0</v>
      </c>
      <c r="AV23" s="289">
        <f t="shared" si="39"/>
        <v>0</v>
      </c>
      <c r="AW23" s="211">
        <f t="shared" si="40"/>
        <v>6.6</v>
      </c>
      <c r="AX23" s="211">
        <f t="shared" si="22"/>
        <v>6.6</v>
      </c>
      <c r="AY23" s="211">
        <f t="shared" si="23"/>
        <v>1.65</v>
      </c>
      <c r="AZ23" s="211">
        <f t="shared" si="24"/>
        <v>6.6</v>
      </c>
      <c r="BA23" s="211">
        <f t="shared" si="25"/>
        <v>0</v>
      </c>
      <c r="BB23" s="128">
        <f t="shared" si="26"/>
        <v>21.45</v>
      </c>
      <c r="BC23" s="289">
        <f t="shared" si="41"/>
        <v>1</v>
      </c>
      <c r="BD23" s="74"/>
      <c r="BF23" s="98" t="s">
        <v>0</v>
      </c>
      <c r="BG23" s="18" t="s">
        <v>11</v>
      </c>
      <c r="BH23" s="198"/>
      <c r="BI23" s="99">
        <f t="shared" si="27"/>
        <v>0</v>
      </c>
      <c r="BJ23" s="99">
        <v>0</v>
      </c>
      <c r="BK23" s="99">
        <f t="shared" si="28"/>
        <v>0</v>
      </c>
      <c r="BL23" s="99">
        <v>0</v>
      </c>
      <c r="BM23" s="100">
        <f t="shared" si="29"/>
        <v>0</v>
      </c>
      <c r="BQ23" s="115">
        <v>1.59</v>
      </c>
      <c r="CD23" s="9" t="s">
        <v>153</v>
      </c>
      <c r="CF23" s="9" t="s">
        <v>149</v>
      </c>
      <c r="CG23" s="9" t="s">
        <v>42</v>
      </c>
      <c r="CK23" s="9" t="s">
        <v>148</v>
      </c>
      <c r="CQ23" s="72">
        <f t="shared" si="30"/>
        <v>0</v>
      </c>
      <c r="CR23" s="72">
        <f t="shared" si="31"/>
        <v>6.6</v>
      </c>
      <c r="CS23" s="72">
        <f t="shared" si="32"/>
        <v>0</v>
      </c>
      <c r="CT23" s="72">
        <f t="shared" si="33"/>
        <v>0</v>
      </c>
      <c r="CU23" s="72">
        <f t="shared" si="34"/>
        <v>0</v>
      </c>
      <c r="CV23" s="9" t="s">
        <v>42</v>
      </c>
      <c r="CW23" s="101">
        <f t="shared" si="35"/>
        <v>6.6</v>
      </c>
      <c r="CX23" s="9" t="s">
        <v>153</v>
      </c>
      <c r="CY23" s="9" t="s">
        <v>345</v>
      </c>
    </row>
    <row r="24" spans="2:103" s="1" customFormat="1" ht="31.5" customHeight="1">
      <c r="B24" s="73"/>
      <c r="C24" s="93" t="s">
        <v>153</v>
      </c>
      <c r="D24" s="93" t="s">
        <v>149</v>
      </c>
      <c r="E24" s="94" t="s">
        <v>346</v>
      </c>
      <c r="F24" s="498" t="s">
        <v>347</v>
      </c>
      <c r="G24" s="498"/>
      <c r="H24" s="498"/>
      <c r="I24" s="498"/>
      <c r="J24" s="95" t="s">
        <v>168</v>
      </c>
      <c r="K24" s="128">
        <v>17.766999999999999</v>
      </c>
      <c r="L24" s="128">
        <v>17.766999999999999</v>
      </c>
      <c r="M24" s="128">
        <v>17.766999999999999</v>
      </c>
      <c r="N24" s="128">
        <v>17.766999999999999</v>
      </c>
      <c r="O24" s="128">
        <v>0</v>
      </c>
      <c r="P24" s="403">
        <f t="shared" si="7"/>
        <v>71.067999999999998</v>
      </c>
      <c r="Q24" s="400">
        <v>0</v>
      </c>
      <c r="R24" s="400">
        <v>0</v>
      </c>
      <c r="S24" s="400">
        <v>0</v>
      </c>
      <c r="T24" s="400">
        <v>0</v>
      </c>
      <c r="U24" s="400">
        <v>0</v>
      </c>
      <c r="V24" s="165">
        <f t="shared" si="8"/>
        <v>0</v>
      </c>
      <c r="W24" s="289">
        <f t="shared" si="9"/>
        <v>0</v>
      </c>
      <c r="X24" s="400">
        <f t="shared" si="36"/>
        <v>17.766999999999999</v>
      </c>
      <c r="Y24" s="400">
        <f t="shared" si="10"/>
        <v>17.766999999999999</v>
      </c>
      <c r="Z24" s="400">
        <f t="shared" si="11"/>
        <v>17.766999999999999</v>
      </c>
      <c r="AA24" s="400">
        <f t="shared" si="12"/>
        <v>17.766999999999999</v>
      </c>
      <c r="AB24" s="400">
        <f t="shared" si="13"/>
        <v>0</v>
      </c>
      <c r="AC24" s="165">
        <f t="shared" si="14"/>
        <v>71.067999999999998</v>
      </c>
      <c r="AD24" s="289">
        <f t="shared" si="37"/>
        <v>1</v>
      </c>
      <c r="AE24" s="201">
        <v>4.84</v>
      </c>
      <c r="AF24" s="201">
        <v>4.84</v>
      </c>
      <c r="AG24" s="201">
        <v>4.84</v>
      </c>
      <c r="AH24" s="201">
        <v>4.84</v>
      </c>
      <c r="AI24" s="201">
        <v>4.84</v>
      </c>
      <c r="AJ24" s="128">
        <f t="shared" si="15"/>
        <v>85.992000000000004</v>
      </c>
      <c r="AK24" s="128">
        <f t="shared" si="15"/>
        <v>85.992000000000004</v>
      </c>
      <c r="AL24" s="128">
        <f t="shared" si="15"/>
        <v>85.992000000000004</v>
      </c>
      <c r="AM24" s="128">
        <f t="shared" si="15"/>
        <v>85.992000000000004</v>
      </c>
      <c r="AN24" s="128">
        <f t="shared" si="15"/>
        <v>0</v>
      </c>
      <c r="AO24" s="411">
        <f t="shared" si="16"/>
        <v>343.96800000000002</v>
      </c>
      <c r="AP24" s="211">
        <f t="shared" si="38"/>
        <v>0</v>
      </c>
      <c r="AQ24" s="211">
        <f t="shared" si="17"/>
        <v>0</v>
      </c>
      <c r="AR24" s="211">
        <f t="shared" si="18"/>
        <v>0</v>
      </c>
      <c r="AS24" s="211">
        <f t="shared" si="19"/>
        <v>0</v>
      </c>
      <c r="AT24" s="211">
        <f t="shared" si="20"/>
        <v>0</v>
      </c>
      <c r="AU24" s="128">
        <f t="shared" si="21"/>
        <v>0</v>
      </c>
      <c r="AV24" s="289">
        <f t="shared" si="39"/>
        <v>0</v>
      </c>
      <c r="AW24" s="211">
        <f t="shared" si="40"/>
        <v>85.992000000000004</v>
      </c>
      <c r="AX24" s="211">
        <f t="shared" si="22"/>
        <v>85.992000000000004</v>
      </c>
      <c r="AY24" s="211">
        <f t="shared" si="23"/>
        <v>85.992000000000004</v>
      </c>
      <c r="AZ24" s="211">
        <f t="shared" si="24"/>
        <v>85.992000000000004</v>
      </c>
      <c r="BA24" s="211">
        <f t="shared" si="25"/>
        <v>0</v>
      </c>
      <c r="BB24" s="128">
        <f t="shared" si="26"/>
        <v>343.96800000000002</v>
      </c>
      <c r="BC24" s="289">
        <f t="shared" si="41"/>
        <v>1</v>
      </c>
      <c r="BD24" s="74"/>
      <c r="BF24" s="98" t="s">
        <v>0</v>
      </c>
      <c r="BG24" s="18" t="s">
        <v>11</v>
      </c>
      <c r="BH24" s="198"/>
      <c r="BI24" s="99">
        <f t="shared" si="27"/>
        <v>0</v>
      </c>
      <c r="BJ24" s="99">
        <v>0</v>
      </c>
      <c r="BK24" s="99">
        <f t="shared" si="28"/>
        <v>0</v>
      </c>
      <c r="BL24" s="99">
        <v>0</v>
      </c>
      <c r="BM24" s="100">
        <f t="shared" si="29"/>
        <v>0</v>
      </c>
      <c r="BQ24" s="115">
        <v>4.6500000000000004</v>
      </c>
      <c r="CD24" s="9" t="s">
        <v>153</v>
      </c>
      <c r="CF24" s="9" t="s">
        <v>149</v>
      </c>
      <c r="CG24" s="9" t="s">
        <v>42</v>
      </c>
      <c r="CK24" s="9" t="s">
        <v>148</v>
      </c>
      <c r="CQ24" s="72">
        <f t="shared" si="30"/>
        <v>0</v>
      </c>
      <c r="CR24" s="72">
        <f t="shared" si="31"/>
        <v>85.992000000000004</v>
      </c>
      <c r="CS24" s="72">
        <f t="shared" si="32"/>
        <v>0</v>
      </c>
      <c r="CT24" s="72">
        <f t="shared" si="33"/>
        <v>0</v>
      </c>
      <c r="CU24" s="72">
        <f t="shared" si="34"/>
        <v>0</v>
      </c>
      <c r="CV24" s="9" t="s">
        <v>42</v>
      </c>
      <c r="CW24" s="101">
        <f t="shared" si="35"/>
        <v>85.992000000000004</v>
      </c>
      <c r="CX24" s="9" t="s">
        <v>153</v>
      </c>
      <c r="CY24" s="9" t="s">
        <v>348</v>
      </c>
    </row>
    <row r="25" spans="2:103" s="1" customFormat="1" ht="31.5" customHeight="1">
      <c r="B25" s="73"/>
      <c r="C25" s="93" t="s">
        <v>156</v>
      </c>
      <c r="D25" s="93" t="s">
        <v>149</v>
      </c>
      <c r="E25" s="94" t="s">
        <v>150</v>
      </c>
      <c r="F25" s="498" t="s">
        <v>151</v>
      </c>
      <c r="G25" s="498"/>
      <c r="H25" s="498"/>
      <c r="I25" s="498"/>
      <c r="J25" s="95" t="s">
        <v>152</v>
      </c>
      <c r="K25" s="128">
        <v>4.2309999999999999</v>
      </c>
      <c r="L25" s="128">
        <v>4.2309999999999999</v>
      </c>
      <c r="M25" s="128">
        <v>4.2309999999999999</v>
      </c>
      <c r="N25" s="128">
        <v>4.2309999999999999</v>
      </c>
      <c r="O25" s="128">
        <v>0</v>
      </c>
      <c r="P25" s="403">
        <f t="shared" si="7"/>
        <v>16.923999999999999</v>
      </c>
      <c r="Q25" s="400">
        <v>0</v>
      </c>
      <c r="R25" s="400">
        <v>0</v>
      </c>
      <c r="S25" s="400">
        <v>0</v>
      </c>
      <c r="T25" s="400">
        <v>0</v>
      </c>
      <c r="U25" s="400">
        <v>0</v>
      </c>
      <c r="V25" s="165">
        <f t="shared" si="8"/>
        <v>0</v>
      </c>
      <c r="W25" s="289">
        <f t="shared" si="9"/>
        <v>0</v>
      </c>
      <c r="X25" s="400">
        <f t="shared" si="36"/>
        <v>4.2309999999999999</v>
      </c>
      <c r="Y25" s="400">
        <f t="shared" si="10"/>
        <v>4.2309999999999999</v>
      </c>
      <c r="Z25" s="400">
        <f t="shared" si="11"/>
        <v>4.2309999999999999</v>
      </c>
      <c r="AA25" s="400">
        <f t="shared" si="12"/>
        <v>4.2309999999999999</v>
      </c>
      <c r="AB25" s="400">
        <f t="shared" si="13"/>
        <v>0</v>
      </c>
      <c r="AC25" s="165">
        <f t="shared" si="14"/>
        <v>16.923999999999999</v>
      </c>
      <c r="AD25" s="289">
        <f t="shared" si="37"/>
        <v>1</v>
      </c>
      <c r="AE25" s="201">
        <v>10.36</v>
      </c>
      <c r="AF25" s="201">
        <v>10.36</v>
      </c>
      <c r="AG25" s="201">
        <v>10.36</v>
      </c>
      <c r="AH25" s="201">
        <v>10.36</v>
      </c>
      <c r="AI25" s="201">
        <v>10.36</v>
      </c>
      <c r="AJ25" s="128">
        <f t="shared" si="15"/>
        <v>43.832999999999998</v>
      </c>
      <c r="AK25" s="128">
        <f t="shared" si="15"/>
        <v>43.832999999999998</v>
      </c>
      <c r="AL25" s="128">
        <f t="shared" si="15"/>
        <v>43.832999999999998</v>
      </c>
      <c r="AM25" s="128">
        <f t="shared" si="15"/>
        <v>43.832999999999998</v>
      </c>
      <c r="AN25" s="128">
        <f t="shared" si="15"/>
        <v>0</v>
      </c>
      <c r="AO25" s="411">
        <f t="shared" si="16"/>
        <v>175.33199999999999</v>
      </c>
      <c r="AP25" s="211">
        <f t="shared" si="38"/>
        <v>0</v>
      </c>
      <c r="AQ25" s="211">
        <f t="shared" si="17"/>
        <v>0</v>
      </c>
      <c r="AR25" s="211">
        <f t="shared" si="18"/>
        <v>0</v>
      </c>
      <c r="AS25" s="211">
        <f t="shared" si="19"/>
        <v>0</v>
      </c>
      <c r="AT25" s="211">
        <f t="shared" si="20"/>
        <v>0</v>
      </c>
      <c r="AU25" s="128">
        <f t="shared" si="21"/>
        <v>0</v>
      </c>
      <c r="AV25" s="289">
        <f t="shared" si="39"/>
        <v>0</v>
      </c>
      <c r="AW25" s="211">
        <f t="shared" si="40"/>
        <v>43.832999999999998</v>
      </c>
      <c r="AX25" s="211">
        <f t="shared" si="22"/>
        <v>43.832999999999998</v>
      </c>
      <c r="AY25" s="211">
        <f t="shared" si="23"/>
        <v>43.832999999999998</v>
      </c>
      <c r="AZ25" s="211">
        <f t="shared" si="24"/>
        <v>43.832999999999998</v>
      </c>
      <c r="BA25" s="211">
        <f t="shared" si="25"/>
        <v>0</v>
      </c>
      <c r="BB25" s="128">
        <f t="shared" si="26"/>
        <v>175.33199999999999</v>
      </c>
      <c r="BC25" s="289">
        <f t="shared" si="41"/>
        <v>1</v>
      </c>
      <c r="BD25" s="74"/>
      <c r="BF25" s="98" t="s">
        <v>0</v>
      </c>
      <c r="BG25" s="18" t="s">
        <v>11</v>
      </c>
      <c r="BH25" s="198"/>
      <c r="BI25" s="99">
        <f t="shared" si="27"/>
        <v>0</v>
      </c>
      <c r="BJ25" s="99">
        <v>0</v>
      </c>
      <c r="BK25" s="99">
        <f t="shared" si="28"/>
        <v>0</v>
      </c>
      <c r="BL25" s="99">
        <v>0</v>
      </c>
      <c r="BM25" s="100">
        <f t="shared" si="29"/>
        <v>0</v>
      </c>
      <c r="BQ25" s="115">
        <v>9.9600000000000009</v>
      </c>
      <c r="CD25" s="9" t="s">
        <v>153</v>
      </c>
      <c r="CF25" s="9" t="s">
        <v>149</v>
      </c>
      <c r="CG25" s="9" t="s">
        <v>42</v>
      </c>
      <c r="CK25" s="9" t="s">
        <v>148</v>
      </c>
      <c r="CQ25" s="72">
        <f t="shared" si="30"/>
        <v>0</v>
      </c>
      <c r="CR25" s="72">
        <f t="shared" si="31"/>
        <v>43.832999999999998</v>
      </c>
      <c r="CS25" s="72">
        <f t="shared" si="32"/>
        <v>0</v>
      </c>
      <c r="CT25" s="72">
        <f t="shared" si="33"/>
        <v>0</v>
      </c>
      <c r="CU25" s="72">
        <f t="shared" si="34"/>
        <v>0</v>
      </c>
      <c r="CV25" s="9" t="s">
        <v>42</v>
      </c>
      <c r="CW25" s="101">
        <f t="shared" si="35"/>
        <v>43.832999999999998</v>
      </c>
      <c r="CX25" s="9" t="s">
        <v>153</v>
      </c>
      <c r="CY25" s="9" t="s">
        <v>349</v>
      </c>
    </row>
    <row r="26" spans="2:103" s="1" customFormat="1" ht="31.5" customHeight="1">
      <c r="B26" s="73"/>
      <c r="C26" s="93" t="s">
        <v>159</v>
      </c>
      <c r="D26" s="93" t="s">
        <v>149</v>
      </c>
      <c r="E26" s="94" t="s">
        <v>154</v>
      </c>
      <c r="F26" s="498" t="s">
        <v>155</v>
      </c>
      <c r="G26" s="498"/>
      <c r="H26" s="498"/>
      <c r="I26" s="498"/>
      <c r="J26" s="95" t="s">
        <v>152</v>
      </c>
      <c r="K26" s="128">
        <v>4.2309999999999999</v>
      </c>
      <c r="L26" s="128">
        <v>4.2309999999999999</v>
      </c>
      <c r="M26" s="128">
        <v>4.2309999999999999</v>
      </c>
      <c r="N26" s="128">
        <v>4.2309999999999999</v>
      </c>
      <c r="O26" s="128">
        <v>0</v>
      </c>
      <c r="P26" s="403">
        <f t="shared" si="7"/>
        <v>16.923999999999999</v>
      </c>
      <c r="Q26" s="400">
        <v>0</v>
      </c>
      <c r="R26" s="400">
        <v>0</v>
      </c>
      <c r="S26" s="400">
        <v>0</v>
      </c>
      <c r="T26" s="400">
        <v>0</v>
      </c>
      <c r="U26" s="400">
        <v>0</v>
      </c>
      <c r="V26" s="165">
        <f t="shared" si="8"/>
        <v>0</v>
      </c>
      <c r="W26" s="289">
        <f t="shared" si="9"/>
        <v>0</v>
      </c>
      <c r="X26" s="400">
        <f t="shared" si="36"/>
        <v>4.2309999999999999</v>
      </c>
      <c r="Y26" s="400">
        <f t="shared" si="10"/>
        <v>4.2309999999999999</v>
      </c>
      <c r="Z26" s="400">
        <f t="shared" si="11"/>
        <v>4.2309999999999999</v>
      </c>
      <c r="AA26" s="400">
        <f t="shared" si="12"/>
        <v>4.2309999999999999</v>
      </c>
      <c r="AB26" s="400">
        <f t="shared" si="13"/>
        <v>0</v>
      </c>
      <c r="AC26" s="165">
        <f t="shared" si="14"/>
        <v>16.923999999999999</v>
      </c>
      <c r="AD26" s="289">
        <f t="shared" si="37"/>
        <v>1</v>
      </c>
      <c r="AE26" s="201">
        <v>12.21</v>
      </c>
      <c r="AF26" s="201">
        <v>12.21</v>
      </c>
      <c r="AG26" s="201">
        <v>12.21</v>
      </c>
      <c r="AH26" s="201">
        <v>12.21</v>
      </c>
      <c r="AI26" s="201">
        <v>12.21</v>
      </c>
      <c r="AJ26" s="128">
        <f t="shared" si="15"/>
        <v>51.661000000000001</v>
      </c>
      <c r="AK26" s="128">
        <f t="shared" si="15"/>
        <v>51.661000000000001</v>
      </c>
      <c r="AL26" s="128">
        <f t="shared" si="15"/>
        <v>51.661000000000001</v>
      </c>
      <c r="AM26" s="128">
        <f t="shared" si="15"/>
        <v>51.661000000000001</v>
      </c>
      <c r="AN26" s="128">
        <f t="shared" si="15"/>
        <v>0</v>
      </c>
      <c r="AO26" s="411">
        <f t="shared" si="16"/>
        <v>206.64400000000001</v>
      </c>
      <c r="AP26" s="211">
        <f t="shared" si="38"/>
        <v>0</v>
      </c>
      <c r="AQ26" s="211">
        <f t="shared" si="17"/>
        <v>0</v>
      </c>
      <c r="AR26" s="211">
        <f t="shared" si="18"/>
        <v>0</v>
      </c>
      <c r="AS26" s="211">
        <f t="shared" si="19"/>
        <v>0</v>
      </c>
      <c r="AT26" s="211">
        <f t="shared" si="20"/>
        <v>0</v>
      </c>
      <c r="AU26" s="128">
        <f t="shared" si="21"/>
        <v>0</v>
      </c>
      <c r="AV26" s="289">
        <f t="shared" si="39"/>
        <v>0</v>
      </c>
      <c r="AW26" s="211">
        <f t="shared" si="40"/>
        <v>51.661000000000001</v>
      </c>
      <c r="AX26" s="211">
        <f t="shared" si="22"/>
        <v>51.661000000000001</v>
      </c>
      <c r="AY26" s="211">
        <f t="shared" si="23"/>
        <v>51.661000000000001</v>
      </c>
      <c r="AZ26" s="211">
        <f t="shared" si="24"/>
        <v>51.661000000000001</v>
      </c>
      <c r="BA26" s="211">
        <f t="shared" si="25"/>
        <v>0</v>
      </c>
      <c r="BB26" s="128">
        <f t="shared" si="26"/>
        <v>206.64400000000001</v>
      </c>
      <c r="BC26" s="289">
        <f t="shared" si="41"/>
        <v>1</v>
      </c>
      <c r="BD26" s="74"/>
      <c r="BF26" s="98" t="s">
        <v>0</v>
      </c>
      <c r="BG26" s="18" t="s">
        <v>11</v>
      </c>
      <c r="BH26" s="198"/>
      <c r="BI26" s="99">
        <f t="shared" si="27"/>
        <v>0</v>
      </c>
      <c r="BJ26" s="99">
        <v>0</v>
      </c>
      <c r="BK26" s="99">
        <f t="shared" si="28"/>
        <v>0</v>
      </c>
      <c r="BL26" s="99">
        <v>0</v>
      </c>
      <c r="BM26" s="100">
        <f t="shared" si="29"/>
        <v>0</v>
      </c>
      <c r="BQ26" s="115">
        <v>11.74</v>
      </c>
      <c r="CD26" s="9" t="s">
        <v>153</v>
      </c>
      <c r="CF26" s="9" t="s">
        <v>149</v>
      </c>
      <c r="CG26" s="9" t="s">
        <v>42</v>
      </c>
      <c r="CK26" s="9" t="s">
        <v>148</v>
      </c>
      <c r="CQ26" s="72">
        <f t="shared" si="30"/>
        <v>0</v>
      </c>
      <c r="CR26" s="72">
        <f t="shared" si="31"/>
        <v>51.661000000000001</v>
      </c>
      <c r="CS26" s="72">
        <f t="shared" si="32"/>
        <v>0</v>
      </c>
      <c r="CT26" s="72">
        <f t="shared" si="33"/>
        <v>0</v>
      </c>
      <c r="CU26" s="72">
        <f t="shared" si="34"/>
        <v>0</v>
      </c>
      <c r="CV26" s="9" t="s">
        <v>42</v>
      </c>
      <c r="CW26" s="101">
        <f t="shared" si="35"/>
        <v>51.661000000000001</v>
      </c>
      <c r="CX26" s="9" t="s">
        <v>153</v>
      </c>
      <c r="CY26" s="9" t="s">
        <v>350</v>
      </c>
    </row>
    <row r="27" spans="2:103" s="1" customFormat="1" ht="31.5" customHeight="1">
      <c r="B27" s="73"/>
      <c r="C27" s="93" t="s">
        <v>162</v>
      </c>
      <c r="D27" s="93" t="s">
        <v>149</v>
      </c>
      <c r="E27" s="94" t="s">
        <v>157</v>
      </c>
      <c r="F27" s="498" t="s">
        <v>158</v>
      </c>
      <c r="G27" s="498"/>
      <c r="H27" s="498"/>
      <c r="I27" s="498"/>
      <c r="J27" s="95" t="s">
        <v>152</v>
      </c>
      <c r="K27" s="128">
        <v>38.079000000000001</v>
      </c>
      <c r="L27" s="128">
        <v>38.079000000000001</v>
      </c>
      <c r="M27" s="128">
        <v>38.079000000000001</v>
      </c>
      <c r="N27" s="128">
        <v>38.079000000000001</v>
      </c>
      <c r="O27" s="128">
        <v>0</v>
      </c>
      <c r="P27" s="403">
        <f t="shared" si="7"/>
        <v>152.316</v>
      </c>
      <c r="Q27" s="400">
        <v>0</v>
      </c>
      <c r="R27" s="400">
        <v>0</v>
      </c>
      <c r="S27" s="400">
        <v>0</v>
      </c>
      <c r="T27" s="400">
        <v>0</v>
      </c>
      <c r="U27" s="400">
        <v>0</v>
      </c>
      <c r="V27" s="165">
        <f t="shared" si="8"/>
        <v>0</v>
      </c>
      <c r="W27" s="289">
        <f t="shared" si="9"/>
        <v>0</v>
      </c>
      <c r="X27" s="400">
        <f t="shared" si="36"/>
        <v>38.079000000000001</v>
      </c>
      <c r="Y27" s="400">
        <f t="shared" si="10"/>
        <v>38.079000000000001</v>
      </c>
      <c r="Z27" s="400">
        <f t="shared" si="11"/>
        <v>38.079000000000001</v>
      </c>
      <c r="AA27" s="400">
        <f t="shared" si="12"/>
        <v>38.079000000000001</v>
      </c>
      <c r="AB27" s="400">
        <f t="shared" si="13"/>
        <v>0</v>
      </c>
      <c r="AC27" s="165">
        <f t="shared" si="14"/>
        <v>152.316</v>
      </c>
      <c r="AD27" s="289">
        <f t="shared" si="37"/>
        <v>1</v>
      </c>
      <c r="AE27" s="201">
        <v>0.51</v>
      </c>
      <c r="AF27" s="201">
        <v>0.51</v>
      </c>
      <c r="AG27" s="201">
        <v>0.51</v>
      </c>
      <c r="AH27" s="201">
        <v>0.51</v>
      </c>
      <c r="AI27" s="201">
        <v>0.51</v>
      </c>
      <c r="AJ27" s="128">
        <f t="shared" si="15"/>
        <v>19.420000000000002</v>
      </c>
      <c r="AK27" s="128">
        <f t="shared" si="15"/>
        <v>19.420000000000002</v>
      </c>
      <c r="AL27" s="128">
        <f t="shared" si="15"/>
        <v>19.420000000000002</v>
      </c>
      <c r="AM27" s="128">
        <f t="shared" si="15"/>
        <v>19.420000000000002</v>
      </c>
      <c r="AN27" s="128">
        <f t="shared" si="15"/>
        <v>0</v>
      </c>
      <c r="AO27" s="411">
        <f t="shared" si="16"/>
        <v>77.680000000000007</v>
      </c>
      <c r="AP27" s="211">
        <f t="shared" si="38"/>
        <v>0</v>
      </c>
      <c r="AQ27" s="211">
        <f t="shared" si="17"/>
        <v>0</v>
      </c>
      <c r="AR27" s="211">
        <f t="shared" si="18"/>
        <v>0</v>
      </c>
      <c r="AS27" s="211">
        <f t="shared" si="19"/>
        <v>0</v>
      </c>
      <c r="AT27" s="211">
        <f t="shared" si="20"/>
        <v>0</v>
      </c>
      <c r="AU27" s="128">
        <f t="shared" si="21"/>
        <v>0</v>
      </c>
      <c r="AV27" s="289">
        <f t="shared" si="39"/>
        <v>0</v>
      </c>
      <c r="AW27" s="211">
        <f t="shared" si="40"/>
        <v>19.420000000000002</v>
      </c>
      <c r="AX27" s="211">
        <f t="shared" si="22"/>
        <v>19.420000000000002</v>
      </c>
      <c r="AY27" s="211">
        <f t="shared" si="23"/>
        <v>19.420000000000002</v>
      </c>
      <c r="AZ27" s="211">
        <f t="shared" si="24"/>
        <v>19.420000000000002</v>
      </c>
      <c r="BA27" s="211">
        <f t="shared" si="25"/>
        <v>0</v>
      </c>
      <c r="BB27" s="128">
        <f t="shared" si="26"/>
        <v>77.680000000000007</v>
      </c>
      <c r="BC27" s="289">
        <f t="shared" si="41"/>
        <v>1</v>
      </c>
      <c r="BD27" s="74"/>
      <c r="BF27" s="98" t="s">
        <v>0</v>
      </c>
      <c r="BG27" s="18" t="s">
        <v>11</v>
      </c>
      <c r="BH27" s="198"/>
      <c r="BI27" s="99">
        <f t="shared" si="27"/>
        <v>0</v>
      </c>
      <c r="BJ27" s="99">
        <v>0</v>
      </c>
      <c r="BK27" s="99">
        <f t="shared" si="28"/>
        <v>0</v>
      </c>
      <c r="BL27" s="99">
        <v>0</v>
      </c>
      <c r="BM27" s="100">
        <f t="shared" si="29"/>
        <v>0</v>
      </c>
      <c r="BQ27" s="115">
        <v>0.49</v>
      </c>
      <c r="CD27" s="9" t="s">
        <v>153</v>
      </c>
      <c r="CF27" s="9" t="s">
        <v>149</v>
      </c>
      <c r="CG27" s="9" t="s">
        <v>42</v>
      </c>
      <c r="CK27" s="9" t="s">
        <v>148</v>
      </c>
      <c r="CQ27" s="72">
        <f t="shared" si="30"/>
        <v>0</v>
      </c>
      <c r="CR27" s="72">
        <f t="shared" si="31"/>
        <v>19.420000000000002</v>
      </c>
      <c r="CS27" s="72">
        <f t="shared" si="32"/>
        <v>0</v>
      </c>
      <c r="CT27" s="72">
        <f t="shared" si="33"/>
        <v>0</v>
      </c>
      <c r="CU27" s="72">
        <f t="shared" si="34"/>
        <v>0</v>
      </c>
      <c r="CV27" s="9" t="s">
        <v>42</v>
      </c>
      <c r="CW27" s="101">
        <f t="shared" si="35"/>
        <v>19.420000000000002</v>
      </c>
      <c r="CX27" s="9" t="s">
        <v>153</v>
      </c>
      <c r="CY27" s="9" t="s">
        <v>351</v>
      </c>
    </row>
    <row r="28" spans="2:103" s="1" customFormat="1" ht="31.5" customHeight="1">
      <c r="B28" s="73"/>
      <c r="C28" s="93" t="s">
        <v>165</v>
      </c>
      <c r="D28" s="93" t="s">
        <v>149</v>
      </c>
      <c r="E28" s="94" t="s">
        <v>160</v>
      </c>
      <c r="F28" s="498" t="s">
        <v>161</v>
      </c>
      <c r="G28" s="498"/>
      <c r="H28" s="498"/>
      <c r="I28" s="498"/>
      <c r="J28" s="95" t="s">
        <v>152</v>
      </c>
      <c r="K28" s="128">
        <v>4.2309999999999999</v>
      </c>
      <c r="L28" s="128">
        <v>4.2309999999999999</v>
      </c>
      <c r="M28" s="128">
        <v>4.2309999999999999</v>
      </c>
      <c r="N28" s="128">
        <v>4.2309999999999999</v>
      </c>
      <c r="O28" s="128">
        <v>0</v>
      </c>
      <c r="P28" s="403">
        <f t="shared" si="7"/>
        <v>16.923999999999999</v>
      </c>
      <c r="Q28" s="400">
        <v>0</v>
      </c>
      <c r="R28" s="400">
        <v>0</v>
      </c>
      <c r="S28" s="400">
        <v>0</v>
      </c>
      <c r="T28" s="400">
        <v>0</v>
      </c>
      <c r="U28" s="400">
        <v>0</v>
      </c>
      <c r="V28" s="165">
        <f t="shared" si="8"/>
        <v>0</v>
      </c>
      <c r="W28" s="289">
        <f t="shared" si="9"/>
        <v>0</v>
      </c>
      <c r="X28" s="400">
        <f t="shared" si="36"/>
        <v>4.2309999999999999</v>
      </c>
      <c r="Y28" s="400">
        <f t="shared" si="10"/>
        <v>4.2309999999999999</v>
      </c>
      <c r="Z28" s="400">
        <f t="shared" si="11"/>
        <v>4.2309999999999999</v>
      </c>
      <c r="AA28" s="400">
        <f t="shared" si="12"/>
        <v>4.2309999999999999</v>
      </c>
      <c r="AB28" s="400">
        <f t="shared" si="13"/>
        <v>0</v>
      </c>
      <c r="AC28" s="165">
        <f t="shared" si="14"/>
        <v>16.923999999999999</v>
      </c>
      <c r="AD28" s="289">
        <f t="shared" si="37"/>
        <v>1</v>
      </c>
      <c r="AE28" s="201">
        <v>47.25</v>
      </c>
      <c r="AF28" s="201">
        <v>47.25</v>
      </c>
      <c r="AG28" s="201">
        <v>47.25</v>
      </c>
      <c r="AH28" s="201">
        <v>47.25</v>
      </c>
      <c r="AI28" s="201">
        <v>47.25</v>
      </c>
      <c r="AJ28" s="128">
        <f t="shared" si="15"/>
        <v>199.91499999999999</v>
      </c>
      <c r="AK28" s="128">
        <f t="shared" si="15"/>
        <v>199.91499999999999</v>
      </c>
      <c r="AL28" s="128">
        <f t="shared" si="15"/>
        <v>199.91499999999999</v>
      </c>
      <c r="AM28" s="128">
        <f t="shared" si="15"/>
        <v>199.91499999999999</v>
      </c>
      <c r="AN28" s="128">
        <f t="shared" si="15"/>
        <v>0</v>
      </c>
      <c r="AO28" s="411">
        <f t="shared" si="16"/>
        <v>799.66</v>
      </c>
      <c r="AP28" s="211">
        <f t="shared" si="38"/>
        <v>0</v>
      </c>
      <c r="AQ28" s="211">
        <f t="shared" si="17"/>
        <v>0</v>
      </c>
      <c r="AR28" s="211">
        <f t="shared" si="18"/>
        <v>0</v>
      </c>
      <c r="AS28" s="211">
        <f t="shared" si="19"/>
        <v>0</v>
      </c>
      <c r="AT28" s="211">
        <f t="shared" si="20"/>
        <v>0</v>
      </c>
      <c r="AU28" s="128">
        <f t="shared" si="21"/>
        <v>0</v>
      </c>
      <c r="AV28" s="289">
        <f t="shared" si="39"/>
        <v>0</v>
      </c>
      <c r="AW28" s="211">
        <f t="shared" si="40"/>
        <v>199.91499999999999</v>
      </c>
      <c r="AX28" s="211">
        <f t="shared" si="22"/>
        <v>199.91499999999999</v>
      </c>
      <c r="AY28" s="211">
        <f t="shared" si="23"/>
        <v>199.91499999999999</v>
      </c>
      <c r="AZ28" s="211">
        <f t="shared" si="24"/>
        <v>199.91499999999999</v>
      </c>
      <c r="BA28" s="211">
        <f t="shared" si="25"/>
        <v>0</v>
      </c>
      <c r="BB28" s="128">
        <f t="shared" si="26"/>
        <v>799.66</v>
      </c>
      <c r="BC28" s="289">
        <f t="shared" si="41"/>
        <v>1</v>
      </c>
      <c r="BD28" s="74"/>
      <c r="BF28" s="98" t="s">
        <v>0</v>
      </c>
      <c r="BG28" s="18" t="s">
        <v>11</v>
      </c>
      <c r="BH28" s="198"/>
      <c r="BI28" s="99">
        <f t="shared" si="27"/>
        <v>0</v>
      </c>
      <c r="BJ28" s="99">
        <v>0</v>
      </c>
      <c r="BK28" s="99">
        <f t="shared" si="28"/>
        <v>0</v>
      </c>
      <c r="BL28" s="99">
        <v>0</v>
      </c>
      <c r="BM28" s="100">
        <f t="shared" si="29"/>
        <v>0</v>
      </c>
      <c r="BQ28" s="1">
        <v>45.43</v>
      </c>
      <c r="CD28" s="9" t="s">
        <v>153</v>
      </c>
      <c r="CF28" s="9" t="s">
        <v>149</v>
      </c>
      <c r="CG28" s="9" t="s">
        <v>42</v>
      </c>
      <c r="CK28" s="9" t="s">
        <v>148</v>
      </c>
      <c r="CQ28" s="72">
        <f t="shared" si="30"/>
        <v>0</v>
      </c>
      <c r="CR28" s="72">
        <f t="shared" si="31"/>
        <v>199.91499999999999</v>
      </c>
      <c r="CS28" s="72">
        <f t="shared" si="32"/>
        <v>0</v>
      </c>
      <c r="CT28" s="72">
        <f t="shared" si="33"/>
        <v>0</v>
      </c>
      <c r="CU28" s="72">
        <f t="shared" si="34"/>
        <v>0</v>
      </c>
      <c r="CV28" s="9" t="s">
        <v>42</v>
      </c>
      <c r="CW28" s="101">
        <f t="shared" si="35"/>
        <v>199.91499999999999</v>
      </c>
      <c r="CX28" s="9" t="s">
        <v>153</v>
      </c>
      <c r="CY28" s="9" t="s">
        <v>352</v>
      </c>
    </row>
    <row r="29" spans="2:103" s="7" customFormat="1" ht="37.35" customHeight="1">
      <c r="B29" s="82"/>
      <c r="C29" s="83"/>
      <c r="D29" s="84" t="s">
        <v>130</v>
      </c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175"/>
      <c r="Q29" s="84"/>
      <c r="R29" s="84"/>
      <c r="S29" s="84"/>
      <c r="T29" s="84"/>
      <c r="U29" s="84"/>
      <c r="V29" s="175"/>
      <c r="W29" s="175"/>
      <c r="X29" s="84"/>
      <c r="Y29" s="84"/>
      <c r="Z29" s="84"/>
      <c r="AA29" s="84"/>
      <c r="AB29" s="84"/>
      <c r="AC29" s="175"/>
      <c r="AD29" s="175"/>
      <c r="AE29" s="84"/>
      <c r="AF29" s="84"/>
      <c r="AG29" s="84"/>
      <c r="AH29" s="84"/>
      <c r="AI29" s="84"/>
      <c r="AJ29" s="135">
        <f t="shared" ref="AJ29:AO29" si="42">AJ30+AJ34</f>
        <v>10416.276000000002</v>
      </c>
      <c r="AK29" s="135">
        <f t="shared" si="42"/>
        <v>9810.2160000000022</v>
      </c>
      <c r="AL29" s="135">
        <f t="shared" si="42"/>
        <v>14155.406000000001</v>
      </c>
      <c r="AM29" s="135">
        <f t="shared" si="42"/>
        <v>14341.618</v>
      </c>
      <c r="AN29" s="135">
        <f t="shared" si="42"/>
        <v>17659.808999999997</v>
      </c>
      <c r="AO29" s="433">
        <f t="shared" si="42"/>
        <v>66383.325000000012</v>
      </c>
      <c r="AP29" s="135">
        <f t="shared" ref="AP29:AU29" si="43">AP30+AP34</f>
        <v>0</v>
      </c>
      <c r="AQ29" s="135">
        <f t="shared" si="43"/>
        <v>0</v>
      </c>
      <c r="AR29" s="135">
        <f t="shared" si="43"/>
        <v>0</v>
      </c>
      <c r="AS29" s="135">
        <f t="shared" si="43"/>
        <v>0</v>
      </c>
      <c r="AT29" s="135">
        <f t="shared" si="43"/>
        <v>0</v>
      </c>
      <c r="AU29" s="135">
        <f t="shared" si="43"/>
        <v>0</v>
      </c>
      <c r="AV29" s="130"/>
      <c r="AW29" s="135">
        <f t="shared" ref="AW29:BB29" si="44">AW30+AW34</f>
        <v>10416.276000000002</v>
      </c>
      <c r="AX29" s="135">
        <f t="shared" si="44"/>
        <v>9810.2160000000022</v>
      </c>
      <c r="AY29" s="135">
        <f t="shared" si="44"/>
        <v>14155.406000000001</v>
      </c>
      <c r="AZ29" s="135">
        <f t="shared" si="44"/>
        <v>14341.618</v>
      </c>
      <c r="BA29" s="135">
        <f t="shared" si="44"/>
        <v>17659.808999999997</v>
      </c>
      <c r="BB29" s="135">
        <f t="shared" si="44"/>
        <v>66383.325000000012</v>
      </c>
      <c r="BC29" s="130"/>
      <c r="BD29" s="85"/>
      <c r="BF29" s="86"/>
      <c r="BG29" s="83"/>
      <c r="BH29" s="83"/>
      <c r="BI29" s="87">
        <f>BI30+BI34</f>
        <v>0</v>
      </c>
      <c r="BJ29" s="83"/>
      <c r="BK29" s="87">
        <f>BK30+BK34</f>
        <v>0</v>
      </c>
      <c r="BL29" s="83"/>
      <c r="BM29" s="88">
        <f>BM30+BM34</f>
        <v>0</v>
      </c>
      <c r="CD29" s="89" t="s">
        <v>42</v>
      </c>
      <c r="CF29" s="90" t="s">
        <v>30</v>
      </c>
      <c r="CG29" s="90" t="s">
        <v>31</v>
      </c>
      <c r="CK29" s="89" t="s">
        <v>148</v>
      </c>
      <c r="CW29" s="91">
        <f>CW30+CW34</f>
        <v>10416.276000000002</v>
      </c>
    </row>
    <row r="30" spans="2:103" s="7" customFormat="1" ht="19.899999999999999" customHeight="1">
      <c r="B30" s="82"/>
      <c r="C30" s="83"/>
      <c r="D30" s="92" t="s">
        <v>335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176"/>
      <c r="Q30" s="92"/>
      <c r="R30" s="92"/>
      <c r="S30" s="92"/>
      <c r="T30" s="92"/>
      <c r="U30" s="92"/>
      <c r="V30" s="176"/>
      <c r="W30" s="176"/>
      <c r="X30" s="92"/>
      <c r="Y30" s="92"/>
      <c r="Z30" s="92"/>
      <c r="AA30" s="92"/>
      <c r="AB30" s="92"/>
      <c r="AC30" s="176"/>
      <c r="AD30" s="176"/>
      <c r="AE30" s="92"/>
      <c r="AF30" s="92"/>
      <c r="AG30" s="92"/>
      <c r="AH30" s="92"/>
      <c r="AI30" s="92"/>
      <c r="AJ30" s="131">
        <f t="shared" ref="AJ30:AO30" si="45">SUM(AJ31:AJ33)</f>
        <v>862.52800000000002</v>
      </c>
      <c r="AK30" s="131">
        <f t="shared" si="45"/>
        <v>862.52800000000002</v>
      </c>
      <c r="AL30" s="131">
        <f t="shared" si="45"/>
        <v>1130.3779999999999</v>
      </c>
      <c r="AM30" s="131">
        <f t="shared" si="45"/>
        <v>1222.9079999999999</v>
      </c>
      <c r="AN30" s="131">
        <f t="shared" si="45"/>
        <v>841.56600000000003</v>
      </c>
      <c r="AO30" s="432">
        <f t="shared" si="45"/>
        <v>4919.9080000000004</v>
      </c>
      <c r="AP30" s="131">
        <f t="shared" ref="AP30:AU30" si="46">SUM(AP31:AP33)</f>
        <v>0</v>
      </c>
      <c r="AQ30" s="131">
        <f t="shared" si="46"/>
        <v>0</v>
      </c>
      <c r="AR30" s="131">
        <f t="shared" si="46"/>
        <v>0</v>
      </c>
      <c r="AS30" s="131">
        <f t="shared" si="46"/>
        <v>0</v>
      </c>
      <c r="AT30" s="131">
        <f t="shared" si="46"/>
        <v>0</v>
      </c>
      <c r="AU30" s="131">
        <f t="shared" si="46"/>
        <v>0</v>
      </c>
      <c r="AV30" s="163"/>
      <c r="AW30" s="131">
        <f t="shared" ref="AW30:BB30" si="47">SUM(AW31:AW33)</f>
        <v>862.52800000000002</v>
      </c>
      <c r="AX30" s="131">
        <f t="shared" si="47"/>
        <v>862.52800000000002</v>
      </c>
      <c r="AY30" s="131">
        <f t="shared" si="47"/>
        <v>1130.3779999999999</v>
      </c>
      <c r="AZ30" s="131">
        <f t="shared" si="47"/>
        <v>1222.9079999999999</v>
      </c>
      <c r="BA30" s="131">
        <f t="shared" si="47"/>
        <v>841.56600000000003</v>
      </c>
      <c r="BB30" s="131">
        <f t="shared" si="47"/>
        <v>4919.9080000000004</v>
      </c>
      <c r="BC30" s="163"/>
      <c r="BD30" s="85"/>
      <c r="BF30" s="86"/>
      <c r="BG30" s="83"/>
      <c r="BH30" s="83"/>
      <c r="BI30" s="87">
        <f>SUM(BI31:BI33)</f>
        <v>0</v>
      </c>
      <c r="BJ30" s="83"/>
      <c r="BK30" s="87">
        <f>SUM(BK31:BK33)</f>
        <v>0</v>
      </c>
      <c r="BL30" s="83"/>
      <c r="BM30" s="88">
        <f>SUM(BM31:BM33)</f>
        <v>0</v>
      </c>
      <c r="CD30" s="89" t="s">
        <v>42</v>
      </c>
      <c r="CF30" s="90" t="s">
        <v>30</v>
      </c>
      <c r="CG30" s="90" t="s">
        <v>38</v>
      </c>
      <c r="CK30" s="89" t="s">
        <v>148</v>
      </c>
      <c r="CW30" s="91">
        <f>SUM(CW31:CW33)</f>
        <v>862.52800000000002</v>
      </c>
    </row>
    <row r="31" spans="2:103" s="1" customFormat="1" ht="31.5" customHeight="1">
      <c r="B31" s="73"/>
      <c r="C31" s="93" t="s">
        <v>170</v>
      </c>
      <c r="D31" s="93" t="s">
        <v>149</v>
      </c>
      <c r="E31" s="94" t="s">
        <v>353</v>
      </c>
      <c r="F31" s="498" t="s">
        <v>354</v>
      </c>
      <c r="G31" s="498"/>
      <c r="H31" s="498"/>
      <c r="I31" s="498"/>
      <c r="J31" s="95" t="s">
        <v>198</v>
      </c>
      <c r="K31" s="128">
        <v>35.200000000000003</v>
      </c>
      <c r="L31" s="128">
        <v>35.200000000000003</v>
      </c>
      <c r="M31" s="128">
        <v>46.2</v>
      </c>
      <c r="N31" s="128">
        <v>50</v>
      </c>
      <c r="O31" s="128">
        <v>37.5</v>
      </c>
      <c r="P31" s="403">
        <f>SUM(K31:O31)</f>
        <v>204.10000000000002</v>
      </c>
      <c r="Q31" s="400">
        <v>0</v>
      </c>
      <c r="R31" s="400">
        <v>0</v>
      </c>
      <c r="S31" s="400">
        <v>0</v>
      </c>
      <c r="T31" s="400">
        <v>0</v>
      </c>
      <c r="U31" s="400">
        <v>0</v>
      </c>
      <c r="V31" s="165">
        <f>SUM(Q31:U31)</f>
        <v>0</v>
      </c>
      <c r="W31" s="289">
        <f>V31/P31</f>
        <v>0</v>
      </c>
      <c r="X31" s="400">
        <f t="shared" ref="X31:X33" si="48">K31-Q31</f>
        <v>35.200000000000003</v>
      </c>
      <c r="Y31" s="400">
        <f t="shared" ref="Y31:Y33" si="49">L31-R31</f>
        <v>35.200000000000003</v>
      </c>
      <c r="Z31" s="400">
        <f t="shared" ref="Z31:Z33" si="50">M31-S31</f>
        <v>46.2</v>
      </c>
      <c r="AA31" s="400">
        <f t="shared" ref="AA31:AA33" si="51">N31-T31</f>
        <v>50</v>
      </c>
      <c r="AB31" s="400">
        <f t="shared" ref="AB31:AB33" si="52">O31-U31</f>
        <v>37.5</v>
      </c>
      <c r="AC31" s="165">
        <f>SUM(X31:AB31)</f>
        <v>204.10000000000002</v>
      </c>
      <c r="AD31" s="289">
        <f t="shared" ref="AD31:AD33" si="53">AC31/P31</f>
        <v>1</v>
      </c>
      <c r="AE31" s="201">
        <v>22.33</v>
      </c>
      <c r="AF31" s="201">
        <v>22.33</v>
      </c>
      <c r="AG31" s="201">
        <v>22.33</v>
      </c>
      <c r="AH31" s="201">
        <v>22.33</v>
      </c>
      <c r="AI31" s="201">
        <v>22.33</v>
      </c>
      <c r="AJ31" s="128">
        <f t="shared" ref="AJ31:AN33" si="54">ROUND(AE31*K31,3)</f>
        <v>786.01599999999996</v>
      </c>
      <c r="AK31" s="128">
        <f t="shared" si="54"/>
        <v>786.01599999999996</v>
      </c>
      <c r="AL31" s="128">
        <f t="shared" si="54"/>
        <v>1031.646</v>
      </c>
      <c r="AM31" s="128">
        <f t="shared" si="54"/>
        <v>1116.5</v>
      </c>
      <c r="AN31" s="128">
        <f t="shared" si="54"/>
        <v>837.375</v>
      </c>
      <c r="AO31" s="411">
        <f>SUM(AJ31:AN31)</f>
        <v>4557.5529999999999</v>
      </c>
      <c r="AP31" s="211">
        <f t="shared" ref="AP31:AP33" si="55">ROUND(AE31*Q31,3)</f>
        <v>0</v>
      </c>
      <c r="AQ31" s="211">
        <f t="shared" ref="AQ31:AQ33" si="56">ROUND(AF31*R31,3)</f>
        <v>0</v>
      </c>
      <c r="AR31" s="211">
        <f t="shared" ref="AR31:AR33" si="57">ROUND(AG31*S31,3)</f>
        <v>0</v>
      </c>
      <c r="AS31" s="211">
        <f t="shared" ref="AS31:AS33" si="58">ROUND(AH31*T31,3)</f>
        <v>0</v>
      </c>
      <c r="AT31" s="211">
        <f t="shared" ref="AT31:AT33" si="59">ROUND(AI31*U31,3)</f>
        <v>0</v>
      </c>
      <c r="AU31" s="128">
        <f>SUM(AP31:AT31)</f>
        <v>0</v>
      </c>
      <c r="AV31" s="289">
        <f t="shared" ref="AV31:AV33" si="60">AU31/AO31</f>
        <v>0</v>
      </c>
      <c r="AW31" s="211">
        <f t="shared" ref="AW31:AW33" si="61">AJ31-AP31</f>
        <v>786.01599999999996</v>
      </c>
      <c r="AX31" s="211">
        <f t="shared" ref="AX31:AX33" si="62">AK31-AQ31</f>
        <v>786.01599999999996</v>
      </c>
      <c r="AY31" s="211">
        <f t="shared" ref="AY31:AY33" si="63">AL31-AR31</f>
        <v>1031.646</v>
      </c>
      <c r="AZ31" s="211">
        <f t="shared" ref="AZ31:AZ33" si="64">AM31-AS31</f>
        <v>1116.5</v>
      </c>
      <c r="BA31" s="211">
        <f t="shared" ref="BA31:BA33" si="65">AN31-AT31</f>
        <v>837.375</v>
      </c>
      <c r="BB31" s="128">
        <f>SUM(AW31:BA31)</f>
        <v>4557.5529999999999</v>
      </c>
      <c r="BC31" s="289">
        <f t="shared" ref="BC31:BC32" si="66">BB31/AO31</f>
        <v>1</v>
      </c>
      <c r="BD31" s="74"/>
      <c r="BF31" s="98" t="s">
        <v>0</v>
      </c>
      <c r="BG31" s="18" t="s">
        <v>11</v>
      </c>
      <c r="BH31" s="198"/>
      <c r="BI31" s="99">
        <f>BH31*K31</f>
        <v>0</v>
      </c>
      <c r="BJ31" s="99">
        <v>0</v>
      </c>
      <c r="BK31" s="99">
        <f>BJ31*K31</f>
        <v>0</v>
      </c>
      <c r="BL31" s="99">
        <v>0</v>
      </c>
      <c r="BM31" s="100">
        <f>BL31*K31</f>
        <v>0</v>
      </c>
      <c r="BQ31" s="115">
        <v>21.47</v>
      </c>
      <c r="CD31" s="9" t="s">
        <v>169</v>
      </c>
      <c r="CF31" s="9" t="s">
        <v>149</v>
      </c>
      <c r="CG31" s="9" t="s">
        <v>42</v>
      </c>
      <c r="CK31" s="9" t="s">
        <v>148</v>
      </c>
      <c r="CQ31" s="72">
        <f>IF(BG31="základná",AJ31,0)</f>
        <v>0</v>
      </c>
      <c r="CR31" s="72">
        <f>IF(BG31="znížená",AJ31,0)</f>
        <v>786.01599999999996</v>
      </c>
      <c r="CS31" s="72">
        <f>IF(BG31="zákl. prenesená",AJ31,0)</f>
        <v>0</v>
      </c>
      <c r="CT31" s="72">
        <f>IF(BG31="zníž. prenesená",AJ31,0)</f>
        <v>0</v>
      </c>
      <c r="CU31" s="72">
        <f>IF(BG31="nulová",AJ31,0)</f>
        <v>0</v>
      </c>
      <c r="CV31" s="9" t="s">
        <v>42</v>
      </c>
      <c r="CW31" s="101">
        <f>ROUND(AE31*K31,3)</f>
        <v>786.01599999999996</v>
      </c>
      <c r="CX31" s="9" t="s">
        <v>169</v>
      </c>
      <c r="CY31" s="9" t="s">
        <v>355</v>
      </c>
    </row>
    <row r="32" spans="2:103" s="1" customFormat="1" ht="31.5" customHeight="1">
      <c r="B32" s="73"/>
      <c r="C32" s="93" t="s">
        <v>175</v>
      </c>
      <c r="D32" s="93" t="s">
        <v>149</v>
      </c>
      <c r="E32" s="94" t="s">
        <v>356</v>
      </c>
      <c r="F32" s="498" t="s">
        <v>357</v>
      </c>
      <c r="G32" s="498"/>
      <c r="H32" s="498"/>
      <c r="I32" s="498"/>
      <c r="J32" s="95" t="s">
        <v>198</v>
      </c>
      <c r="K32" s="128">
        <v>35.200000000000003</v>
      </c>
      <c r="L32" s="128">
        <v>35.200000000000003</v>
      </c>
      <c r="M32" s="128">
        <v>46.2</v>
      </c>
      <c r="N32" s="128">
        <v>50</v>
      </c>
      <c r="O32" s="128">
        <v>0</v>
      </c>
      <c r="P32" s="403">
        <f>SUM(K32:O32)</f>
        <v>166.60000000000002</v>
      </c>
      <c r="Q32" s="400">
        <v>0</v>
      </c>
      <c r="R32" s="400">
        <v>0</v>
      </c>
      <c r="S32" s="400">
        <v>0</v>
      </c>
      <c r="T32" s="400">
        <v>0</v>
      </c>
      <c r="U32" s="400">
        <v>0</v>
      </c>
      <c r="V32" s="165">
        <f>SUM(Q32:U32)</f>
        <v>0</v>
      </c>
      <c r="W32" s="289">
        <f>V32/P32</f>
        <v>0</v>
      </c>
      <c r="X32" s="400">
        <f t="shared" si="48"/>
        <v>35.200000000000003</v>
      </c>
      <c r="Y32" s="400">
        <f t="shared" si="49"/>
        <v>35.200000000000003</v>
      </c>
      <c r="Z32" s="400">
        <f t="shared" si="50"/>
        <v>46.2</v>
      </c>
      <c r="AA32" s="400">
        <f t="shared" si="51"/>
        <v>50</v>
      </c>
      <c r="AB32" s="400">
        <f t="shared" si="52"/>
        <v>0</v>
      </c>
      <c r="AC32" s="165">
        <f>SUM(X32:AB32)</f>
        <v>166.60000000000002</v>
      </c>
      <c r="AD32" s="289">
        <f t="shared" si="53"/>
        <v>1</v>
      </c>
      <c r="AE32" s="201">
        <v>2.02</v>
      </c>
      <c r="AF32" s="201">
        <v>2.02</v>
      </c>
      <c r="AG32" s="201">
        <v>2.02</v>
      </c>
      <c r="AH32" s="201">
        <v>2.02</v>
      </c>
      <c r="AI32" s="201">
        <v>2.02</v>
      </c>
      <c r="AJ32" s="128">
        <f t="shared" si="54"/>
        <v>71.103999999999999</v>
      </c>
      <c r="AK32" s="128">
        <f t="shared" si="54"/>
        <v>71.103999999999999</v>
      </c>
      <c r="AL32" s="128">
        <f t="shared" si="54"/>
        <v>93.323999999999998</v>
      </c>
      <c r="AM32" s="128">
        <f t="shared" si="54"/>
        <v>101</v>
      </c>
      <c r="AN32" s="128">
        <f t="shared" si="54"/>
        <v>0</v>
      </c>
      <c r="AO32" s="411">
        <f>SUM(AJ32:AN32)</f>
        <v>336.53199999999998</v>
      </c>
      <c r="AP32" s="211">
        <f t="shared" si="55"/>
        <v>0</v>
      </c>
      <c r="AQ32" s="211">
        <f t="shared" si="56"/>
        <v>0</v>
      </c>
      <c r="AR32" s="211">
        <f t="shared" si="57"/>
        <v>0</v>
      </c>
      <c r="AS32" s="211">
        <f t="shared" si="58"/>
        <v>0</v>
      </c>
      <c r="AT32" s="211">
        <f t="shared" si="59"/>
        <v>0</v>
      </c>
      <c r="AU32" s="128">
        <f>SUM(AP32:AT32)</f>
        <v>0</v>
      </c>
      <c r="AV32" s="289">
        <f t="shared" si="60"/>
        <v>0</v>
      </c>
      <c r="AW32" s="211">
        <f t="shared" si="61"/>
        <v>71.103999999999999</v>
      </c>
      <c r="AX32" s="211">
        <f t="shared" si="62"/>
        <v>71.103999999999999</v>
      </c>
      <c r="AY32" s="211">
        <f t="shared" si="63"/>
        <v>93.323999999999998</v>
      </c>
      <c r="AZ32" s="211">
        <f t="shared" si="64"/>
        <v>101</v>
      </c>
      <c r="BA32" s="211">
        <f t="shared" si="65"/>
        <v>0</v>
      </c>
      <c r="BB32" s="128">
        <f>SUM(AW32:BA32)</f>
        <v>336.53199999999998</v>
      </c>
      <c r="BC32" s="289">
        <f t="shared" si="66"/>
        <v>1</v>
      </c>
      <c r="BD32" s="74"/>
      <c r="BF32" s="98" t="s">
        <v>0</v>
      </c>
      <c r="BG32" s="18" t="s">
        <v>11</v>
      </c>
      <c r="BH32" s="198"/>
      <c r="BI32" s="99">
        <f>BH32*K32</f>
        <v>0</v>
      </c>
      <c r="BJ32" s="99">
        <v>0</v>
      </c>
      <c r="BK32" s="99">
        <f>BJ32*K32</f>
        <v>0</v>
      </c>
      <c r="BL32" s="99">
        <v>0</v>
      </c>
      <c r="BM32" s="100">
        <f>BL32*K32</f>
        <v>0</v>
      </c>
      <c r="BQ32" s="115">
        <v>1.94</v>
      </c>
      <c r="CD32" s="9" t="s">
        <v>169</v>
      </c>
      <c r="CF32" s="9" t="s">
        <v>149</v>
      </c>
      <c r="CG32" s="9" t="s">
        <v>42</v>
      </c>
      <c r="CK32" s="9" t="s">
        <v>148</v>
      </c>
      <c r="CQ32" s="72">
        <f>IF(BG32="základná",AJ32,0)</f>
        <v>0</v>
      </c>
      <c r="CR32" s="72">
        <f>IF(BG32="znížená",AJ32,0)</f>
        <v>71.103999999999999</v>
      </c>
      <c r="CS32" s="72">
        <f>IF(BG32="zákl. prenesená",AJ32,0)</f>
        <v>0</v>
      </c>
      <c r="CT32" s="72">
        <f>IF(BG32="zníž. prenesená",AJ32,0)</f>
        <v>0</v>
      </c>
      <c r="CU32" s="72">
        <f>IF(BG32="nulová",AJ32,0)</f>
        <v>0</v>
      </c>
      <c r="CV32" s="9" t="s">
        <v>42</v>
      </c>
      <c r="CW32" s="101">
        <f>ROUND(AE32*K32,3)</f>
        <v>71.103999999999999</v>
      </c>
      <c r="CX32" s="9" t="s">
        <v>169</v>
      </c>
      <c r="CY32" s="9" t="s">
        <v>358</v>
      </c>
    </row>
    <row r="33" spans="2:103" s="1" customFormat="1" ht="31.5" customHeight="1">
      <c r="B33" s="73"/>
      <c r="C33" s="93" t="s">
        <v>178</v>
      </c>
      <c r="D33" s="93" t="s">
        <v>149</v>
      </c>
      <c r="E33" s="94" t="s">
        <v>359</v>
      </c>
      <c r="F33" s="498" t="s">
        <v>360</v>
      </c>
      <c r="G33" s="498"/>
      <c r="H33" s="498"/>
      <c r="I33" s="498"/>
      <c r="J33" s="95" t="s">
        <v>152</v>
      </c>
      <c r="K33" s="128">
        <v>0.08</v>
      </c>
      <c r="L33" s="128">
        <v>0.08</v>
      </c>
      <c r="M33" s="128">
        <v>0.08</v>
      </c>
      <c r="N33" s="128">
        <v>0.08</v>
      </c>
      <c r="O33" s="128">
        <v>6.2E-2</v>
      </c>
      <c r="P33" s="403">
        <f>SUM(K33:O33)</f>
        <v>0.38200000000000001</v>
      </c>
      <c r="Q33" s="400">
        <v>0</v>
      </c>
      <c r="R33" s="400">
        <v>0</v>
      </c>
      <c r="S33" s="400">
        <v>0</v>
      </c>
      <c r="T33" s="400">
        <v>0</v>
      </c>
      <c r="U33" s="400">
        <v>0</v>
      </c>
      <c r="V33" s="165">
        <f>SUM(Q33:U33)</f>
        <v>0</v>
      </c>
      <c r="W33" s="289">
        <f>V33/P33</f>
        <v>0</v>
      </c>
      <c r="X33" s="400">
        <f t="shared" si="48"/>
        <v>0.08</v>
      </c>
      <c r="Y33" s="400">
        <f t="shared" si="49"/>
        <v>0.08</v>
      </c>
      <c r="Z33" s="400">
        <f t="shared" si="50"/>
        <v>0.08</v>
      </c>
      <c r="AA33" s="400">
        <f t="shared" si="51"/>
        <v>0.08</v>
      </c>
      <c r="AB33" s="400">
        <f t="shared" si="52"/>
        <v>6.2E-2</v>
      </c>
      <c r="AC33" s="165">
        <f>SUM(X33:AB33)</f>
        <v>0.38200000000000001</v>
      </c>
      <c r="AD33" s="289">
        <f t="shared" si="53"/>
        <v>1</v>
      </c>
      <c r="AE33" s="201">
        <v>67.599999999999994</v>
      </c>
      <c r="AF33" s="201">
        <v>67.599999999999994</v>
      </c>
      <c r="AG33" s="201">
        <v>67.599999999999994</v>
      </c>
      <c r="AH33" s="201">
        <v>67.599999999999994</v>
      </c>
      <c r="AI33" s="201">
        <v>67.599999999999994</v>
      </c>
      <c r="AJ33" s="128">
        <f t="shared" si="54"/>
        <v>5.4080000000000004</v>
      </c>
      <c r="AK33" s="128">
        <f t="shared" si="54"/>
        <v>5.4080000000000004</v>
      </c>
      <c r="AL33" s="128">
        <f t="shared" si="54"/>
        <v>5.4080000000000004</v>
      </c>
      <c r="AM33" s="128">
        <f t="shared" si="54"/>
        <v>5.4080000000000004</v>
      </c>
      <c r="AN33" s="128">
        <f t="shared" si="54"/>
        <v>4.1909999999999998</v>
      </c>
      <c r="AO33" s="411">
        <f>SUM(AJ33:AN33)</f>
        <v>25.823</v>
      </c>
      <c r="AP33" s="211">
        <f t="shared" si="55"/>
        <v>0</v>
      </c>
      <c r="AQ33" s="211">
        <f t="shared" si="56"/>
        <v>0</v>
      </c>
      <c r="AR33" s="211">
        <f t="shared" si="57"/>
        <v>0</v>
      </c>
      <c r="AS33" s="211">
        <f t="shared" si="58"/>
        <v>0</v>
      </c>
      <c r="AT33" s="211">
        <f t="shared" si="59"/>
        <v>0</v>
      </c>
      <c r="AU33" s="128">
        <f>SUM(AP33:AT33)</f>
        <v>0</v>
      </c>
      <c r="AV33" s="289">
        <f t="shared" si="60"/>
        <v>0</v>
      </c>
      <c r="AW33" s="211">
        <f t="shared" si="61"/>
        <v>5.4080000000000004</v>
      </c>
      <c r="AX33" s="211">
        <f t="shared" si="62"/>
        <v>5.4080000000000004</v>
      </c>
      <c r="AY33" s="211">
        <f t="shared" si="63"/>
        <v>5.4080000000000004</v>
      </c>
      <c r="AZ33" s="211">
        <f t="shared" si="64"/>
        <v>5.4080000000000004</v>
      </c>
      <c r="BA33" s="211">
        <f t="shared" si="65"/>
        <v>4.1909999999999998</v>
      </c>
      <c r="BB33" s="128">
        <f>SUM(AW33:BA33)</f>
        <v>25.823</v>
      </c>
      <c r="BC33" s="289">
        <f>BB33/AO33</f>
        <v>1</v>
      </c>
      <c r="BD33" s="74"/>
      <c r="BF33" s="98" t="s">
        <v>0</v>
      </c>
      <c r="BG33" s="18" t="s">
        <v>11</v>
      </c>
      <c r="BH33" s="198"/>
      <c r="BI33" s="99">
        <f>BH33*K33</f>
        <v>0</v>
      </c>
      <c r="BJ33" s="99">
        <v>0</v>
      </c>
      <c r="BK33" s="99">
        <f>BJ33*K33</f>
        <v>0</v>
      </c>
      <c r="BL33" s="99">
        <v>0</v>
      </c>
      <c r="BM33" s="100">
        <f>BL33*K33</f>
        <v>0</v>
      </c>
      <c r="BQ33" s="115">
        <v>65</v>
      </c>
      <c r="CD33" s="9" t="s">
        <v>169</v>
      </c>
      <c r="CF33" s="9" t="s">
        <v>149</v>
      </c>
      <c r="CG33" s="9" t="s">
        <v>42</v>
      </c>
      <c r="CK33" s="9" t="s">
        <v>148</v>
      </c>
      <c r="CQ33" s="72">
        <f>IF(BG33="základná",AJ33,0)</f>
        <v>0</v>
      </c>
      <c r="CR33" s="72">
        <f>IF(BG33="znížená",AJ33,0)</f>
        <v>5.4080000000000004</v>
      </c>
      <c r="CS33" s="72">
        <f>IF(BG33="zákl. prenesená",AJ33,0)</f>
        <v>0</v>
      </c>
      <c r="CT33" s="72">
        <f>IF(BG33="zníž. prenesená",AJ33,0)</f>
        <v>0</v>
      </c>
      <c r="CU33" s="72">
        <f>IF(BG33="nulová",AJ33,0)</f>
        <v>0</v>
      </c>
      <c r="CV33" s="9" t="s">
        <v>42</v>
      </c>
      <c r="CW33" s="101">
        <f>ROUND(AE33*K33,3)</f>
        <v>5.4080000000000004</v>
      </c>
      <c r="CX33" s="9" t="s">
        <v>169</v>
      </c>
      <c r="CY33" s="9" t="s">
        <v>361</v>
      </c>
    </row>
    <row r="34" spans="2:103" s="7" customFormat="1" ht="29.85" customHeight="1">
      <c r="B34" s="82"/>
      <c r="C34" s="83"/>
      <c r="D34" s="92" t="s">
        <v>336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176"/>
      <c r="Q34" s="92"/>
      <c r="R34" s="92"/>
      <c r="S34" s="92"/>
      <c r="T34" s="92"/>
      <c r="U34" s="92"/>
      <c r="V34" s="176"/>
      <c r="W34" s="176"/>
      <c r="X34" s="92"/>
      <c r="Y34" s="92"/>
      <c r="Z34" s="92"/>
      <c r="AA34" s="92"/>
      <c r="AB34" s="92"/>
      <c r="AC34" s="176"/>
      <c r="AD34" s="176"/>
      <c r="AE34" s="92"/>
      <c r="AF34" s="92"/>
      <c r="AG34" s="92"/>
      <c r="AH34" s="92"/>
      <c r="AI34" s="92"/>
      <c r="AJ34" s="134">
        <f t="shared" ref="AJ34:AO34" si="67">SUM(AJ35:AJ55)</f>
        <v>9553.7480000000014</v>
      </c>
      <c r="AK34" s="134">
        <f t="shared" si="67"/>
        <v>8947.6880000000019</v>
      </c>
      <c r="AL34" s="134">
        <f t="shared" si="67"/>
        <v>13025.028</v>
      </c>
      <c r="AM34" s="134">
        <f t="shared" si="67"/>
        <v>13118.710000000001</v>
      </c>
      <c r="AN34" s="134">
        <f t="shared" si="67"/>
        <v>16818.242999999999</v>
      </c>
      <c r="AO34" s="434">
        <f t="shared" si="67"/>
        <v>61463.417000000009</v>
      </c>
      <c r="AP34" s="134">
        <f t="shared" ref="AP34:AU34" si="68">SUM(AP35:AP55)</f>
        <v>0</v>
      </c>
      <c r="AQ34" s="134">
        <f t="shared" si="68"/>
        <v>0</v>
      </c>
      <c r="AR34" s="134">
        <f t="shared" si="68"/>
        <v>0</v>
      </c>
      <c r="AS34" s="134">
        <f t="shared" si="68"/>
        <v>0</v>
      </c>
      <c r="AT34" s="134">
        <f t="shared" si="68"/>
        <v>0</v>
      </c>
      <c r="AU34" s="134">
        <f t="shared" si="68"/>
        <v>0</v>
      </c>
      <c r="AV34" s="163"/>
      <c r="AW34" s="134">
        <f t="shared" ref="AW34:BB34" si="69">SUM(AW35:AW55)</f>
        <v>9553.7480000000014</v>
      </c>
      <c r="AX34" s="134">
        <f t="shared" si="69"/>
        <v>8947.6880000000019</v>
      </c>
      <c r="AY34" s="134">
        <f t="shared" si="69"/>
        <v>13025.028</v>
      </c>
      <c r="AZ34" s="134">
        <f t="shared" si="69"/>
        <v>13118.710000000001</v>
      </c>
      <c r="BA34" s="134">
        <f t="shared" si="69"/>
        <v>16818.242999999999</v>
      </c>
      <c r="BB34" s="134">
        <f t="shared" si="69"/>
        <v>61463.417000000009</v>
      </c>
      <c r="BC34" s="163"/>
      <c r="BD34" s="85"/>
      <c r="BF34" s="86"/>
      <c r="BG34" s="83"/>
      <c r="BH34" s="83"/>
      <c r="BI34" s="87">
        <f>SUM(BI35:BI55)</f>
        <v>0</v>
      </c>
      <c r="BJ34" s="83"/>
      <c r="BK34" s="87">
        <f>SUM(BK35:BK55)</f>
        <v>0</v>
      </c>
      <c r="BL34" s="83"/>
      <c r="BM34" s="88">
        <f>SUM(BM35:BM55)</f>
        <v>0</v>
      </c>
      <c r="CD34" s="89" t="s">
        <v>42</v>
      </c>
      <c r="CF34" s="90" t="s">
        <v>30</v>
      </c>
      <c r="CG34" s="90" t="s">
        <v>38</v>
      </c>
      <c r="CK34" s="89" t="s">
        <v>148</v>
      </c>
      <c r="CW34" s="91">
        <f>SUM(CW35:CW55)</f>
        <v>9553.7480000000014</v>
      </c>
    </row>
    <row r="35" spans="2:103" s="1" customFormat="1" ht="31.5" customHeight="1">
      <c r="B35" s="73"/>
      <c r="C35" s="93">
        <v>12</v>
      </c>
      <c r="D35" s="93" t="s">
        <v>149</v>
      </c>
      <c r="E35" s="94" t="s">
        <v>362</v>
      </c>
      <c r="F35" s="498" t="s">
        <v>363</v>
      </c>
      <c r="G35" s="498"/>
      <c r="H35" s="498"/>
      <c r="I35" s="498"/>
      <c r="J35" s="95" t="s">
        <v>198</v>
      </c>
      <c r="K35" s="128">
        <v>280.33999999999997</v>
      </c>
      <c r="L35" s="128">
        <v>280.33999999999997</v>
      </c>
      <c r="M35" s="128">
        <v>280.33999999999997</v>
      </c>
      <c r="N35" s="128">
        <v>280.33999999999997</v>
      </c>
      <c r="O35" s="128">
        <v>204</v>
      </c>
      <c r="P35" s="403">
        <f t="shared" ref="P35:P55" si="70">SUM(K35:O35)</f>
        <v>1325.36</v>
      </c>
      <c r="Q35" s="400">
        <v>0</v>
      </c>
      <c r="R35" s="128">
        <v>0</v>
      </c>
      <c r="S35" s="128">
        <v>0</v>
      </c>
      <c r="T35" s="128">
        <v>0</v>
      </c>
      <c r="U35" s="128">
        <v>0</v>
      </c>
      <c r="V35" s="165">
        <f t="shared" ref="V35:V55" si="71">SUM(Q35:U35)</f>
        <v>0</v>
      </c>
      <c r="W35" s="289">
        <f t="shared" ref="W35:W55" si="72">V35/P35</f>
        <v>0</v>
      </c>
      <c r="X35" s="400">
        <f t="shared" ref="X35:X55" si="73">K35-Q35</f>
        <v>280.33999999999997</v>
      </c>
      <c r="Y35" s="128">
        <f t="shared" ref="Y35:Y55" si="74">L35-R35</f>
        <v>280.33999999999997</v>
      </c>
      <c r="Z35" s="128">
        <f t="shared" ref="Z35:Z55" si="75">M35-S35</f>
        <v>280.33999999999997</v>
      </c>
      <c r="AA35" s="128">
        <f t="shared" ref="AA35:AA55" si="76">N35-T35</f>
        <v>280.33999999999997</v>
      </c>
      <c r="AB35" s="128">
        <f t="shared" ref="AB35:AB55" si="77">O35-U35</f>
        <v>204</v>
      </c>
      <c r="AC35" s="165">
        <f t="shared" ref="AC35:AC55" si="78">SUM(X35:AB35)</f>
        <v>1325.36</v>
      </c>
      <c r="AD35" s="289">
        <f t="shared" ref="AD35:AD55" si="79">AC35/P35</f>
        <v>1</v>
      </c>
      <c r="AE35" s="201">
        <v>11.29</v>
      </c>
      <c r="AF35" s="201">
        <v>11.29</v>
      </c>
      <c r="AG35" s="201">
        <v>11.29</v>
      </c>
      <c r="AH35" s="201">
        <v>11.29</v>
      </c>
      <c r="AI35" s="201">
        <v>11.29</v>
      </c>
      <c r="AJ35" s="128">
        <f t="shared" ref="AJ35:AJ55" si="80">ROUND(AE35*K35,3)</f>
        <v>3165.0390000000002</v>
      </c>
      <c r="AK35" s="128">
        <f t="shared" ref="AK35:AK55" si="81">ROUND(AF35*L35,3)</f>
        <v>3165.0390000000002</v>
      </c>
      <c r="AL35" s="128">
        <f t="shared" ref="AL35:AL55" si="82">ROUND(AG35*M35,3)</f>
        <v>3165.0390000000002</v>
      </c>
      <c r="AM35" s="128">
        <f t="shared" ref="AM35:AM55" si="83">ROUND(AH35*N35,3)</f>
        <v>3165.0390000000002</v>
      </c>
      <c r="AN35" s="128">
        <f t="shared" ref="AN35:AN55" si="84">ROUND(AI35*O35,3)</f>
        <v>2303.16</v>
      </c>
      <c r="AO35" s="411">
        <f t="shared" ref="AO35:AO55" si="85">SUM(AJ35:AN35)</f>
        <v>14963.316000000001</v>
      </c>
      <c r="AP35" s="400">
        <f t="shared" ref="AP35:AP55" si="86">ROUND(AE35*Q35,3)</f>
        <v>0</v>
      </c>
      <c r="AQ35" s="128">
        <f t="shared" ref="AQ35:AQ55" si="87">ROUND(AF35*R35,3)</f>
        <v>0</v>
      </c>
      <c r="AR35" s="128">
        <f t="shared" ref="AR35:AR55" si="88">ROUND(AG35*S35,3)</f>
        <v>0</v>
      </c>
      <c r="AS35" s="128">
        <f t="shared" ref="AS35:AS55" si="89">ROUND(AH35*T35,3)</f>
        <v>0</v>
      </c>
      <c r="AT35" s="128">
        <f t="shared" ref="AT35:AT55" si="90">ROUND(AI35*U35,3)</f>
        <v>0</v>
      </c>
      <c r="AU35" s="128">
        <f t="shared" ref="AU35:AU55" si="91">SUM(AP35:AT35)</f>
        <v>0</v>
      </c>
      <c r="AV35" s="289">
        <f t="shared" ref="AV35:AV55" si="92">AU35/AO35</f>
        <v>0</v>
      </c>
      <c r="AW35" s="400">
        <f t="shared" ref="AW35:AW55" si="93">AJ35-AP35</f>
        <v>3165.0390000000002</v>
      </c>
      <c r="AX35" s="128">
        <f t="shared" ref="AX35:AX55" si="94">AK35-AQ35</f>
        <v>3165.0390000000002</v>
      </c>
      <c r="AY35" s="128">
        <f t="shared" ref="AY35:AY55" si="95">AL35-AR35</f>
        <v>3165.0390000000002</v>
      </c>
      <c r="AZ35" s="128">
        <f t="shared" ref="AZ35:AZ55" si="96">AM35-AS35</f>
        <v>3165.0390000000002</v>
      </c>
      <c r="BA35" s="128">
        <f t="shared" ref="BA35:BA55" si="97">AN35-AT35</f>
        <v>2303.16</v>
      </c>
      <c r="BB35" s="128">
        <f t="shared" ref="BB35:BB55" si="98">SUM(AW35:BA35)</f>
        <v>14963.316000000001</v>
      </c>
      <c r="BC35" s="289">
        <f t="shared" ref="BC35:BC55" si="99">BB35/AO35</f>
        <v>1</v>
      </c>
      <c r="BD35" s="74"/>
      <c r="BF35" s="98" t="s">
        <v>0</v>
      </c>
      <c r="BG35" s="18" t="s">
        <v>11</v>
      </c>
      <c r="BH35" s="198"/>
      <c r="BI35" s="99">
        <f t="shared" ref="BI35:BI55" si="100">BH35*K35</f>
        <v>0</v>
      </c>
      <c r="BJ35" s="99">
        <v>0</v>
      </c>
      <c r="BK35" s="99">
        <f>BJ35*K35</f>
        <v>0</v>
      </c>
      <c r="BL35" s="99">
        <v>0</v>
      </c>
      <c r="BM35" s="100">
        <f>BL35*K35</f>
        <v>0</v>
      </c>
      <c r="BQ35" s="115">
        <v>10.86</v>
      </c>
      <c r="CD35" s="9" t="s">
        <v>169</v>
      </c>
      <c r="CF35" s="9" t="s">
        <v>149</v>
      </c>
      <c r="CG35" s="9" t="s">
        <v>42</v>
      </c>
      <c r="CK35" s="9" t="s">
        <v>148</v>
      </c>
      <c r="CQ35" s="72">
        <f>IF(BG35="základná",AJ35,0)</f>
        <v>0</v>
      </c>
      <c r="CR35" s="72">
        <f>IF(BG35="znížená",AJ35,0)</f>
        <v>3165.0390000000002</v>
      </c>
      <c r="CS35" s="72">
        <f>IF(BG35="zákl. prenesená",AJ35,0)</f>
        <v>0</v>
      </c>
      <c r="CT35" s="72">
        <f>IF(BG35="zníž. prenesená",AJ35,0)</f>
        <v>0</v>
      </c>
      <c r="CU35" s="72">
        <f>IF(BG35="nulová",AJ35,0)</f>
        <v>0</v>
      </c>
      <c r="CV35" s="9" t="s">
        <v>42</v>
      </c>
      <c r="CW35" s="101">
        <f t="shared" ref="CW35:CW55" si="101">ROUND(AE35*K35,3)</f>
        <v>3165.0390000000002</v>
      </c>
      <c r="CX35" s="9" t="s">
        <v>169</v>
      </c>
      <c r="CY35" s="9" t="s">
        <v>364</v>
      </c>
    </row>
    <row r="36" spans="2:103" s="1" customFormat="1" ht="31.5" customHeight="1">
      <c r="B36" s="73"/>
      <c r="C36" s="102">
        <v>13</v>
      </c>
      <c r="D36" s="102" t="s">
        <v>171</v>
      </c>
      <c r="E36" s="103" t="s">
        <v>365</v>
      </c>
      <c r="F36" s="499" t="s">
        <v>366</v>
      </c>
      <c r="G36" s="499"/>
      <c r="H36" s="499"/>
      <c r="I36" s="499"/>
      <c r="J36" s="104" t="s">
        <v>198</v>
      </c>
      <c r="K36" s="133">
        <v>294.35700000000003</v>
      </c>
      <c r="L36" s="133">
        <v>294.35700000000003</v>
      </c>
      <c r="M36" s="133">
        <v>294.35700000000003</v>
      </c>
      <c r="N36" s="133">
        <v>294.35700000000003</v>
      </c>
      <c r="O36" s="133">
        <v>204</v>
      </c>
      <c r="P36" s="404">
        <f t="shared" si="70"/>
        <v>1381.4280000000001</v>
      </c>
      <c r="Q36" s="401">
        <v>0</v>
      </c>
      <c r="R36" s="133">
        <v>0</v>
      </c>
      <c r="S36" s="133">
        <v>0</v>
      </c>
      <c r="T36" s="133">
        <v>0</v>
      </c>
      <c r="U36" s="133">
        <v>0</v>
      </c>
      <c r="V36" s="177">
        <f t="shared" si="71"/>
        <v>0</v>
      </c>
      <c r="W36" s="289">
        <f t="shared" si="72"/>
        <v>0</v>
      </c>
      <c r="X36" s="401">
        <f t="shared" si="73"/>
        <v>294.35700000000003</v>
      </c>
      <c r="Y36" s="133">
        <f t="shared" si="74"/>
        <v>294.35700000000003</v>
      </c>
      <c r="Z36" s="133">
        <f t="shared" si="75"/>
        <v>294.35700000000003</v>
      </c>
      <c r="AA36" s="133">
        <f t="shared" si="76"/>
        <v>294.35700000000003</v>
      </c>
      <c r="AB36" s="133">
        <f t="shared" si="77"/>
        <v>204</v>
      </c>
      <c r="AC36" s="177">
        <f t="shared" si="78"/>
        <v>1381.4280000000001</v>
      </c>
      <c r="AD36" s="289">
        <f t="shared" si="79"/>
        <v>1</v>
      </c>
      <c r="AE36" s="140">
        <v>0.9</v>
      </c>
      <c r="AF36" s="140">
        <v>0.9</v>
      </c>
      <c r="AG36" s="140">
        <v>0.9</v>
      </c>
      <c r="AH36" s="140">
        <v>0.9</v>
      </c>
      <c r="AI36" s="140">
        <v>0.9</v>
      </c>
      <c r="AJ36" s="133">
        <f t="shared" si="80"/>
        <v>264.92099999999999</v>
      </c>
      <c r="AK36" s="133">
        <f t="shared" si="81"/>
        <v>264.92099999999999</v>
      </c>
      <c r="AL36" s="133">
        <f t="shared" si="82"/>
        <v>264.92099999999999</v>
      </c>
      <c r="AM36" s="133">
        <f t="shared" si="83"/>
        <v>264.92099999999999</v>
      </c>
      <c r="AN36" s="133">
        <f t="shared" si="84"/>
        <v>183.6</v>
      </c>
      <c r="AO36" s="414">
        <f t="shared" si="85"/>
        <v>1243.2839999999999</v>
      </c>
      <c r="AP36" s="401">
        <f t="shared" si="86"/>
        <v>0</v>
      </c>
      <c r="AQ36" s="133">
        <f t="shared" si="87"/>
        <v>0</v>
      </c>
      <c r="AR36" s="133">
        <f t="shared" si="88"/>
        <v>0</v>
      </c>
      <c r="AS36" s="133">
        <f t="shared" si="89"/>
        <v>0</v>
      </c>
      <c r="AT36" s="133">
        <f t="shared" si="90"/>
        <v>0</v>
      </c>
      <c r="AU36" s="133">
        <f t="shared" si="91"/>
        <v>0</v>
      </c>
      <c r="AV36" s="289">
        <f t="shared" si="92"/>
        <v>0</v>
      </c>
      <c r="AW36" s="401">
        <f t="shared" si="93"/>
        <v>264.92099999999999</v>
      </c>
      <c r="AX36" s="133">
        <f t="shared" si="94"/>
        <v>264.92099999999999</v>
      </c>
      <c r="AY36" s="133">
        <f t="shared" si="95"/>
        <v>264.92099999999999</v>
      </c>
      <c r="AZ36" s="133">
        <f t="shared" si="96"/>
        <v>264.92099999999999</v>
      </c>
      <c r="BA36" s="133">
        <f t="shared" si="97"/>
        <v>183.6</v>
      </c>
      <c r="BB36" s="133">
        <f t="shared" si="98"/>
        <v>1243.2839999999999</v>
      </c>
      <c r="BC36" s="289">
        <f t="shared" si="99"/>
        <v>1</v>
      </c>
      <c r="BD36" s="74"/>
      <c r="BE36" s="1" t="s">
        <v>976</v>
      </c>
      <c r="BF36" s="98" t="s">
        <v>0</v>
      </c>
      <c r="BG36" s="18" t="s">
        <v>11</v>
      </c>
      <c r="BH36" s="198"/>
      <c r="BI36" s="99">
        <f t="shared" si="100"/>
        <v>0</v>
      </c>
      <c r="BJ36" s="99">
        <v>0</v>
      </c>
      <c r="BK36" s="99">
        <f>BJ36*K36</f>
        <v>0</v>
      </c>
      <c r="BL36" s="99">
        <v>0</v>
      </c>
      <c r="BM36" s="100">
        <f>BL36*K36</f>
        <v>0</v>
      </c>
      <c r="BO36" s="1" t="s">
        <v>977</v>
      </c>
      <c r="BQ36" s="115">
        <v>0.87</v>
      </c>
      <c r="CD36" s="9" t="s">
        <v>174</v>
      </c>
      <c r="CF36" s="9" t="s">
        <v>171</v>
      </c>
      <c r="CG36" s="9" t="s">
        <v>42</v>
      </c>
      <c r="CK36" s="9" t="s">
        <v>148</v>
      </c>
      <c r="CQ36" s="72">
        <f>IF(BG36="základná",AJ36,0)</f>
        <v>0</v>
      </c>
      <c r="CR36" s="72">
        <f>IF(BG36="znížená",AJ36,0)</f>
        <v>264.92099999999999</v>
      </c>
      <c r="CS36" s="72">
        <f>IF(BG36="zákl. prenesená",AJ36,0)</f>
        <v>0</v>
      </c>
      <c r="CT36" s="72">
        <f>IF(BG36="zníž. prenesená",AJ36,0)</f>
        <v>0</v>
      </c>
      <c r="CU36" s="72">
        <f>IF(BG36="nulová",AJ36,0)</f>
        <v>0</v>
      </c>
      <c r="CV36" s="9" t="s">
        <v>42</v>
      </c>
      <c r="CW36" s="101">
        <f t="shared" si="101"/>
        <v>264.92099999999999</v>
      </c>
      <c r="CX36" s="9" t="s">
        <v>169</v>
      </c>
      <c r="CY36" s="9" t="s">
        <v>367</v>
      </c>
    </row>
    <row r="37" spans="2:103" s="1" customFormat="1" ht="31.5" customHeight="1">
      <c r="B37" s="73"/>
      <c r="C37" s="102">
        <v>14</v>
      </c>
      <c r="D37" s="102" t="s">
        <v>171</v>
      </c>
      <c r="E37" s="103" t="s">
        <v>368</v>
      </c>
      <c r="F37" s="499" t="s">
        <v>369</v>
      </c>
      <c r="G37" s="499"/>
      <c r="H37" s="499"/>
      <c r="I37" s="499"/>
      <c r="J37" s="104" t="s">
        <v>198</v>
      </c>
      <c r="K37" s="133">
        <v>294.35700000000003</v>
      </c>
      <c r="L37" s="133">
        <v>294.35700000000003</v>
      </c>
      <c r="M37" s="133">
        <v>294.35700000000003</v>
      </c>
      <c r="N37" s="133">
        <v>294.35700000000003</v>
      </c>
      <c r="O37" s="133">
        <v>204</v>
      </c>
      <c r="P37" s="404">
        <f t="shared" si="70"/>
        <v>1381.4280000000001</v>
      </c>
      <c r="Q37" s="401">
        <v>0</v>
      </c>
      <c r="R37" s="133">
        <v>0</v>
      </c>
      <c r="S37" s="133">
        <v>0</v>
      </c>
      <c r="T37" s="133">
        <v>0</v>
      </c>
      <c r="U37" s="133">
        <v>0</v>
      </c>
      <c r="V37" s="177">
        <f t="shared" si="71"/>
        <v>0</v>
      </c>
      <c r="W37" s="289">
        <f t="shared" si="72"/>
        <v>0</v>
      </c>
      <c r="X37" s="401">
        <f t="shared" si="73"/>
        <v>294.35700000000003</v>
      </c>
      <c r="Y37" s="133">
        <f t="shared" si="74"/>
        <v>294.35700000000003</v>
      </c>
      <c r="Z37" s="133">
        <f t="shared" si="75"/>
        <v>294.35700000000003</v>
      </c>
      <c r="AA37" s="133">
        <f t="shared" si="76"/>
        <v>294.35700000000003</v>
      </c>
      <c r="AB37" s="133">
        <f t="shared" si="77"/>
        <v>204</v>
      </c>
      <c r="AC37" s="177">
        <f t="shared" si="78"/>
        <v>1381.4280000000001</v>
      </c>
      <c r="AD37" s="289">
        <f t="shared" si="79"/>
        <v>1</v>
      </c>
      <c r="AE37" s="140">
        <v>0.9</v>
      </c>
      <c r="AF37" s="140">
        <v>0.9</v>
      </c>
      <c r="AG37" s="140">
        <v>0.9</v>
      </c>
      <c r="AH37" s="140">
        <v>0.9</v>
      </c>
      <c r="AI37" s="140">
        <v>0.9</v>
      </c>
      <c r="AJ37" s="133">
        <f t="shared" si="80"/>
        <v>264.92099999999999</v>
      </c>
      <c r="AK37" s="133">
        <f t="shared" si="81"/>
        <v>264.92099999999999</v>
      </c>
      <c r="AL37" s="133">
        <f t="shared" si="82"/>
        <v>264.92099999999999</v>
      </c>
      <c r="AM37" s="133">
        <f t="shared" si="83"/>
        <v>264.92099999999999</v>
      </c>
      <c r="AN37" s="133">
        <f t="shared" si="84"/>
        <v>183.6</v>
      </c>
      <c r="AO37" s="414">
        <f t="shared" si="85"/>
        <v>1243.2839999999999</v>
      </c>
      <c r="AP37" s="401">
        <f t="shared" si="86"/>
        <v>0</v>
      </c>
      <c r="AQ37" s="133">
        <f t="shared" si="87"/>
        <v>0</v>
      </c>
      <c r="AR37" s="133">
        <f t="shared" si="88"/>
        <v>0</v>
      </c>
      <c r="AS37" s="133">
        <f t="shared" si="89"/>
        <v>0</v>
      </c>
      <c r="AT37" s="133">
        <f t="shared" si="90"/>
        <v>0</v>
      </c>
      <c r="AU37" s="133">
        <f t="shared" si="91"/>
        <v>0</v>
      </c>
      <c r="AV37" s="289">
        <f t="shared" si="92"/>
        <v>0</v>
      </c>
      <c r="AW37" s="401">
        <f t="shared" si="93"/>
        <v>264.92099999999999</v>
      </c>
      <c r="AX37" s="133">
        <f t="shared" si="94"/>
        <v>264.92099999999999</v>
      </c>
      <c r="AY37" s="133">
        <f t="shared" si="95"/>
        <v>264.92099999999999</v>
      </c>
      <c r="AZ37" s="133">
        <f t="shared" si="96"/>
        <v>264.92099999999999</v>
      </c>
      <c r="BA37" s="133">
        <f t="shared" si="97"/>
        <v>183.6</v>
      </c>
      <c r="BB37" s="133">
        <f t="shared" si="98"/>
        <v>1243.2839999999999</v>
      </c>
      <c r="BC37" s="289">
        <f t="shared" si="99"/>
        <v>1</v>
      </c>
      <c r="BD37" s="74"/>
      <c r="BE37" s="1" t="s">
        <v>976</v>
      </c>
      <c r="BF37" s="98" t="s">
        <v>0</v>
      </c>
      <c r="BG37" s="18" t="s">
        <v>11</v>
      </c>
      <c r="BH37" s="198"/>
      <c r="BI37" s="99">
        <f t="shared" si="100"/>
        <v>0</v>
      </c>
      <c r="BJ37" s="99">
        <v>0</v>
      </c>
      <c r="BK37" s="99">
        <f>BJ37*K37</f>
        <v>0</v>
      </c>
      <c r="BL37" s="99">
        <v>0</v>
      </c>
      <c r="BM37" s="100">
        <f>BL37*K37</f>
        <v>0</v>
      </c>
      <c r="BO37" s="1" t="s">
        <v>978</v>
      </c>
      <c r="BQ37" s="115">
        <v>0.87</v>
      </c>
      <c r="CD37" s="9" t="s">
        <v>174</v>
      </c>
      <c r="CF37" s="9" t="s">
        <v>171</v>
      </c>
      <c r="CG37" s="9" t="s">
        <v>42</v>
      </c>
      <c r="CK37" s="9" t="s">
        <v>148</v>
      </c>
      <c r="CQ37" s="72">
        <f>IF(BG37="základná",AJ37,0)</f>
        <v>0</v>
      </c>
      <c r="CR37" s="72">
        <f>IF(BG37="znížená",AJ37,0)</f>
        <v>264.92099999999999</v>
      </c>
      <c r="CS37" s="72">
        <f>IF(BG37="zákl. prenesená",AJ37,0)</f>
        <v>0</v>
      </c>
      <c r="CT37" s="72">
        <f>IF(BG37="zníž. prenesená",AJ37,0)</f>
        <v>0</v>
      </c>
      <c r="CU37" s="72">
        <f>IF(BG37="nulová",AJ37,0)</f>
        <v>0</v>
      </c>
      <c r="CV37" s="9" t="s">
        <v>42</v>
      </c>
      <c r="CW37" s="101">
        <f t="shared" si="101"/>
        <v>264.92099999999999</v>
      </c>
      <c r="CX37" s="9" t="s">
        <v>169</v>
      </c>
      <c r="CY37" s="9" t="s">
        <v>370</v>
      </c>
    </row>
    <row r="38" spans="2:103" s="1" customFormat="1" ht="22.5" customHeight="1">
      <c r="B38" s="73"/>
      <c r="C38" s="102">
        <v>15</v>
      </c>
      <c r="D38" s="102" t="s">
        <v>171</v>
      </c>
      <c r="E38" s="103" t="s">
        <v>371</v>
      </c>
      <c r="F38" s="499" t="s">
        <v>372</v>
      </c>
      <c r="G38" s="508"/>
      <c r="H38" s="508"/>
      <c r="I38" s="509"/>
      <c r="J38" s="104" t="s">
        <v>184</v>
      </c>
      <c r="K38" s="133">
        <v>24</v>
      </c>
      <c r="L38" s="133">
        <v>21</v>
      </c>
      <c r="M38" s="133">
        <v>26</v>
      </c>
      <c r="N38" s="133">
        <v>0</v>
      </c>
      <c r="O38" s="133">
        <v>0</v>
      </c>
      <c r="P38" s="404">
        <f t="shared" si="70"/>
        <v>71</v>
      </c>
      <c r="Q38" s="401">
        <v>0</v>
      </c>
      <c r="R38" s="133">
        <v>0</v>
      </c>
      <c r="S38" s="133">
        <v>0</v>
      </c>
      <c r="T38" s="133">
        <v>0</v>
      </c>
      <c r="U38" s="133">
        <v>0</v>
      </c>
      <c r="V38" s="177">
        <f t="shared" si="71"/>
        <v>0</v>
      </c>
      <c r="W38" s="289">
        <f t="shared" si="72"/>
        <v>0</v>
      </c>
      <c r="X38" s="401">
        <f t="shared" si="73"/>
        <v>24</v>
      </c>
      <c r="Y38" s="133">
        <f t="shared" si="74"/>
        <v>21</v>
      </c>
      <c r="Z38" s="133">
        <f t="shared" si="75"/>
        <v>26</v>
      </c>
      <c r="AA38" s="133">
        <f t="shared" si="76"/>
        <v>0</v>
      </c>
      <c r="AB38" s="133">
        <f t="shared" si="77"/>
        <v>0</v>
      </c>
      <c r="AC38" s="177">
        <f t="shared" si="78"/>
        <v>71</v>
      </c>
      <c r="AD38" s="289">
        <f t="shared" si="79"/>
        <v>1</v>
      </c>
      <c r="AE38" s="140">
        <v>133.49</v>
      </c>
      <c r="AF38" s="140">
        <v>133.49</v>
      </c>
      <c r="AG38" s="140">
        <v>133.49</v>
      </c>
      <c r="AH38" s="140">
        <v>133.49</v>
      </c>
      <c r="AI38" s="140">
        <v>133.49</v>
      </c>
      <c r="AJ38" s="133">
        <f t="shared" si="80"/>
        <v>3203.76</v>
      </c>
      <c r="AK38" s="133">
        <f t="shared" si="81"/>
        <v>2803.29</v>
      </c>
      <c r="AL38" s="133">
        <f t="shared" si="82"/>
        <v>3470.74</v>
      </c>
      <c r="AM38" s="133">
        <f t="shared" si="83"/>
        <v>0</v>
      </c>
      <c r="AN38" s="133">
        <f t="shared" si="84"/>
        <v>0</v>
      </c>
      <c r="AO38" s="414">
        <f t="shared" si="85"/>
        <v>9477.7900000000009</v>
      </c>
      <c r="AP38" s="401">
        <f t="shared" si="86"/>
        <v>0</v>
      </c>
      <c r="AQ38" s="133">
        <f t="shared" si="87"/>
        <v>0</v>
      </c>
      <c r="AR38" s="133">
        <f t="shared" si="88"/>
        <v>0</v>
      </c>
      <c r="AS38" s="133">
        <f t="shared" si="89"/>
        <v>0</v>
      </c>
      <c r="AT38" s="133">
        <f t="shared" si="90"/>
        <v>0</v>
      </c>
      <c r="AU38" s="133">
        <f t="shared" si="91"/>
        <v>0</v>
      </c>
      <c r="AV38" s="289">
        <f t="shared" si="92"/>
        <v>0</v>
      </c>
      <c r="AW38" s="401">
        <f t="shared" si="93"/>
        <v>3203.76</v>
      </c>
      <c r="AX38" s="133">
        <f t="shared" si="94"/>
        <v>2803.29</v>
      </c>
      <c r="AY38" s="133">
        <f t="shared" si="95"/>
        <v>3470.74</v>
      </c>
      <c r="AZ38" s="133">
        <f t="shared" si="96"/>
        <v>0</v>
      </c>
      <c r="BA38" s="133">
        <f t="shared" si="97"/>
        <v>0</v>
      </c>
      <c r="BB38" s="133">
        <f t="shared" si="98"/>
        <v>9477.7900000000009</v>
      </c>
      <c r="BC38" s="289">
        <f t="shared" si="99"/>
        <v>1</v>
      </c>
      <c r="BD38" s="74"/>
      <c r="BE38" s="1" t="s">
        <v>979</v>
      </c>
      <c r="BF38" s="98" t="s">
        <v>0</v>
      </c>
      <c r="BG38" s="18" t="s">
        <v>11</v>
      </c>
      <c r="BH38" s="198"/>
      <c r="BI38" s="99">
        <f t="shared" si="100"/>
        <v>0</v>
      </c>
      <c r="BJ38" s="99">
        <v>0</v>
      </c>
      <c r="BK38" s="99">
        <f>BJ38*K38</f>
        <v>0</v>
      </c>
      <c r="BL38" s="99">
        <v>0</v>
      </c>
      <c r="BM38" s="100">
        <f>BL38*K38</f>
        <v>0</v>
      </c>
      <c r="BO38" s="113" t="s">
        <v>980</v>
      </c>
      <c r="BQ38" s="115">
        <v>128.36000000000001</v>
      </c>
      <c r="CD38" s="9" t="s">
        <v>174</v>
      </c>
      <c r="CF38" s="9" t="s">
        <v>171</v>
      </c>
      <c r="CG38" s="9" t="s">
        <v>42</v>
      </c>
      <c r="CK38" s="9" t="s">
        <v>148</v>
      </c>
      <c r="CQ38" s="72">
        <f>IF(BG38="základná",AJ38,0)</f>
        <v>0</v>
      </c>
      <c r="CR38" s="72">
        <f>IF(BG38="znížená",AJ38,0)</f>
        <v>3203.76</v>
      </c>
      <c r="CS38" s="72">
        <f>IF(BG38="zákl. prenesená",AJ38,0)</f>
        <v>0</v>
      </c>
      <c r="CT38" s="72">
        <f>IF(BG38="zníž. prenesená",AJ38,0)</f>
        <v>0</v>
      </c>
      <c r="CU38" s="72">
        <f>IF(BG38="nulová",AJ38,0)</f>
        <v>0</v>
      </c>
      <c r="CV38" s="9" t="s">
        <v>42</v>
      </c>
      <c r="CW38" s="101">
        <f t="shared" si="101"/>
        <v>3203.76</v>
      </c>
      <c r="CX38" s="9" t="s">
        <v>169</v>
      </c>
      <c r="CY38" s="9" t="s">
        <v>373</v>
      </c>
    </row>
    <row r="39" spans="2:103" s="1" customFormat="1" ht="22.5" customHeight="1">
      <c r="B39" s="73"/>
      <c r="C39" s="102">
        <v>16</v>
      </c>
      <c r="D39" s="102" t="s">
        <v>171</v>
      </c>
      <c r="E39" s="103" t="s">
        <v>371</v>
      </c>
      <c r="F39" s="499" t="s">
        <v>547</v>
      </c>
      <c r="G39" s="499"/>
      <c r="H39" s="499"/>
      <c r="I39" s="499"/>
      <c r="J39" s="104" t="s">
        <v>184</v>
      </c>
      <c r="K39" s="133">
        <v>0</v>
      </c>
      <c r="L39" s="133">
        <v>0</v>
      </c>
      <c r="M39" s="133">
        <v>0</v>
      </c>
      <c r="N39" s="133">
        <v>0</v>
      </c>
      <c r="O39" s="133">
        <v>30</v>
      </c>
      <c r="P39" s="404">
        <f t="shared" si="70"/>
        <v>30</v>
      </c>
      <c r="Q39" s="401">
        <v>0</v>
      </c>
      <c r="R39" s="133">
        <v>0</v>
      </c>
      <c r="S39" s="133">
        <v>0</v>
      </c>
      <c r="T39" s="133">
        <v>0</v>
      </c>
      <c r="U39" s="133">
        <v>0</v>
      </c>
      <c r="V39" s="177">
        <f t="shared" si="71"/>
        <v>0</v>
      </c>
      <c r="W39" s="289">
        <f t="shared" si="72"/>
        <v>0</v>
      </c>
      <c r="X39" s="401">
        <f t="shared" si="73"/>
        <v>0</v>
      </c>
      <c r="Y39" s="133">
        <f t="shared" si="74"/>
        <v>0</v>
      </c>
      <c r="Z39" s="133">
        <f t="shared" si="75"/>
        <v>0</v>
      </c>
      <c r="AA39" s="133">
        <f t="shared" si="76"/>
        <v>0</v>
      </c>
      <c r="AB39" s="133">
        <f t="shared" si="77"/>
        <v>30</v>
      </c>
      <c r="AC39" s="177">
        <f t="shared" si="78"/>
        <v>30</v>
      </c>
      <c r="AD39" s="289">
        <f t="shared" si="79"/>
        <v>1</v>
      </c>
      <c r="AE39" s="140">
        <v>0</v>
      </c>
      <c r="AF39" s="140">
        <v>0</v>
      </c>
      <c r="AG39" s="140">
        <v>0</v>
      </c>
      <c r="AH39" s="140">
        <v>0</v>
      </c>
      <c r="AI39" s="140">
        <v>440.39</v>
      </c>
      <c r="AJ39" s="133">
        <f t="shared" si="80"/>
        <v>0</v>
      </c>
      <c r="AK39" s="133">
        <f t="shared" si="81"/>
        <v>0</v>
      </c>
      <c r="AL39" s="133">
        <f t="shared" si="82"/>
        <v>0</v>
      </c>
      <c r="AM39" s="133">
        <f t="shared" si="83"/>
        <v>0</v>
      </c>
      <c r="AN39" s="133">
        <f t="shared" si="84"/>
        <v>13211.7</v>
      </c>
      <c r="AO39" s="414">
        <f t="shared" si="85"/>
        <v>13211.7</v>
      </c>
      <c r="AP39" s="401">
        <f t="shared" si="86"/>
        <v>0</v>
      </c>
      <c r="AQ39" s="133">
        <f t="shared" si="87"/>
        <v>0</v>
      </c>
      <c r="AR39" s="133">
        <f t="shared" si="88"/>
        <v>0</v>
      </c>
      <c r="AS39" s="133">
        <f t="shared" si="89"/>
        <v>0</v>
      </c>
      <c r="AT39" s="133">
        <f t="shared" si="90"/>
        <v>0</v>
      </c>
      <c r="AU39" s="133">
        <f t="shared" si="91"/>
        <v>0</v>
      </c>
      <c r="AV39" s="289">
        <f t="shared" si="92"/>
        <v>0</v>
      </c>
      <c r="AW39" s="401">
        <f t="shared" si="93"/>
        <v>0</v>
      </c>
      <c r="AX39" s="133">
        <f t="shared" si="94"/>
        <v>0</v>
      </c>
      <c r="AY39" s="133">
        <f t="shared" si="95"/>
        <v>0</v>
      </c>
      <c r="AZ39" s="133">
        <f t="shared" si="96"/>
        <v>0</v>
      </c>
      <c r="BA39" s="133">
        <f t="shared" si="97"/>
        <v>13211.7</v>
      </c>
      <c r="BB39" s="133">
        <f t="shared" si="98"/>
        <v>13211.7</v>
      </c>
      <c r="BC39" s="289">
        <f t="shared" si="99"/>
        <v>1</v>
      </c>
      <c r="BD39" s="74"/>
      <c r="BF39" s="98"/>
      <c r="BG39" s="18"/>
      <c r="BH39" s="198"/>
      <c r="BI39" s="99">
        <f t="shared" si="100"/>
        <v>0</v>
      </c>
      <c r="BJ39" s="99"/>
      <c r="BK39" s="99"/>
      <c r="BL39" s="99"/>
      <c r="BM39" s="100"/>
      <c r="BO39" s="113"/>
      <c r="BQ39" s="115"/>
      <c r="CD39" s="9"/>
      <c r="CF39" s="9"/>
      <c r="CG39" s="9"/>
      <c r="CK39" s="9"/>
      <c r="CQ39" s="72"/>
      <c r="CR39" s="72"/>
      <c r="CS39" s="72"/>
      <c r="CT39" s="72"/>
      <c r="CU39" s="72"/>
      <c r="CV39" s="9"/>
      <c r="CW39" s="101">
        <f t="shared" si="101"/>
        <v>0</v>
      </c>
      <c r="CX39" s="9"/>
      <c r="CY39" s="9"/>
    </row>
    <row r="40" spans="2:103" s="1" customFormat="1" ht="22.5" customHeight="1">
      <c r="B40" s="73"/>
      <c r="C40" s="102">
        <v>17</v>
      </c>
      <c r="D40" s="102" t="s">
        <v>171</v>
      </c>
      <c r="E40" s="103" t="s">
        <v>374</v>
      </c>
      <c r="F40" s="507" t="s">
        <v>375</v>
      </c>
      <c r="G40" s="508"/>
      <c r="H40" s="508"/>
      <c r="I40" s="509"/>
      <c r="J40" s="104" t="s">
        <v>184</v>
      </c>
      <c r="K40" s="133">
        <v>4</v>
      </c>
      <c r="L40" s="133">
        <v>3</v>
      </c>
      <c r="M40" s="133">
        <v>3</v>
      </c>
      <c r="N40" s="133">
        <v>0</v>
      </c>
      <c r="O40" s="133">
        <v>0</v>
      </c>
      <c r="P40" s="404">
        <f t="shared" si="70"/>
        <v>10</v>
      </c>
      <c r="Q40" s="401">
        <v>0</v>
      </c>
      <c r="R40" s="133">
        <v>0</v>
      </c>
      <c r="S40" s="133">
        <v>0</v>
      </c>
      <c r="T40" s="133">
        <v>0</v>
      </c>
      <c r="U40" s="133">
        <v>0</v>
      </c>
      <c r="V40" s="177">
        <f t="shared" si="71"/>
        <v>0</v>
      </c>
      <c r="W40" s="289">
        <f t="shared" si="72"/>
        <v>0</v>
      </c>
      <c r="X40" s="401">
        <f t="shared" si="73"/>
        <v>4</v>
      </c>
      <c r="Y40" s="133">
        <f t="shared" si="74"/>
        <v>3</v>
      </c>
      <c r="Z40" s="133">
        <f t="shared" si="75"/>
        <v>3</v>
      </c>
      <c r="AA40" s="133">
        <f t="shared" si="76"/>
        <v>0</v>
      </c>
      <c r="AB40" s="133">
        <f t="shared" si="77"/>
        <v>0</v>
      </c>
      <c r="AC40" s="177">
        <f t="shared" si="78"/>
        <v>10</v>
      </c>
      <c r="AD40" s="289">
        <f t="shared" si="79"/>
        <v>1</v>
      </c>
      <c r="AE40" s="140">
        <v>205.59</v>
      </c>
      <c r="AF40" s="140">
        <v>205.59</v>
      </c>
      <c r="AG40" s="140">
        <v>205.59</v>
      </c>
      <c r="AH40" s="140">
        <v>205.59</v>
      </c>
      <c r="AI40" s="140">
        <v>205.59</v>
      </c>
      <c r="AJ40" s="133">
        <f t="shared" si="80"/>
        <v>822.36</v>
      </c>
      <c r="AK40" s="133">
        <f t="shared" si="81"/>
        <v>616.77</v>
      </c>
      <c r="AL40" s="133">
        <f t="shared" si="82"/>
        <v>616.77</v>
      </c>
      <c r="AM40" s="133">
        <f t="shared" si="83"/>
        <v>0</v>
      </c>
      <c r="AN40" s="133">
        <f t="shared" si="84"/>
        <v>0</v>
      </c>
      <c r="AO40" s="414">
        <f t="shared" si="85"/>
        <v>2055.9</v>
      </c>
      <c r="AP40" s="401">
        <f t="shared" si="86"/>
        <v>0</v>
      </c>
      <c r="AQ40" s="133">
        <f t="shared" si="87"/>
        <v>0</v>
      </c>
      <c r="AR40" s="133">
        <f t="shared" si="88"/>
        <v>0</v>
      </c>
      <c r="AS40" s="133">
        <f t="shared" si="89"/>
        <v>0</v>
      </c>
      <c r="AT40" s="133">
        <f t="shared" si="90"/>
        <v>0</v>
      </c>
      <c r="AU40" s="133">
        <f t="shared" si="91"/>
        <v>0</v>
      </c>
      <c r="AV40" s="289">
        <f t="shared" si="92"/>
        <v>0</v>
      </c>
      <c r="AW40" s="401">
        <f t="shared" si="93"/>
        <v>822.36</v>
      </c>
      <c r="AX40" s="133">
        <f t="shared" si="94"/>
        <v>616.77</v>
      </c>
      <c r="AY40" s="133">
        <f t="shared" si="95"/>
        <v>616.77</v>
      </c>
      <c r="AZ40" s="133">
        <f t="shared" si="96"/>
        <v>0</v>
      </c>
      <c r="BA40" s="133">
        <f t="shared" si="97"/>
        <v>0</v>
      </c>
      <c r="BB40" s="133">
        <f t="shared" si="98"/>
        <v>2055.9</v>
      </c>
      <c r="BC40" s="289">
        <f t="shared" si="99"/>
        <v>1</v>
      </c>
      <c r="BD40" s="74"/>
      <c r="BE40" s="1" t="s">
        <v>979</v>
      </c>
      <c r="BF40" s="98" t="s">
        <v>0</v>
      </c>
      <c r="BG40" s="18" t="s">
        <v>11</v>
      </c>
      <c r="BH40" s="198"/>
      <c r="BI40" s="99">
        <f t="shared" si="100"/>
        <v>0</v>
      </c>
      <c r="BJ40" s="99">
        <v>0</v>
      </c>
      <c r="BK40" s="99">
        <f>BJ40*K40</f>
        <v>0</v>
      </c>
      <c r="BL40" s="99">
        <v>0</v>
      </c>
      <c r="BM40" s="100">
        <f>BL40*K40</f>
        <v>0</v>
      </c>
      <c r="BO40" s="113" t="s">
        <v>980</v>
      </c>
      <c r="BQ40" s="115">
        <v>197.68</v>
      </c>
      <c r="CD40" s="9" t="s">
        <v>174</v>
      </c>
      <c r="CF40" s="9" t="s">
        <v>171</v>
      </c>
      <c r="CG40" s="9" t="s">
        <v>42</v>
      </c>
      <c r="CK40" s="9" t="s">
        <v>148</v>
      </c>
      <c r="CQ40" s="72">
        <f>IF(BG40="základná",AJ40,0)</f>
        <v>0</v>
      </c>
      <c r="CR40" s="72">
        <f>IF(BG40="znížená",AJ40,0)</f>
        <v>822.36</v>
      </c>
      <c r="CS40" s="72">
        <f>IF(BG40="zákl. prenesená",AJ40,0)</f>
        <v>0</v>
      </c>
      <c r="CT40" s="72">
        <f>IF(BG40="zníž. prenesená",AJ40,0)</f>
        <v>0</v>
      </c>
      <c r="CU40" s="72">
        <f>IF(BG40="nulová",AJ40,0)</f>
        <v>0</v>
      </c>
      <c r="CV40" s="9" t="s">
        <v>42</v>
      </c>
      <c r="CW40" s="101">
        <f t="shared" si="101"/>
        <v>822.36</v>
      </c>
      <c r="CX40" s="9" t="s">
        <v>169</v>
      </c>
      <c r="CY40" s="9" t="s">
        <v>376</v>
      </c>
    </row>
    <row r="41" spans="2:103" s="1" customFormat="1" ht="22.5" customHeight="1">
      <c r="B41" s="73"/>
      <c r="C41" s="102">
        <v>18</v>
      </c>
      <c r="D41" s="102" t="s">
        <v>171</v>
      </c>
      <c r="E41" s="103" t="s">
        <v>377</v>
      </c>
      <c r="F41" s="507" t="s">
        <v>378</v>
      </c>
      <c r="G41" s="508"/>
      <c r="H41" s="508"/>
      <c r="I41" s="509"/>
      <c r="J41" s="104" t="s">
        <v>184</v>
      </c>
      <c r="K41" s="133">
        <v>1</v>
      </c>
      <c r="L41" s="133">
        <v>1</v>
      </c>
      <c r="M41" s="133">
        <v>1</v>
      </c>
      <c r="N41" s="133">
        <v>0</v>
      </c>
      <c r="O41" s="133">
        <v>0</v>
      </c>
      <c r="P41" s="404">
        <f t="shared" si="70"/>
        <v>3</v>
      </c>
      <c r="Q41" s="401">
        <v>0</v>
      </c>
      <c r="R41" s="133">
        <v>0</v>
      </c>
      <c r="S41" s="133">
        <v>0</v>
      </c>
      <c r="T41" s="133">
        <v>0</v>
      </c>
      <c r="U41" s="133">
        <v>0</v>
      </c>
      <c r="V41" s="177">
        <f t="shared" si="71"/>
        <v>0</v>
      </c>
      <c r="W41" s="289">
        <f t="shared" si="72"/>
        <v>0</v>
      </c>
      <c r="X41" s="401">
        <f t="shared" si="73"/>
        <v>1</v>
      </c>
      <c r="Y41" s="133">
        <f t="shared" si="74"/>
        <v>1</v>
      </c>
      <c r="Z41" s="133">
        <f t="shared" si="75"/>
        <v>1</v>
      </c>
      <c r="AA41" s="133">
        <f t="shared" si="76"/>
        <v>0</v>
      </c>
      <c r="AB41" s="133">
        <f t="shared" si="77"/>
        <v>0</v>
      </c>
      <c r="AC41" s="177">
        <f t="shared" si="78"/>
        <v>3</v>
      </c>
      <c r="AD41" s="289">
        <f t="shared" si="79"/>
        <v>1</v>
      </c>
      <c r="AE41" s="140">
        <v>992.65</v>
      </c>
      <c r="AF41" s="140">
        <v>992.65</v>
      </c>
      <c r="AG41" s="140">
        <v>992.65</v>
      </c>
      <c r="AH41" s="140">
        <v>992.65</v>
      </c>
      <c r="AI41" s="140">
        <v>992.65</v>
      </c>
      <c r="AJ41" s="133">
        <f t="shared" si="80"/>
        <v>992.65</v>
      </c>
      <c r="AK41" s="133">
        <f t="shared" si="81"/>
        <v>992.65</v>
      </c>
      <c r="AL41" s="133">
        <f t="shared" si="82"/>
        <v>992.65</v>
      </c>
      <c r="AM41" s="133">
        <f t="shared" si="83"/>
        <v>0</v>
      </c>
      <c r="AN41" s="133">
        <f t="shared" si="84"/>
        <v>0</v>
      </c>
      <c r="AO41" s="414">
        <f t="shared" si="85"/>
        <v>2977.95</v>
      </c>
      <c r="AP41" s="401">
        <f t="shared" si="86"/>
        <v>0</v>
      </c>
      <c r="AQ41" s="133">
        <f t="shared" si="87"/>
        <v>0</v>
      </c>
      <c r="AR41" s="133">
        <f t="shared" si="88"/>
        <v>0</v>
      </c>
      <c r="AS41" s="133">
        <f t="shared" si="89"/>
        <v>0</v>
      </c>
      <c r="AT41" s="133">
        <f t="shared" si="90"/>
        <v>0</v>
      </c>
      <c r="AU41" s="133">
        <f t="shared" si="91"/>
        <v>0</v>
      </c>
      <c r="AV41" s="289">
        <f t="shared" si="92"/>
        <v>0</v>
      </c>
      <c r="AW41" s="401">
        <f t="shared" si="93"/>
        <v>992.65</v>
      </c>
      <c r="AX41" s="133">
        <f t="shared" si="94"/>
        <v>992.65</v>
      </c>
      <c r="AY41" s="133">
        <f t="shared" si="95"/>
        <v>992.65</v>
      </c>
      <c r="AZ41" s="133">
        <f t="shared" si="96"/>
        <v>0</v>
      </c>
      <c r="BA41" s="133">
        <f t="shared" si="97"/>
        <v>0</v>
      </c>
      <c r="BB41" s="133">
        <f t="shared" si="98"/>
        <v>2977.95</v>
      </c>
      <c r="BC41" s="289">
        <f t="shared" si="99"/>
        <v>1</v>
      </c>
      <c r="BD41" s="74"/>
      <c r="BE41" s="1" t="s">
        <v>979</v>
      </c>
      <c r="BF41" s="98" t="s">
        <v>0</v>
      </c>
      <c r="BG41" s="18" t="s">
        <v>11</v>
      </c>
      <c r="BH41" s="198"/>
      <c r="BI41" s="99">
        <f t="shared" si="100"/>
        <v>0</v>
      </c>
      <c r="BJ41" s="99">
        <v>0</v>
      </c>
      <c r="BK41" s="99">
        <f>BJ41*K41</f>
        <v>0</v>
      </c>
      <c r="BL41" s="99">
        <v>0</v>
      </c>
      <c r="BM41" s="100">
        <f>BL41*K41</f>
        <v>0</v>
      </c>
      <c r="BO41" s="113" t="s">
        <v>980</v>
      </c>
      <c r="BQ41" s="115">
        <v>954.47</v>
      </c>
      <c r="CD41" s="9" t="s">
        <v>174</v>
      </c>
      <c r="CF41" s="9" t="s">
        <v>171</v>
      </c>
      <c r="CG41" s="9" t="s">
        <v>42</v>
      </c>
      <c r="CK41" s="9" t="s">
        <v>148</v>
      </c>
      <c r="CQ41" s="72">
        <f>IF(BG41="základná",AJ41,0)</f>
        <v>0</v>
      </c>
      <c r="CR41" s="72">
        <f>IF(BG41="znížená",AJ41,0)</f>
        <v>992.65</v>
      </c>
      <c r="CS41" s="72">
        <f>IF(BG41="zákl. prenesená",AJ41,0)</f>
        <v>0</v>
      </c>
      <c r="CT41" s="72">
        <f>IF(BG41="zníž. prenesená",AJ41,0)</f>
        <v>0</v>
      </c>
      <c r="CU41" s="72">
        <f>IF(BG41="nulová",AJ41,0)</f>
        <v>0</v>
      </c>
      <c r="CV41" s="9" t="s">
        <v>42</v>
      </c>
      <c r="CW41" s="101">
        <f t="shared" si="101"/>
        <v>992.65</v>
      </c>
      <c r="CX41" s="9" t="s">
        <v>169</v>
      </c>
      <c r="CY41" s="9" t="s">
        <v>379</v>
      </c>
    </row>
    <row r="42" spans="2:103" s="1" customFormat="1" ht="22.5" customHeight="1">
      <c r="B42" s="73"/>
      <c r="C42" s="102">
        <v>19</v>
      </c>
      <c r="D42" s="102" t="s">
        <v>171</v>
      </c>
      <c r="E42" s="103" t="s">
        <v>486</v>
      </c>
      <c r="F42" s="499" t="s">
        <v>487</v>
      </c>
      <c r="G42" s="499"/>
      <c r="H42" s="499"/>
      <c r="I42" s="499"/>
      <c r="J42" s="104" t="s">
        <v>184</v>
      </c>
      <c r="K42" s="133">
        <v>0</v>
      </c>
      <c r="L42" s="133">
        <v>0</v>
      </c>
      <c r="M42" s="133">
        <v>7</v>
      </c>
      <c r="N42" s="133">
        <v>0</v>
      </c>
      <c r="O42" s="133">
        <v>0</v>
      </c>
      <c r="P42" s="404">
        <f t="shared" si="70"/>
        <v>7</v>
      </c>
      <c r="Q42" s="401">
        <v>0</v>
      </c>
      <c r="R42" s="133">
        <v>0</v>
      </c>
      <c r="S42" s="133">
        <v>0</v>
      </c>
      <c r="T42" s="133">
        <v>0</v>
      </c>
      <c r="U42" s="133">
        <v>0</v>
      </c>
      <c r="V42" s="177">
        <f t="shared" si="71"/>
        <v>0</v>
      </c>
      <c r="W42" s="289">
        <f t="shared" si="72"/>
        <v>0</v>
      </c>
      <c r="X42" s="401">
        <f t="shared" si="73"/>
        <v>0</v>
      </c>
      <c r="Y42" s="133">
        <f t="shared" si="74"/>
        <v>0</v>
      </c>
      <c r="Z42" s="133">
        <f t="shared" si="75"/>
        <v>7</v>
      </c>
      <c r="AA42" s="133">
        <f t="shared" si="76"/>
        <v>0</v>
      </c>
      <c r="AB42" s="133">
        <f t="shared" si="77"/>
        <v>0</v>
      </c>
      <c r="AC42" s="177">
        <f t="shared" si="78"/>
        <v>7</v>
      </c>
      <c r="AD42" s="289">
        <f t="shared" si="79"/>
        <v>1</v>
      </c>
      <c r="AE42" s="140">
        <v>0</v>
      </c>
      <c r="AF42" s="140">
        <v>0</v>
      </c>
      <c r="AG42" s="140">
        <v>310.45999999999998</v>
      </c>
      <c r="AH42" s="140">
        <v>310.45999999999998</v>
      </c>
      <c r="AI42" s="140">
        <v>310.45999999999998</v>
      </c>
      <c r="AJ42" s="133">
        <f t="shared" si="80"/>
        <v>0</v>
      </c>
      <c r="AK42" s="133">
        <f t="shared" si="81"/>
        <v>0</v>
      </c>
      <c r="AL42" s="133">
        <f t="shared" si="82"/>
        <v>2173.2199999999998</v>
      </c>
      <c r="AM42" s="133">
        <f t="shared" si="83"/>
        <v>0</v>
      </c>
      <c r="AN42" s="133">
        <f t="shared" si="84"/>
        <v>0</v>
      </c>
      <c r="AO42" s="414">
        <f t="shared" si="85"/>
        <v>2173.2199999999998</v>
      </c>
      <c r="AP42" s="401">
        <f t="shared" si="86"/>
        <v>0</v>
      </c>
      <c r="AQ42" s="133">
        <f t="shared" si="87"/>
        <v>0</v>
      </c>
      <c r="AR42" s="133">
        <f t="shared" si="88"/>
        <v>0</v>
      </c>
      <c r="AS42" s="133">
        <f t="shared" si="89"/>
        <v>0</v>
      </c>
      <c r="AT42" s="133">
        <f t="shared" si="90"/>
        <v>0</v>
      </c>
      <c r="AU42" s="133">
        <f t="shared" si="91"/>
        <v>0</v>
      </c>
      <c r="AV42" s="289">
        <f t="shared" si="92"/>
        <v>0</v>
      </c>
      <c r="AW42" s="401">
        <f t="shared" si="93"/>
        <v>0</v>
      </c>
      <c r="AX42" s="133">
        <f t="shared" si="94"/>
        <v>0</v>
      </c>
      <c r="AY42" s="133">
        <f t="shared" si="95"/>
        <v>2173.2199999999998</v>
      </c>
      <c r="AZ42" s="133">
        <f t="shared" si="96"/>
        <v>0</v>
      </c>
      <c r="BA42" s="133">
        <f t="shared" si="97"/>
        <v>0</v>
      </c>
      <c r="BB42" s="133">
        <f t="shared" si="98"/>
        <v>2173.2199999999998</v>
      </c>
      <c r="BC42" s="289">
        <f t="shared" si="99"/>
        <v>1</v>
      </c>
      <c r="BD42" s="74"/>
      <c r="BF42" s="98"/>
      <c r="BG42" s="18"/>
      <c r="BH42" s="198"/>
      <c r="BI42" s="99">
        <f t="shared" si="100"/>
        <v>0</v>
      </c>
      <c r="BJ42" s="99"/>
      <c r="BK42" s="99"/>
      <c r="BL42" s="99"/>
      <c r="BM42" s="100"/>
      <c r="BO42" s="113"/>
      <c r="BQ42" s="115"/>
      <c r="CD42" s="9"/>
      <c r="CF42" s="9"/>
      <c r="CG42" s="9"/>
      <c r="CK42" s="9"/>
      <c r="CQ42" s="72"/>
      <c r="CR42" s="72"/>
      <c r="CS42" s="72"/>
      <c r="CT42" s="72"/>
      <c r="CU42" s="72"/>
      <c r="CV42" s="9"/>
      <c r="CW42" s="101">
        <f t="shared" si="101"/>
        <v>0</v>
      </c>
      <c r="CX42" s="9"/>
      <c r="CY42" s="9"/>
    </row>
    <row r="43" spans="2:103" s="1" customFormat="1" ht="22.5" customHeight="1">
      <c r="B43" s="73"/>
      <c r="C43" s="102">
        <v>20</v>
      </c>
      <c r="D43" s="102" t="s">
        <v>171</v>
      </c>
      <c r="E43" s="103" t="s">
        <v>531</v>
      </c>
      <c r="F43" s="499" t="s">
        <v>532</v>
      </c>
      <c r="G43" s="499"/>
      <c r="H43" s="499"/>
      <c r="I43" s="499"/>
      <c r="J43" s="104" t="s">
        <v>184</v>
      </c>
      <c r="K43" s="133">
        <v>0</v>
      </c>
      <c r="L43" s="133">
        <v>0</v>
      </c>
      <c r="M43" s="133">
        <v>0</v>
      </c>
      <c r="N43" s="133">
        <v>10</v>
      </c>
      <c r="O43" s="133">
        <v>0</v>
      </c>
      <c r="P43" s="404">
        <f t="shared" si="70"/>
        <v>10</v>
      </c>
      <c r="Q43" s="401">
        <v>0</v>
      </c>
      <c r="R43" s="133">
        <v>0</v>
      </c>
      <c r="S43" s="133">
        <v>0</v>
      </c>
      <c r="T43" s="133">
        <v>0</v>
      </c>
      <c r="U43" s="133">
        <v>0</v>
      </c>
      <c r="V43" s="177">
        <f t="shared" si="71"/>
        <v>0</v>
      </c>
      <c r="W43" s="289">
        <f t="shared" si="72"/>
        <v>0</v>
      </c>
      <c r="X43" s="401">
        <f t="shared" si="73"/>
        <v>0</v>
      </c>
      <c r="Y43" s="133">
        <f t="shared" si="74"/>
        <v>0</v>
      </c>
      <c r="Z43" s="133">
        <f t="shared" si="75"/>
        <v>0</v>
      </c>
      <c r="AA43" s="133">
        <f t="shared" si="76"/>
        <v>10</v>
      </c>
      <c r="AB43" s="133">
        <f t="shared" si="77"/>
        <v>0</v>
      </c>
      <c r="AC43" s="177">
        <f t="shared" si="78"/>
        <v>10</v>
      </c>
      <c r="AD43" s="289">
        <f t="shared" si="79"/>
        <v>1</v>
      </c>
      <c r="AE43" s="140">
        <v>0</v>
      </c>
      <c r="AF43" s="140">
        <v>0</v>
      </c>
      <c r="AG43" s="140">
        <v>0</v>
      </c>
      <c r="AH43" s="140">
        <v>185.7</v>
      </c>
      <c r="AI43" s="140">
        <v>185.7</v>
      </c>
      <c r="AJ43" s="133">
        <f t="shared" si="80"/>
        <v>0</v>
      </c>
      <c r="AK43" s="133">
        <f t="shared" si="81"/>
        <v>0</v>
      </c>
      <c r="AL43" s="133">
        <f t="shared" si="82"/>
        <v>0</v>
      </c>
      <c r="AM43" s="133">
        <f t="shared" si="83"/>
        <v>1857</v>
      </c>
      <c r="AN43" s="133">
        <f t="shared" si="84"/>
        <v>0</v>
      </c>
      <c r="AO43" s="414">
        <f t="shared" si="85"/>
        <v>1857</v>
      </c>
      <c r="AP43" s="401">
        <f t="shared" si="86"/>
        <v>0</v>
      </c>
      <c r="AQ43" s="133">
        <f t="shared" si="87"/>
        <v>0</v>
      </c>
      <c r="AR43" s="133">
        <f t="shared" si="88"/>
        <v>0</v>
      </c>
      <c r="AS43" s="133">
        <f t="shared" si="89"/>
        <v>0</v>
      </c>
      <c r="AT43" s="133">
        <f t="shared" si="90"/>
        <v>0</v>
      </c>
      <c r="AU43" s="133">
        <f t="shared" si="91"/>
        <v>0</v>
      </c>
      <c r="AV43" s="289">
        <f t="shared" si="92"/>
        <v>0</v>
      </c>
      <c r="AW43" s="401">
        <f t="shared" si="93"/>
        <v>0</v>
      </c>
      <c r="AX43" s="133">
        <f t="shared" si="94"/>
        <v>0</v>
      </c>
      <c r="AY43" s="133">
        <f t="shared" si="95"/>
        <v>0</v>
      </c>
      <c r="AZ43" s="133">
        <f t="shared" si="96"/>
        <v>1857</v>
      </c>
      <c r="BA43" s="133">
        <f t="shared" si="97"/>
        <v>0</v>
      </c>
      <c r="BB43" s="133">
        <f t="shared" si="98"/>
        <v>1857</v>
      </c>
      <c r="BC43" s="289">
        <f t="shared" si="99"/>
        <v>1</v>
      </c>
      <c r="BD43" s="74"/>
      <c r="BF43" s="98"/>
      <c r="BG43" s="18"/>
      <c r="BH43" s="198"/>
      <c r="BI43" s="99">
        <f t="shared" si="100"/>
        <v>0</v>
      </c>
      <c r="BJ43" s="99"/>
      <c r="BK43" s="99"/>
      <c r="BL43" s="99"/>
      <c r="BM43" s="100"/>
      <c r="BO43" s="113"/>
      <c r="BQ43" s="115"/>
      <c r="CD43" s="9"/>
      <c r="CF43" s="9"/>
      <c r="CG43" s="9"/>
      <c r="CK43" s="9"/>
      <c r="CQ43" s="72"/>
      <c r="CR43" s="72"/>
      <c r="CS43" s="72"/>
      <c r="CT43" s="72"/>
      <c r="CU43" s="72"/>
      <c r="CV43" s="9"/>
      <c r="CW43" s="101">
        <f t="shared" si="101"/>
        <v>0</v>
      </c>
      <c r="CX43" s="9"/>
      <c r="CY43" s="9"/>
    </row>
    <row r="44" spans="2:103" s="1" customFormat="1" ht="22.5" customHeight="1">
      <c r="B44" s="73"/>
      <c r="C44" s="102">
        <v>21</v>
      </c>
      <c r="D44" s="102" t="s">
        <v>171</v>
      </c>
      <c r="E44" s="103" t="s">
        <v>529</v>
      </c>
      <c r="F44" s="499" t="s">
        <v>530</v>
      </c>
      <c r="G44" s="499"/>
      <c r="H44" s="499"/>
      <c r="I44" s="499"/>
      <c r="J44" s="104" t="s">
        <v>184</v>
      </c>
      <c r="K44" s="133">
        <v>0</v>
      </c>
      <c r="L44" s="133">
        <v>0</v>
      </c>
      <c r="M44" s="133">
        <v>0</v>
      </c>
      <c r="N44" s="133">
        <v>15</v>
      </c>
      <c r="O44" s="133">
        <v>0</v>
      </c>
      <c r="P44" s="404">
        <f t="shared" si="70"/>
        <v>15</v>
      </c>
      <c r="Q44" s="401">
        <v>0</v>
      </c>
      <c r="R44" s="133">
        <v>0</v>
      </c>
      <c r="S44" s="133">
        <v>0</v>
      </c>
      <c r="T44" s="133">
        <v>0</v>
      </c>
      <c r="U44" s="133">
        <v>0</v>
      </c>
      <c r="V44" s="177">
        <f t="shared" si="71"/>
        <v>0</v>
      </c>
      <c r="W44" s="289">
        <f t="shared" si="72"/>
        <v>0</v>
      </c>
      <c r="X44" s="401">
        <f t="shared" si="73"/>
        <v>0</v>
      </c>
      <c r="Y44" s="133">
        <f t="shared" si="74"/>
        <v>0</v>
      </c>
      <c r="Z44" s="133">
        <f t="shared" si="75"/>
        <v>0</v>
      </c>
      <c r="AA44" s="133">
        <f t="shared" si="76"/>
        <v>15</v>
      </c>
      <c r="AB44" s="133">
        <f t="shared" si="77"/>
        <v>0</v>
      </c>
      <c r="AC44" s="177">
        <f t="shared" si="78"/>
        <v>15</v>
      </c>
      <c r="AD44" s="289">
        <f t="shared" si="79"/>
        <v>1</v>
      </c>
      <c r="AE44" s="140">
        <v>0</v>
      </c>
      <c r="AF44" s="140">
        <v>0</v>
      </c>
      <c r="AG44" s="140">
        <v>0</v>
      </c>
      <c r="AH44" s="140">
        <v>280.26</v>
      </c>
      <c r="AI44" s="140">
        <v>280.26</v>
      </c>
      <c r="AJ44" s="133">
        <f t="shared" si="80"/>
        <v>0</v>
      </c>
      <c r="AK44" s="133">
        <f t="shared" si="81"/>
        <v>0</v>
      </c>
      <c r="AL44" s="133">
        <f t="shared" si="82"/>
        <v>0</v>
      </c>
      <c r="AM44" s="133">
        <f t="shared" si="83"/>
        <v>4203.8999999999996</v>
      </c>
      <c r="AN44" s="133">
        <f t="shared" si="84"/>
        <v>0</v>
      </c>
      <c r="AO44" s="414">
        <f t="shared" si="85"/>
        <v>4203.8999999999996</v>
      </c>
      <c r="AP44" s="401">
        <f t="shared" si="86"/>
        <v>0</v>
      </c>
      <c r="AQ44" s="133">
        <f t="shared" si="87"/>
        <v>0</v>
      </c>
      <c r="AR44" s="133">
        <f t="shared" si="88"/>
        <v>0</v>
      </c>
      <c r="AS44" s="133">
        <f t="shared" si="89"/>
        <v>0</v>
      </c>
      <c r="AT44" s="133">
        <f t="shared" si="90"/>
        <v>0</v>
      </c>
      <c r="AU44" s="133">
        <f t="shared" si="91"/>
        <v>0</v>
      </c>
      <c r="AV44" s="289">
        <f t="shared" si="92"/>
        <v>0</v>
      </c>
      <c r="AW44" s="401">
        <f t="shared" si="93"/>
        <v>0</v>
      </c>
      <c r="AX44" s="133">
        <f t="shared" si="94"/>
        <v>0</v>
      </c>
      <c r="AY44" s="133">
        <f t="shared" si="95"/>
        <v>0</v>
      </c>
      <c r="AZ44" s="133">
        <f t="shared" si="96"/>
        <v>4203.8999999999996</v>
      </c>
      <c r="BA44" s="133">
        <f t="shared" si="97"/>
        <v>0</v>
      </c>
      <c r="BB44" s="133">
        <f t="shared" si="98"/>
        <v>4203.8999999999996</v>
      </c>
      <c r="BC44" s="289">
        <f t="shared" si="99"/>
        <v>1</v>
      </c>
      <c r="BD44" s="74"/>
      <c r="BF44" s="98"/>
      <c r="BG44" s="18"/>
      <c r="BH44" s="198"/>
      <c r="BI44" s="99">
        <f t="shared" si="100"/>
        <v>0</v>
      </c>
      <c r="BJ44" s="99"/>
      <c r="BK44" s="99"/>
      <c r="BL44" s="99"/>
      <c r="BM44" s="100"/>
      <c r="BO44" s="113"/>
      <c r="BQ44" s="115"/>
      <c r="CD44" s="9"/>
      <c r="CF44" s="9"/>
      <c r="CG44" s="9"/>
      <c r="CK44" s="9"/>
      <c r="CQ44" s="72"/>
      <c r="CR44" s="72"/>
      <c r="CS44" s="72"/>
      <c r="CT44" s="72"/>
      <c r="CU44" s="72"/>
      <c r="CV44" s="9"/>
      <c r="CW44" s="101">
        <f t="shared" si="101"/>
        <v>0</v>
      </c>
      <c r="CX44" s="9"/>
      <c r="CY44" s="9"/>
    </row>
    <row r="45" spans="2:103" s="1" customFormat="1" ht="22.5" customHeight="1">
      <c r="B45" s="73"/>
      <c r="C45" s="102">
        <v>22</v>
      </c>
      <c r="D45" s="102" t="s">
        <v>171</v>
      </c>
      <c r="E45" s="103" t="s">
        <v>533</v>
      </c>
      <c r="F45" s="499" t="s">
        <v>534</v>
      </c>
      <c r="G45" s="499"/>
      <c r="H45" s="499"/>
      <c r="I45" s="499"/>
      <c r="J45" s="104" t="s">
        <v>184</v>
      </c>
      <c r="K45" s="133">
        <v>0</v>
      </c>
      <c r="L45" s="133">
        <v>0</v>
      </c>
      <c r="M45" s="133">
        <v>0</v>
      </c>
      <c r="N45" s="133">
        <v>13</v>
      </c>
      <c r="O45" s="133">
        <v>0</v>
      </c>
      <c r="P45" s="404">
        <f t="shared" si="70"/>
        <v>13</v>
      </c>
      <c r="Q45" s="401">
        <v>0</v>
      </c>
      <c r="R45" s="133">
        <v>0</v>
      </c>
      <c r="S45" s="133">
        <v>0</v>
      </c>
      <c r="T45" s="133">
        <v>0</v>
      </c>
      <c r="U45" s="133">
        <v>0</v>
      </c>
      <c r="V45" s="177">
        <f t="shared" si="71"/>
        <v>0</v>
      </c>
      <c r="W45" s="289">
        <f t="shared" si="72"/>
        <v>0</v>
      </c>
      <c r="X45" s="401">
        <f t="shared" si="73"/>
        <v>0</v>
      </c>
      <c r="Y45" s="133">
        <f t="shared" si="74"/>
        <v>0</v>
      </c>
      <c r="Z45" s="133">
        <f t="shared" si="75"/>
        <v>0</v>
      </c>
      <c r="AA45" s="133">
        <f t="shared" si="76"/>
        <v>13</v>
      </c>
      <c r="AB45" s="133">
        <f t="shared" si="77"/>
        <v>0</v>
      </c>
      <c r="AC45" s="177">
        <f t="shared" si="78"/>
        <v>13</v>
      </c>
      <c r="AD45" s="289">
        <f t="shared" si="79"/>
        <v>1</v>
      </c>
      <c r="AE45" s="140">
        <v>0</v>
      </c>
      <c r="AF45" s="140">
        <v>0</v>
      </c>
      <c r="AG45" s="140">
        <v>0</v>
      </c>
      <c r="AH45" s="140">
        <v>134.56</v>
      </c>
      <c r="AI45" s="140">
        <v>134.56</v>
      </c>
      <c r="AJ45" s="133">
        <f t="shared" si="80"/>
        <v>0</v>
      </c>
      <c r="AK45" s="133">
        <f t="shared" si="81"/>
        <v>0</v>
      </c>
      <c r="AL45" s="133">
        <f t="shared" si="82"/>
        <v>0</v>
      </c>
      <c r="AM45" s="133">
        <f t="shared" si="83"/>
        <v>1749.28</v>
      </c>
      <c r="AN45" s="133">
        <f t="shared" si="84"/>
        <v>0</v>
      </c>
      <c r="AO45" s="414">
        <f t="shared" si="85"/>
        <v>1749.28</v>
      </c>
      <c r="AP45" s="401">
        <f t="shared" si="86"/>
        <v>0</v>
      </c>
      <c r="AQ45" s="133">
        <f t="shared" si="87"/>
        <v>0</v>
      </c>
      <c r="AR45" s="133">
        <f t="shared" si="88"/>
        <v>0</v>
      </c>
      <c r="AS45" s="133">
        <f t="shared" si="89"/>
        <v>0</v>
      </c>
      <c r="AT45" s="133">
        <f t="shared" si="90"/>
        <v>0</v>
      </c>
      <c r="AU45" s="133">
        <f t="shared" si="91"/>
        <v>0</v>
      </c>
      <c r="AV45" s="289">
        <f t="shared" si="92"/>
        <v>0</v>
      </c>
      <c r="AW45" s="401">
        <f t="shared" si="93"/>
        <v>0</v>
      </c>
      <c r="AX45" s="133">
        <f t="shared" si="94"/>
        <v>0</v>
      </c>
      <c r="AY45" s="133">
        <f t="shared" si="95"/>
        <v>0</v>
      </c>
      <c r="AZ45" s="133">
        <f t="shared" si="96"/>
        <v>1749.28</v>
      </c>
      <c r="BA45" s="133">
        <f t="shared" si="97"/>
        <v>0</v>
      </c>
      <c r="BB45" s="133">
        <f t="shared" si="98"/>
        <v>1749.28</v>
      </c>
      <c r="BC45" s="289">
        <f t="shared" si="99"/>
        <v>1</v>
      </c>
      <c r="BD45" s="74"/>
      <c r="BF45" s="98"/>
      <c r="BG45" s="18"/>
      <c r="BH45" s="198"/>
      <c r="BI45" s="99">
        <f t="shared" si="100"/>
        <v>0</v>
      </c>
      <c r="BJ45" s="99"/>
      <c r="BK45" s="99"/>
      <c r="BL45" s="99"/>
      <c r="BM45" s="100"/>
      <c r="BO45" s="113"/>
      <c r="BQ45" s="115"/>
      <c r="CD45" s="9"/>
      <c r="CF45" s="9"/>
      <c r="CG45" s="9"/>
      <c r="CK45" s="9"/>
      <c r="CQ45" s="72"/>
      <c r="CR45" s="72"/>
      <c r="CS45" s="72"/>
      <c r="CT45" s="72"/>
      <c r="CU45" s="72"/>
      <c r="CV45" s="9"/>
      <c r="CW45" s="101">
        <f t="shared" si="101"/>
        <v>0</v>
      </c>
      <c r="CX45" s="9"/>
      <c r="CY45" s="9"/>
    </row>
    <row r="46" spans="2:103" s="1" customFormat="1" ht="22.5" customHeight="1">
      <c r="B46" s="73"/>
      <c r="C46" s="102">
        <v>23</v>
      </c>
      <c r="D46" s="102" t="s">
        <v>171</v>
      </c>
      <c r="E46" s="103" t="s">
        <v>535</v>
      </c>
      <c r="F46" s="499" t="s">
        <v>536</v>
      </c>
      <c r="G46" s="499"/>
      <c r="H46" s="499"/>
      <c r="I46" s="499"/>
      <c r="J46" s="104" t="s">
        <v>184</v>
      </c>
      <c r="K46" s="133">
        <v>0</v>
      </c>
      <c r="L46" s="133">
        <v>0</v>
      </c>
      <c r="M46" s="133">
        <v>0</v>
      </c>
      <c r="N46" s="133">
        <v>1</v>
      </c>
      <c r="O46" s="133">
        <v>0</v>
      </c>
      <c r="P46" s="404">
        <f t="shared" si="70"/>
        <v>1</v>
      </c>
      <c r="Q46" s="401">
        <v>0</v>
      </c>
      <c r="R46" s="133">
        <v>0</v>
      </c>
      <c r="S46" s="133">
        <v>0</v>
      </c>
      <c r="T46" s="133">
        <v>0</v>
      </c>
      <c r="U46" s="133">
        <v>0</v>
      </c>
      <c r="V46" s="177">
        <f t="shared" si="71"/>
        <v>0</v>
      </c>
      <c r="W46" s="289">
        <f t="shared" si="72"/>
        <v>0</v>
      </c>
      <c r="X46" s="401">
        <f t="shared" si="73"/>
        <v>0</v>
      </c>
      <c r="Y46" s="133">
        <f t="shared" si="74"/>
        <v>0</v>
      </c>
      <c r="Z46" s="133">
        <f t="shared" si="75"/>
        <v>0</v>
      </c>
      <c r="AA46" s="133">
        <f t="shared" si="76"/>
        <v>1</v>
      </c>
      <c r="AB46" s="133">
        <f t="shared" si="77"/>
        <v>0</v>
      </c>
      <c r="AC46" s="177">
        <f t="shared" si="78"/>
        <v>1</v>
      </c>
      <c r="AD46" s="289">
        <f t="shared" si="79"/>
        <v>1</v>
      </c>
      <c r="AE46" s="140">
        <v>0</v>
      </c>
      <c r="AF46" s="140">
        <v>0</v>
      </c>
      <c r="AG46" s="140">
        <v>0</v>
      </c>
      <c r="AH46" s="140">
        <v>652.58000000000004</v>
      </c>
      <c r="AI46" s="140">
        <v>652.58000000000004</v>
      </c>
      <c r="AJ46" s="133">
        <f t="shared" si="80"/>
        <v>0</v>
      </c>
      <c r="AK46" s="133">
        <f t="shared" si="81"/>
        <v>0</v>
      </c>
      <c r="AL46" s="133">
        <f t="shared" si="82"/>
        <v>0</v>
      </c>
      <c r="AM46" s="133">
        <f t="shared" si="83"/>
        <v>652.58000000000004</v>
      </c>
      <c r="AN46" s="133">
        <f t="shared" si="84"/>
        <v>0</v>
      </c>
      <c r="AO46" s="414">
        <f t="shared" si="85"/>
        <v>652.58000000000004</v>
      </c>
      <c r="AP46" s="401">
        <f t="shared" si="86"/>
        <v>0</v>
      </c>
      <c r="AQ46" s="133">
        <f t="shared" si="87"/>
        <v>0</v>
      </c>
      <c r="AR46" s="133">
        <f t="shared" si="88"/>
        <v>0</v>
      </c>
      <c r="AS46" s="133">
        <f t="shared" si="89"/>
        <v>0</v>
      </c>
      <c r="AT46" s="133">
        <f t="shared" si="90"/>
        <v>0</v>
      </c>
      <c r="AU46" s="133">
        <f t="shared" si="91"/>
        <v>0</v>
      </c>
      <c r="AV46" s="289">
        <f t="shared" si="92"/>
        <v>0</v>
      </c>
      <c r="AW46" s="401">
        <f t="shared" si="93"/>
        <v>0</v>
      </c>
      <c r="AX46" s="133">
        <f t="shared" si="94"/>
        <v>0</v>
      </c>
      <c r="AY46" s="133">
        <f t="shared" si="95"/>
        <v>0</v>
      </c>
      <c r="AZ46" s="133">
        <f t="shared" si="96"/>
        <v>652.58000000000004</v>
      </c>
      <c r="BA46" s="133">
        <f t="shared" si="97"/>
        <v>0</v>
      </c>
      <c r="BB46" s="133">
        <f t="shared" si="98"/>
        <v>652.58000000000004</v>
      </c>
      <c r="BC46" s="289">
        <f t="shared" si="99"/>
        <v>1</v>
      </c>
      <c r="BD46" s="74"/>
      <c r="BF46" s="98"/>
      <c r="BG46" s="18"/>
      <c r="BH46" s="198"/>
      <c r="BI46" s="99">
        <f t="shared" si="100"/>
        <v>0</v>
      </c>
      <c r="BJ46" s="99"/>
      <c r="BK46" s="99"/>
      <c r="BL46" s="99"/>
      <c r="BM46" s="100"/>
      <c r="BO46" s="113"/>
      <c r="BQ46" s="115"/>
      <c r="CD46" s="9"/>
      <c r="CF46" s="9"/>
      <c r="CG46" s="9"/>
      <c r="CK46" s="9"/>
      <c r="CQ46" s="72"/>
      <c r="CR46" s="72"/>
      <c r="CS46" s="72"/>
      <c r="CT46" s="72"/>
      <c r="CU46" s="72"/>
      <c r="CV46" s="9"/>
      <c r="CW46" s="101">
        <f t="shared" si="101"/>
        <v>0</v>
      </c>
      <c r="CX46" s="9"/>
      <c r="CY46" s="9"/>
    </row>
    <row r="47" spans="2:103" s="1" customFormat="1" ht="22.5" customHeight="1">
      <c r="B47" s="73"/>
      <c r="C47" s="102">
        <v>24</v>
      </c>
      <c r="D47" s="102" t="s">
        <v>171</v>
      </c>
      <c r="E47" s="103" t="s">
        <v>537</v>
      </c>
      <c r="F47" s="499" t="s">
        <v>538</v>
      </c>
      <c r="G47" s="499"/>
      <c r="H47" s="499"/>
      <c r="I47" s="499"/>
      <c r="J47" s="104" t="s">
        <v>184</v>
      </c>
      <c r="K47" s="133">
        <v>0</v>
      </c>
      <c r="L47" s="133">
        <v>0</v>
      </c>
      <c r="M47" s="133">
        <v>0</v>
      </c>
      <c r="N47" s="133">
        <v>1</v>
      </c>
      <c r="O47" s="133">
        <v>0</v>
      </c>
      <c r="P47" s="404">
        <f t="shared" si="70"/>
        <v>1</v>
      </c>
      <c r="Q47" s="401">
        <v>0</v>
      </c>
      <c r="R47" s="133">
        <v>0</v>
      </c>
      <c r="S47" s="133">
        <v>0</v>
      </c>
      <c r="T47" s="133">
        <v>0</v>
      </c>
      <c r="U47" s="133">
        <v>0</v>
      </c>
      <c r="V47" s="177">
        <f t="shared" si="71"/>
        <v>0</v>
      </c>
      <c r="W47" s="289">
        <f t="shared" si="72"/>
        <v>0</v>
      </c>
      <c r="X47" s="401">
        <f t="shared" si="73"/>
        <v>0</v>
      </c>
      <c r="Y47" s="133">
        <f t="shared" si="74"/>
        <v>0</v>
      </c>
      <c r="Z47" s="133">
        <f t="shared" si="75"/>
        <v>0</v>
      </c>
      <c r="AA47" s="133">
        <f t="shared" si="76"/>
        <v>1</v>
      </c>
      <c r="AB47" s="133">
        <f t="shared" si="77"/>
        <v>0</v>
      </c>
      <c r="AC47" s="177">
        <f t="shared" si="78"/>
        <v>1</v>
      </c>
      <c r="AD47" s="289">
        <f t="shared" si="79"/>
        <v>1</v>
      </c>
      <c r="AE47" s="140">
        <v>0</v>
      </c>
      <c r="AF47" s="140">
        <v>0</v>
      </c>
      <c r="AG47" s="140">
        <v>0</v>
      </c>
      <c r="AH47" s="140">
        <v>122.44</v>
      </c>
      <c r="AI47" s="140">
        <v>122.44</v>
      </c>
      <c r="AJ47" s="133">
        <f t="shared" si="80"/>
        <v>0</v>
      </c>
      <c r="AK47" s="133">
        <f t="shared" si="81"/>
        <v>0</v>
      </c>
      <c r="AL47" s="133">
        <f t="shared" si="82"/>
        <v>0</v>
      </c>
      <c r="AM47" s="133">
        <f t="shared" si="83"/>
        <v>122.44</v>
      </c>
      <c r="AN47" s="133">
        <f t="shared" si="84"/>
        <v>0</v>
      </c>
      <c r="AO47" s="414">
        <f t="shared" si="85"/>
        <v>122.44</v>
      </c>
      <c r="AP47" s="401">
        <f t="shared" si="86"/>
        <v>0</v>
      </c>
      <c r="AQ47" s="133">
        <f t="shared" si="87"/>
        <v>0</v>
      </c>
      <c r="AR47" s="133">
        <f t="shared" si="88"/>
        <v>0</v>
      </c>
      <c r="AS47" s="133">
        <f t="shared" si="89"/>
        <v>0</v>
      </c>
      <c r="AT47" s="133">
        <f t="shared" si="90"/>
        <v>0</v>
      </c>
      <c r="AU47" s="133">
        <f t="shared" si="91"/>
        <v>0</v>
      </c>
      <c r="AV47" s="289">
        <f t="shared" si="92"/>
        <v>0</v>
      </c>
      <c r="AW47" s="401">
        <f t="shared" si="93"/>
        <v>0</v>
      </c>
      <c r="AX47" s="133">
        <f t="shared" si="94"/>
        <v>0</v>
      </c>
      <c r="AY47" s="133">
        <f t="shared" si="95"/>
        <v>0</v>
      </c>
      <c r="AZ47" s="133">
        <f t="shared" si="96"/>
        <v>122.44</v>
      </c>
      <c r="BA47" s="133">
        <f t="shared" si="97"/>
        <v>0</v>
      </c>
      <c r="BB47" s="133">
        <f t="shared" si="98"/>
        <v>122.44</v>
      </c>
      <c r="BC47" s="289">
        <f t="shared" si="99"/>
        <v>1</v>
      </c>
      <c r="BD47" s="74"/>
      <c r="BF47" s="98"/>
      <c r="BG47" s="18"/>
      <c r="BH47" s="198"/>
      <c r="BI47" s="99">
        <f t="shared" si="100"/>
        <v>0</v>
      </c>
      <c r="BJ47" s="99"/>
      <c r="BK47" s="99"/>
      <c r="BL47" s="99"/>
      <c r="BM47" s="100"/>
      <c r="BO47" s="113"/>
      <c r="BQ47" s="115"/>
      <c r="CD47" s="9"/>
      <c r="CF47" s="9"/>
      <c r="CG47" s="9"/>
      <c r="CK47" s="9"/>
      <c r="CQ47" s="72"/>
      <c r="CR47" s="72"/>
      <c r="CS47" s="72"/>
      <c r="CT47" s="72"/>
      <c r="CU47" s="72"/>
      <c r="CV47" s="9"/>
      <c r="CW47" s="101">
        <f t="shared" si="101"/>
        <v>0</v>
      </c>
      <c r="CX47" s="9"/>
      <c r="CY47" s="9"/>
    </row>
    <row r="48" spans="2:103" s="1" customFormat="1" ht="22.5" customHeight="1">
      <c r="B48" s="73"/>
      <c r="C48" s="102">
        <v>25</v>
      </c>
      <c r="D48" s="102" t="s">
        <v>171</v>
      </c>
      <c r="E48" s="103" t="s">
        <v>539</v>
      </c>
      <c r="F48" s="499" t="s">
        <v>540</v>
      </c>
      <c r="G48" s="499"/>
      <c r="H48" s="499"/>
      <c r="I48" s="499"/>
      <c r="J48" s="104" t="s">
        <v>184</v>
      </c>
      <c r="K48" s="133">
        <v>0</v>
      </c>
      <c r="L48" s="133">
        <v>0</v>
      </c>
      <c r="M48" s="133">
        <v>0</v>
      </c>
      <c r="N48" s="133">
        <v>2</v>
      </c>
      <c r="O48" s="133">
        <v>0</v>
      </c>
      <c r="P48" s="404">
        <f t="shared" si="70"/>
        <v>2</v>
      </c>
      <c r="Q48" s="401">
        <v>0</v>
      </c>
      <c r="R48" s="133">
        <v>0</v>
      </c>
      <c r="S48" s="133">
        <v>0</v>
      </c>
      <c r="T48" s="133">
        <v>0</v>
      </c>
      <c r="U48" s="133">
        <v>0</v>
      </c>
      <c r="V48" s="177">
        <f t="shared" si="71"/>
        <v>0</v>
      </c>
      <c r="W48" s="289">
        <f t="shared" si="72"/>
        <v>0</v>
      </c>
      <c r="X48" s="401">
        <f t="shared" si="73"/>
        <v>0</v>
      </c>
      <c r="Y48" s="133">
        <f t="shared" si="74"/>
        <v>0</v>
      </c>
      <c r="Z48" s="133">
        <f t="shared" si="75"/>
        <v>0</v>
      </c>
      <c r="AA48" s="133">
        <f t="shared" si="76"/>
        <v>2</v>
      </c>
      <c r="AB48" s="133">
        <f t="shared" si="77"/>
        <v>0</v>
      </c>
      <c r="AC48" s="177">
        <f t="shared" si="78"/>
        <v>2</v>
      </c>
      <c r="AD48" s="289">
        <f t="shared" si="79"/>
        <v>1</v>
      </c>
      <c r="AE48" s="140">
        <v>0</v>
      </c>
      <c r="AF48" s="140">
        <v>0</v>
      </c>
      <c r="AG48" s="140">
        <v>0</v>
      </c>
      <c r="AH48" s="140">
        <v>102.33</v>
      </c>
      <c r="AI48" s="140">
        <v>102.33</v>
      </c>
      <c r="AJ48" s="133">
        <f t="shared" si="80"/>
        <v>0</v>
      </c>
      <c r="AK48" s="133">
        <f t="shared" si="81"/>
        <v>0</v>
      </c>
      <c r="AL48" s="133">
        <f t="shared" si="82"/>
        <v>0</v>
      </c>
      <c r="AM48" s="133">
        <f t="shared" si="83"/>
        <v>204.66</v>
      </c>
      <c r="AN48" s="133">
        <f t="shared" si="84"/>
        <v>0</v>
      </c>
      <c r="AO48" s="414">
        <f t="shared" si="85"/>
        <v>204.66</v>
      </c>
      <c r="AP48" s="401">
        <f t="shared" si="86"/>
        <v>0</v>
      </c>
      <c r="AQ48" s="133">
        <f t="shared" si="87"/>
        <v>0</v>
      </c>
      <c r="AR48" s="133">
        <f t="shared" si="88"/>
        <v>0</v>
      </c>
      <c r="AS48" s="133">
        <f t="shared" si="89"/>
        <v>0</v>
      </c>
      <c r="AT48" s="133">
        <f t="shared" si="90"/>
        <v>0</v>
      </c>
      <c r="AU48" s="133">
        <f t="shared" si="91"/>
        <v>0</v>
      </c>
      <c r="AV48" s="289">
        <f t="shared" si="92"/>
        <v>0</v>
      </c>
      <c r="AW48" s="401">
        <f t="shared" si="93"/>
        <v>0</v>
      </c>
      <c r="AX48" s="133">
        <f t="shared" si="94"/>
        <v>0</v>
      </c>
      <c r="AY48" s="133">
        <f t="shared" si="95"/>
        <v>0</v>
      </c>
      <c r="AZ48" s="133">
        <f t="shared" si="96"/>
        <v>204.66</v>
      </c>
      <c r="BA48" s="133">
        <f t="shared" si="97"/>
        <v>0</v>
      </c>
      <c r="BB48" s="133">
        <f t="shared" si="98"/>
        <v>204.66</v>
      </c>
      <c r="BC48" s="289">
        <f t="shared" si="99"/>
        <v>1</v>
      </c>
      <c r="BD48" s="74"/>
      <c r="BF48" s="98"/>
      <c r="BG48" s="18"/>
      <c r="BH48" s="198"/>
      <c r="BI48" s="99">
        <f t="shared" si="100"/>
        <v>0</v>
      </c>
      <c r="BJ48" s="99"/>
      <c r="BK48" s="99"/>
      <c r="BL48" s="99"/>
      <c r="BM48" s="100"/>
      <c r="BO48" s="113"/>
      <c r="BQ48" s="115"/>
      <c r="CD48" s="9"/>
      <c r="CF48" s="9"/>
      <c r="CG48" s="9"/>
      <c r="CK48" s="9"/>
      <c r="CQ48" s="72"/>
      <c r="CR48" s="72"/>
      <c r="CS48" s="72"/>
      <c r="CT48" s="72"/>
      <c r="CU48" s="72"/>
      <c r="CV48" s="9"/>
      <c r="CW48" s="101">
        <f t="shared" si="101"/>
        <v>0</v>
      </c>
      <c r="CX48" s="9"/>
      <c r="CY48" s="9"/>
    </row>
    <row r="49" spans="2:103" s="1" customFormat="1" ht="22.5" customHeight="1">
      <c r="B49" s="73"/>
      <c r="C49" s="102">
        <v>26</v>
      </c>
      <c r="D49" s="102" t="s">
        <v>171</v>
      </c>
      <c r="E49" s="103" t="s">
        <v>488</v>
      </c>
      <c r="F49" s="499" t="s">
        <v>489</v>
      </c>
      <c r="G49" s="499"/>
      <c r="H49" s="499"/>
      <c r="I49" s="499"/>
      <c r="J49" s="104" t="s">
        <v>184</v>
      </c>
      <c r="K49" s="133">
        <v>0</v>
      </c>
      <c r="L49" s="133">
        <v>0</v>
      </c>
      <c r="M49" s="133">
        <v>1</v>
      </c>
      <c r="N49" s="133">
        <v>1</v>
      </c>
      <c r="O49" s="133">
        <v>0</v>
      </c>
      <c r="P49" s="404">
        <f t="shared" si="70"/>
        <v>2</v>
      </c>
      <c r="Q49" s="401">
        <v>0</v>
      </c>
      <c r="R49" s="133">
        <v>0</v>
      </c>
      <c r="S49" s="133">
        <v>0</v>
      </c>
      <c r="T49" s="133">
        <v>0</v>
      </c>
      <c r="U49" s="133">
        <v>0</v>
      </c>
      <c r="V49" s="177">
        <f t="shared" si="71"/>
        <v>0</v>
      </c>
      <c r="W49" s="289">
        <f t="shared" si="72"/>
        <v>0</v>
      </c>
      <c r="X49" s="401">
        <f t="shared" si="73"/>
        <v>0</v>
      </c>
      <c r="Y49" s="133">
        <f t="shared" si="74"/>
        <v>0</v>
      </c>
      <c r="Z49" s="133">
        <f t="shared" si="75"/>
        <v>1</v>
      </c>
      <c r="AA49" s="133">
        <f t="shared" si="76"/>
        <v>1</v>
      </c>
      <c r="AB49" s="133">
        <f t="shared" si="77"/>
        <v>0</v>
      </c>
      <c r="AC49" s="177">
        <f t="shared" si="78"/>
        <v>2</v>
      </c>
      <c r="AD49" s="289">
        <f t="shared" si="79"/>
        <v>1</v>
      </c>
      <c r="AE49" s="140">
        <v>0</v>
      </c>
      <c r="AF49" s="140">
        <v>0</v>
      </c>
      <c r="AG49" s="140">
        <v>268.27</v>
      </c>
      <c r="AH49" s="140">
        <v>230.72</v>
      </c>
      <c r="AI49" s="140">
        <v>230.72</v>
      </c>
      <c r="AJ49" s="133">
        <f t="shared" si="80"/>
        <v>0</v>
      </c>
      <c r="AK49" s="133">
        <f t="shared" si="81"/>
        <v>0</v>
      </c>
      <c r="AL49" s="133">
        <f t="shared" si="82"/>
        <v>268.27</v>
      </c>
      <c r="AM49" s="133">
        <f t="shared" si="83"/>
        <v>230.72</v>
      </c>
      <c r="AN49" s="133">
        <f t="shared" si="84"/>
        <v>0</v>
      </c>
      <c r="AO49" s="414">
        <f t="shared" si="85"/>
        <v>498.99</v>
      </c>
      <c r="AP49" s="401">
        <f t="shared" si="86"/>
        <v>0</v>
      </c>
      <c r="AQ49" s="133">
        <f t="shared" si="87"/>
        <v>0</v>
      </c>
      <c r="AR49" s="133">
        <f t="shared" si="88"/>
        <v>0</v>
      </c>
      <c r="AS49" s="133">
        <f t="shared" si="89"/>
        <v>0</v>
      </c>
      <c r="AT49" s="133">
        <f t="shared" si="90"/>
        <v>0</v>
      </c>
      <c r="AU49" s="133">
        <f t="shared" si="91"/>
        <v>0</v>
      </c>
      <c r="AV49" s="289">
        <f t="shared" si="92"/>
        <v>0</v>
      </c>
      <c r="AW49" s="401">
        <f t="shared" si="93"/>
        <v>0</v>
      </c>
      <c r="AX49" s="133">
        <f t="shared" si="94"/>
        <v>0</v>
      </c>
      <c r="AY49" s="133">
        <f t="shared" si="95"/>
        <v>268.27</v>
      </c>
      <c r="AZ49" s="133">
        <f t="shared" si="96"/>
        <v>230.72</v>
      </c>
      <c r="BA49" s="133">
        <f t="shared" si="97"/>
        <v>0</v>
      </c>
      <c r="BB49" s="133">
        <f t="shared" si="98"/>
        <v>498.99</v>
      </c>
      <c r="BC49" s="289">
        <f t="shared" si="99"/>
        <v>1</v>
      </c>
      <c r="BD49" s="74"/>
      <c r="BF49" s="98"/>
      <c r="BG49" s="18"/>
      <c r="BH49" s="198"/>
      <c r="BI49" s="99">
        <f t="shared" si="100"/>
        <v>0</v>
      </c>
      <c r="BJ49" s="99"/>
      <c r="BK49" s="99"/>
      <c r="BL49" s="99"/>
      <c r="BM49" s="100"/>
      <c r="BO49" s="113"/>
      <c r="BQ49" s="115"/>
      <c r="CD49" s="9"/>
      <c r="CF49" s="9"/>
      <c r="CG49" s="9"/>
      <c r="CK49" s="9"/>
      <c r="CQ49" s="72"/>
      <c r="CR49" s="72"/>
      <c r="CS49" s="72"/>
      <c r="CT49" s="72"/>
      <c r="CU49" s="72"/>
      <c r="CV49" s="9"/>
      <c r="CW49" s="101">
        <f t="shared" si="101"/>
        <v>0</v>
      </c>
      <c r="CX49" s="9"/>
      <c r="CY49" s="9"/>
    </row>
    <row r="50" spans="2:103" s="1" customFormat="1" ht="22.5" customHeight="1">
      <c r="B50" s="73"/>
      <c r="C50" s="102">
        <v>27</v>
      </c>
      <c r="D50" s="102" t="s">
        <v>171</v>
      </c>
      <c r="E50" s="103" t="s">
        <v>488</v>
      </c>
      <c r="F50" s="499" t="s">
        <v>548</v>
      </c>
      <c r="G50" s="499"/>
      <c r="H50" s="499"/>
      <c r="I50" s="499"/>
      <c r="J50" s="104" t="s">
        <v>184</v>
      </c>
      <c r="K50" s="133">
        <v>0</v>
      </c>
      <c r="L50" s="133">
        <v>0</v>
      </c>
      <c r="M50" s="133">
        <v>0</v>
      </c>
      <c r="N50" s="133">
        <v>0</v>
      </c>
      <c r="O50" s="133">
        <v>1</v>
      </c>
      <c r="P50" s="404">
        <f t="shared" si="70"/>
        <v>1</v>
      </c>
      <c r="Q50" s="401">
        <v>0</v>
      </c>
      <c r="R50" s="133">
        <v>0</v>
      </c>
      <c r="S50" s="133">
        <v>0</v>
      </c>
      <c r="T50" s="133">
        <v>0</v>
      </c>
      <c r="U50" s="133">
        <v>0</v>
      </c>
      <c r="V50" s="177">
        <f t="shared" si="71"/>
        <v>0</v>
      </c>
      <c r="W50" s="289">
        <f t="shared" si="72"/>
        <v>0</v>
      </c>
      <c r="X50" s="401">
        <f t="shared" si="73"/>
        <v>0</v>
      </c>
      <c r="Y50" s="133">
        <f t="shared" si="74"/>
        <v>0</v>
      </c>
      <c r="Z50" s="133">
        <f t="shared" si="75"/>
        <v>0</v>
      </c>
      <c r="AA50" s="133">
        <f t="shared" si="76"/>
        <v>0</v>
      </c>
      <c r="AB50" s="133">
        <f t="shared" si="77"/>
        <v>1</v>
      </c>
      <c r="AC50" s="177">
        <f t="shared" si="78"/>
        <v>1</v>
      </c>
      <c r="AD50" s="289">
        <f t="shared" si="79"/>
        <v>1</v>
      </c>
      <c r="AE50" s="140">
        <v>0</v>
      </c>
      <c r="AF50" s="140">
        <v>0</v>
      </c>
      <c r="AG50" s="140">
        <v>0</v>
      </c>
      <c r="AH50" s="140">
        <v>0</v>
      </c>
      <c r="AI50" s="140">
        <v>0</v>
      </c>
      <c r="AJ50" s="133">
        <f t="shared" si="80"/>
        <v>0</v>
      </c>
      <c r="AK50" s="133">
        <f t="shared" si="81"/>
        <v>0</v>
      </c>
      <c r="AL50" s="133">
        <f t="shared" si="82"/>
        <v>0</v>
      </c>
      <c r="AM50" s="133">
        <f t="shared" si="83"/>
        <v>0</v>
      </c>
      <c r="AN50" s="133">
        <f t="shared" si="84"/>
        <v>0</v>
      </c>
      <c r="AO50" s="414">
        <f t="shared" si="85"/>
        <v>0</v>
      </c>
      <c r="AP50" s="401">
        <f t="shared" si="86"/>
        <v>0</v>
      </c>
      <c r="AQ50" s="133">
        <f t="shared" si="87"/>
        <v>0</v>
      </c>
      <c r="AR50" s="133">
        <f t="shared" si="88"/>
        <v>0</v>
      </c>
      <c r="AS50" s="133">
        <f t="shared" si="89"/>
        <v>0</v>
      </c>
      <c r="AT50" s="133">
        <f t="shared" si="90"/>
        <v>0</v>
      </c>
      <c r="AU50" s="133">
        <f t="shared" si="91"/>
        <v>0</v>
      </c>
      <c r="AV50" s="289">
        <v>0</v>
      </c>
      <c r="AW50" s="401">
        <f t="shared" si="93"/>
        <v>0</v>
      </c>
      <c r="AX50" s="133">
        <f t="shared" si="94"/>
        <v>0</v>
      </c>
      <c r="AY50" s="133">
        <f t="shared" si="95"/>
        <v>0</v>
      </c>
      <c r="AZ50" s="133">
        <f t="shared" si="96"/>
        <v>0</v>
      </c>
      <c r="BA50" s="133">
        <f t="shared" si="97"/>
        <v>0</v>
      </c>
      <c r="BB50" s="133">
        <f t="shared" si="98"/>
        <v>0</v>
      </c>
      <c r="BC50" s="289">
        <v>1</v>
      </c>
      <c r="BD50" s="74"/>
      <c r="BF50" s="98"/>
      <c r="BG50" s="18"/>
      <c r="BH50" s="198"/>
      <c r="BI50" s="99">
        <f t="shared" si="100"/>
        <v>0</v>
      </c>
      <c r="BJ50" s="99"/>
      <c r="BK50" s="99"/>
      <c r="BL50" s="99"/>
      <c r="BM50" s="100"/>
      <c r="BO50" s="113"/>
      <c r="BQ50" s="115"/>
      <c r="CD50" s="9"/>
      <c r="CF50" s="9"/>
      <c r="CG50" s="9"/>
      <c r="CK50" s="9"/>
      <c r="CQ50" s="72"/>
      <c r="CR50" s="72"/>
      <c r="CS50" s="72"/>
      <c r="CT50" s="72"/>
      <c r="CU50" s="72"/>
      <c r="CV50" s="9"/>
      <c r="CW50" s="101">
        <f t="shared" si="101"/>
        <v>0</v>
      </c>
      <c r="CX50" s="9"/>
      <c r="CY50" s="9"/>
    </row>
    <row r="51" spans="2:103" s="1" customFormat="1" ht="22.5" customHeight="1">
      <c r="B51" s="73"/>
      <c r="C51" s="102">
        <v>28</v>
      </c>
      <c r="D51" s="102" t="s">
        <v>171</v>
      </c>
      <c r="E51" s="103" t="s">
        <v>490</v>
      </c>
      <c r="F51" s="499" t="s">
        <v>491</v>
      </c>
      <c r="G51" s="499"/>
      <c r="H51" s="499"/>
      <c r="I51" s="499"/>
      <c r="J51" s="104" t="s">
        <v>184</v>
      </c>
      <c r="K51" s="133">
        <v>0</v>
      </c>
      <c r="L51" s="133">
        <v>0</v>
      </c>
      <c r="M51" s="133">
        <v>1</v>
      </c>
      <c r="N51" s="133">
        <v>0</v>
      </c>
      <c r="O51" s="133">
        <v>0</v>
      </c>
      <c r="P51" s="404">
        <f t="shared" si="70"/>
        <v>1</v>
      </c>
      <c r="Q51" s="401">
        <v>0</v>
      </c>
      <c r="R51" s="133">
        <v>0</v>
      </c>
      <c r="S51" s="133">
        <v>0</v>
      </c>
      <c r="T51" s="133">
        <v>0</v>
      </c>
      <c r="U51" s="133">
        <v>0</v>
      </c>
      <c r="V51" s="177">
        <f t="shared" si="71"/>
        <v>0</v>
      </c>
      <c r="W51" s="289">
        <f t="shared" si="72"/>
        <v>0</v>
      </c>
      <c r="X51" s="401">
        <f t="shared" si="73"/>
        <v>0</v>
      </c>
      <c r="Y51" s="133">
        <f t="shared" si="74"/>
        <v>0</v>
      </c>
      <c r="Z51" s="133">
        <f t="shared" si="75"/>
        <v>1</v>
      </c>
      <c r="AA51" s="133">
        <f t="shared" si="76"/>
        <v>0</v>
      </c>
      <c r="AB51" s="133">
        <f t="shared" si="77"/>
        <v>0</v>
      </c>
      <c r="AC51" s="177">
        <f t="shared" si="78"/>
        <v>1</v>
      </c>
      <c r="AD51" s="289">
        <f t="shared" si="79"/>
        <v>1</v>
      </c>
      <c r="AE51" s="140">
        <v>0</v>
      </c>
      <c r="AF51" s="140">
        <v>0</v>
      </c>
      <c r="AG51" s="140">
        <v>616.38</v>
      </c>
      <c r="AH51" s="140">
        <v>616.38</v>
      </c>
      <c r="AI51" s="140">
        <v>616.38</v>
      </c>
      <c r="AJ51" s="133">
        <f t="shared" si="80"/>
        <v>0</v>
      </c>
      <c r="AK51" s="133">
        <f t="shared" si="81"/>
        <v>0</v>
      </c>
      <c r="AL51" s="133">
        <f t="shared" si="82"/>
        <v>616.38</v>
      </c>
      <c r="AM51" s="133">
        <f t="shared" si="83"/>
        <v>0</v>
      </c>
      <c r="AN51" s="133">
        <f t="shared" si="84"/>
        <v>0</v>
      </c>
      <c r="AO51" s="414">
        <f t="shared" si="85"/>
        <v>616.38</v>
      </c>
      <c r="AP51" s="401">
        <f t="shared" si="86"/>
        <v>0</v>
      </c>
      <c r="AQ51" s="133">
        <f t="shared" si="87"/>
        <v>0</v>
      </c>
      <c r="AR51" s="133">
        <f t="shared" si="88"/>
        <v>0</v>
      </c>
      <c r="AS51" s="133">
        <f t="shared" si="89"/>
        <v>0</v>
      </c>
      <c r="AT51" s="133">
        <f t="shared" si="90"/>
        <v>0</v>
      </c>
      <c r="AU51" s="133">
        <f t="shared" si="91"/>
        <v>0</v>
      </c>
      <c r="AV51" s="289">
        <f t="shared" si="92"/>
        <v>0</v>
      </c>
      <c r="AW51" s="401">
        <f t="shared" si="93"/>
        <v>0</v>
      </c>
      <c r="AX51" s="133">
        <f t="shared" si="94"/>
        <v>0</v>
      </c>
      <c r="AY51" s="133">
        <f t="shared" si="95"/>
        <v>616.38</v>
      </c>
      <c r="AZ51" s="133">
        <f t="shared" si="96"/>
        <v>0</v>
      </c>
      <c r="BA51" s="133">
        <f t="shared" si="97"/>
        <v>0</v>
      </c>
      <c r="BB51" s="133">
        <f t="shared" si="98"/>
        <v>616.38</v>
      </c>
      <c r="BC51" s="289">
        <f t="shared" si="99"/>
        <v>1</v>
      </c>
      <c r="BD51" s="74"/>
      <c r="BF51" s="98"/>
      <c r="BG51" s="18"/>
      <c r="BH51" s="198"/>
      <c r="BI51" s="99">
        <f t="shared" si="100"/>
        <v>0</v>
      </c>
      <c r="BJ51" s="99"/>
      <c r="BK51" s="99"/>
      <c r="BL51" s="99"/>
      <c r="BM51" s="100"/>
      <c r="BO51" s="113"/>
      <c r="BQ51" s="115"/>
      <c r="CD51" s="9"/>
      <c r="CF51" s="9"/>
      <c r="CG51" s="9"/>
      <c r="CK51" s="9"/>
      <c r="CQ51" s="72"/>
      <c r="CR51" s="72"/>
      <c r="CS51" s="72"/>
      <c r="CT51" s="72"/>
      <c r="CU51" s="72"/>
      <c r="CV51" s="9"/>
      <c r="CW51" s="101">
        <f t="shared" si="101"/>
        <v>0</v>
      </c>
      <c r="CX51" s="9"/>
      <c r="CY51" s="9"/>
    </row>
    <row r="52" spans="2:103" s="1" customFormat="1" ht="31.5" customHeight="1">
      <c r="B52" s="73"/>
      <c r="C52" s="93">
        <v>29</v>
      </c>
      <c r="D52" s="93" t="s">
        <v>149</v>
      </c>
      <c r="E52" s="94" t="s">
        <v>380</v>
      </c>
      <c r="F52" s="498" t="s">
        <v>381</v>
      </c>
      <c r="G52" s="498"/>
      <c r="H52" s="498"/>
      <c r="I52" s="498"/>
      <c r="J52" s="95" t="s">
        <v>184</v>
      </c>
      <c r="K52" s="128">
        <v>29</v>
      </c>
      <c r="L52" s="128">
        <v>29</v>
      </c>
      <c r="M52" s="128">
        <v>46</v>
      </c>
      <c r="N52" s="128">
        <v>41</v>
      </c>
      <c r="O52" s="128">
        <v>30</v>
      </c>
      <c r="P52" s="403">
        <f t="shared" si="70"/>
        <v>175</v>
      </c>
      <c r="Q52" s="400">
        <v>0</v>
      </c>
      <c r="R52" s="128">
        <v>0</v>
      </c>
      <c r="S52" s="128">
        <v>0</v>
      </c>
      <c r="T52" s="128">
        <v>0</v>
      </c>
      <c r="U52" s="128">
        <v>0</v>
      </c>
      <c r="V52" s="165">
        <f t="shared" si="71"/>
        <v>0</v>
      </c>
      <c r="W52" s="289">
        <f t="shared" si="72"/>
        <v>0</v>
      </c>
      <c r="X52" s="400">
        <f t="shared" si="73"/>
        <v>29</v>
      </c>
      <c r="Y52" s="128">
        <f t="shared" si="74"/>
        <v>29</v>
      </c>
      <c r="Z52" s="128">
        <f t="shared" si="75"/>
        <v>46</v>
      </c>
      <c r="AA52" s="128">
        <f t="shared" si="76"/>
        <v>41</v>
      </c>
      <c r="AB52" s="128">
        <f t="shared" si="77"/>
        <v>30</v>
      </c>
      <c r="AC52" s="165">
        <f t="shared" si="78"/>
        <v>175</v>
      </c>
      <c r="AD52" s="289">
        <f t="shared" si="79"/>
        <v>1</v>
      </c>
      <c r="AE52" s="201">
        <v>7.69</v>
      </c>
      <c r="AF52" s="201">
        <v>7.69</v>
      </c>
      <c r="AG52" s="201">
        <v>7.69</v>
      </c>
      <c r="AH52" s="201">
        <v>7.69</v>
      </c>
      <c r="AI52" s="201">
        <v>7.69</v>
      </c>
      <c r="AJ52" s="128">
        <f t="shared" si="80"/>
        <v>223.01</v>
      </c>
      <c r="AK52" s="128">
        <f t="shared" si="81"/>
        <v>223.01</v>
      </c>
      <c r="AL52" s="128">
        <f t="shared" si="82"/>
        <v>353.74</v>
      </c>
      <c r="AM52" s="128">
        <f t="shared" si="83"/>
        <v>315.29000000000002</v>
      </c>
      <c r="AN52" s="128">
        <f t="shared" si="84"/>
        <v>230.7</v>
      </c>
      <c r="AO52" s="411">
        <f t="shared" si="85"/>
        <v>1345.75</v>
      </c>
      <c r="AP52" s="400">
        <f t="shared" si="86"/>
        <v>0</v>
      </c>
      <c r="AQ52" s="128">
        <f t="shared" si="87"/>
        <v>0</v>
      </c>
      <c r="AR52" s="128">
        <f t="shared" si="88"/>
        <v>0</v>
      </c>
      <c r="AS52" s="128">
        <f t="shared" si="89"/>
        <v>0</v>
      </c>
      <c r="AT52" s="128">
        <f t="shared" si="90"/>
        <v>0</v>
      </c>
      <c r="AU52" s="128">
        <f t="shared" si="91"/>
        <v>0</v>
      </c>
      <c r="AV52" s="289">
        <f t="shared" si="92"/>
        <v>0</v>
      </c>
      <c r="AW52" s="400">
        <f t="shared" si="93"/>
        <v>223.01</v>
      </c>
      <c r="AX52" s="128">
        <f t="shared" si="94"/>
        <v>223.01</v>
      </c>
      <c r="AY52" s="128">
        <f t="shared" si="95"/>
        <v>353.74</v>
      </c>
      <c r="AZ52" s="128">
        <f t="shared" si="96"/>
        <v>315.29000000000002</v>
      </c>
      <c r="BA52" s="128">
        <f t="shared" si="97"/>
        <v>230.7</v>
      </c>
      <c r="BB52" s="128">
        <f t="shared" si="98"/>
        <v>1345.75</v>
      </c>
      <c r="BC52" s="289">
        <f t="shared" si="99"/>
        <v>1</v>
      </c>
      <c r="BD52" s="74"/>
      <c r="BF52" s="98" t="s">
        <v>0</v>
      </c>
      <c r="BG52" s="18" t="s">
        <v>11</v>
      </c>
      <c r="BH52" s="198"/>
      <c r="BI52" s="99">
        <f t="shared" si="100"/>
        <v>0</v>
      </c>
      <c r="BJ52" s="99">
        <v>0</v>
      </c>
      <c r="BK52" s="99">
        <f>BJ52*K52</f>
        <v>0</v>
      </c>
      <c r="BL52" s="99">
        <v>0</v>
      </c>
      <c r="BM52" s="100">
        <f>BL52*K52</f>
        <v>0</v>
      </c>
      <c r="BQ52" s="115">
        <v>7.39</v>
      </c>
      <c r="CD52" s="9" t="s">
        <v>169</v>
      </c>
      <c r="CF52" s="9" t="s">
        <v>149</v>
      </c>
      <c r="CG52" s="9" t="s">
        <v>42</v>
      </c>
      <c r="CK52" s="9" t="s">
        <v>148</v>
      </c>
      <c r="CQ52" s="72">
        <f>IF(BG52="základná",AJ52,0)</f>
        <v>0</v>
      </c>
      <c r="CR52" s="72">
        <f>IF(BG52="znížená",AJ52,0)</f>
        <v>223.01</v>
      </c>
      <c r="CS52" s="72">
        <f>IF(BG52="zákl. prenesená",AJ52,0)</f>
        <v>0</v>
      </c>
      <c r="CT52" s="72">
        <f>IF(BG52="zníž. prenesená",AJ52,0)</f>
        <v>0</v>
      </c>
      <c r="CU52" s="72">
        <f>IF(BG52="nulová",AJ52,0)</f>
        <v>0</v>
      </c>
      <c r="CV52" s="9" t="s">
        <v>42</v>
      </c>
      <c r="CW52" s="101">
        <f t="shared" si="101"/>
        <v>223.01</v>
      </c>
      <c r="CX52" s="9" t="s">
        <v>169</v>
      </c>
      <c r="CY52" s="9" t="s">
        <v>382</v>
      </c>
    </row>
    <row r="53" spans="2:103" s="1" customFormat="1" ht="31.5" customHeight="1">
      <c r="B53" s="73"/>
      <c r="C53" s="102">
        <v>30</v>
      </c>
      <c r="D53" s="102" t="s">
        <v>171</v>
      </c>
      <c r="E53" s="103" t="s">
        <v>383</v>
      </c>
      <c r="F53" s="499" t="s">
        <v>384</v>
      </c>
      <c r="G53" s="499"/>
      <c r="H53" s="499"/>
      <c r="I53" s="499"/>
      <c r="J53" s="104" t="s">
        <v>198</v>
      </c>
      <c r="K53" s="133">
        <v>35.200000000000003</v>
      </c>
      <c r="L53" s="133">
        <v>35.200000000000003</v>
      </c>
      <c r="M53" s="133">
        <v>49.2</v>
      </c>
      <c r="N53" s="133">
        <v>45</v>
      </c>
      <c r="O53" s="133">
        <v>42.75</v>
      </c>
      <c r="P53" s="404">
        <f t="shared" si="70"/>
        <v>207.35000000000002</v>
      </c>
      <c r="Q53" s="401">
        <v>0</v>
      </c>
      <c r="R53" s="133">
        <v>0</v>
      </c>
      <c r="S53" s="133">
        <v>0</v>
      </c>
      <c r="T53" s="133">
        <v>0</v>
      </c>
      <c r="U53" s="133">
        <v>0</v>
      </c>
      <c r="V53" s="177">
        <f t="shared" si="71"/>
        <v>0</v>
      </c>
      <c r="W53" s="289">
        <f t="shared" si="72"/>
        <v>0</v>
      </c>
      <c r="X53" s="401">
        <f t="shared" si="73"/>
        <v>35.200000000000003</v>
      </c>
      <c r="Y53" s="133">
        <f t="shared" si="74"/>
        <v>35.200000000000003</v>
      </c>
      <c r="Z53" s="133">
        <f t="shared" si="75"/>
        <v>49.2</v>
      </c>
      <c r="AA53" s="133">
        <f t="shared" si="76"/>
        <v>45</v>
      </c>
      <c r="AB53" s="133">
        <f t="shared" si="77"/>
        <v>42.75</v>
      </c>
      <c r="AC53" s="177">
        <f t="shared" si="78"/>
        <v>207.35000000000002</v>
      </c>
      <c r="AD53" s="289">
        <f t="shared" si="79"/>
        <v>1</v>
      </c>
      <c r="AE53" s="140">
        <v>15.24</v>
      </c>
      <c r="AF53" s="140">
        <v>15.24</v>
      </c>
      <c r="AG53" s="140">
        <v>15.24</v>
      </c>
      <c r="AH53" s="140">
        <v>0</v>
      </c>
      <c r="AI53" s="140">
        <v>15.24</v>
      </c>
      <c r="AJ53" s="133">
        <f t="shared" si="80"/>
        <v>536.44799999999998</v>
      </c>
      <c r="AK53" s="133">
        <f t="shared" si="81"/>
        <v>536.44799999999998</v>
      </c>
      <c r="AL53" s="133">
        <f t="shared" si="82"/>
        <v>749.80799999999999</v>
      </c>
      <c r="AM53" s="133">
        <f t="shared" si="83"/>
        <v>0</v>
      </c>
      <c r="AN53" s="133">
        <f t="shared" si="84"/>
        <v>651.51</v>
      </c>
      <c r="AO53" s="414">
        <f t="shared" si="85"/>
        <v>2474.2139999999999</v>
      </c>
      <c r="AP53" s="401">
        <f t="shared" si="86"/>
        <v>0</v>
      </c>
      <c r="AQ53" s="133">
        <f t="shared" si="87"/>
        <v>0</v>
      </c>
      <c r="AR53" s="133">
        <f t="shared" si="88"/>
        <v>0</v>
      </c>
      <c r="AS53" s="133">
        <f t="shared" si="89"/>
        <v>0</v>
      </c>
      <c r="AT53" s="133">
        <f t="shared" si="90"/>
        <v>0</v>
      </c>
      <c r="AU53" s="133">
        <f t="shared" si="91"/>
        <v>0</v>
      </c>
      <c r="AV53" s="289">
        <f t="shared" si="92"/>
        <v>0</v>
      </c>
      <c r="AW53" s="401">
        <f t="shared" si="93"/>
        <v>536.44799999999998</v>
      </c>
      <c r="AX53" s="133">
        <f t="shared" si="94"/>
        <v>536.44799999999998</v>
      </c>
      <c r="AY53" s="133">
        <f t="shared" si="95"/>
        <v>749.80799999999999</v>
      </c>
      <c r="AZ53" s="133">
        <f t="shared" si="96"/>
        <v>0</v>
      </c>
      <c r="BA53" s="133">
        <f t="shared" si="97"/>
        <v>651.51</v>
      </c>
      <c r="BB53" s="133">
        <f t="shared" si="98"/>
        <v>2474.2139999999999</v>
      </c>
      <c r="BC53" s="289">
        <f t="shared" si="99"/>
        <v>1</v>
      </c>
      <c r="BD53" s="74"/>
      <c r="BE53" s="1" t="s">
        <v>981</v>
      </c>
      <c r="BF53" s="98" t="s">
        <v>0</v>
      </c>
      <c r="BG53" s="18" t="s">
        <v>11</v>
      </c>
      <c r="BH53" s="198"/>
      <c r="BI53" s="99">
        <f t="shared" si="100"/>
        <v>0</v>
      </c>
      <c r="BJ53" s="99">
        <v>0</v>
      </c>
      <c r="BK53" s="99">
        <f>BJ53*K53</f>
        <v>0</v>
      </c>
      <c r="BL53" s="99">
        <v>0</v>
      </c>
      <c r="BM53" s="100">
        <f>BL53*K53</f>
        <v>0</v>
      </c>
      <c r="BO53" s="113" t="s">
        <v>982</v>
      </c>
      <c r="BQ53" s="115">
        <v>14.65</v>
      </c>
      <c r="CD53" s="9" t="s">
        <v>174</v>
      </c>
      <c r="CF53" s="9" t="s">
        <v>171</v>
      </c>
      <c r="CG53" s="9" t="s">
        <v>42</v>
      </c>
      <c r="CK53" s="9" t="s">
        <v>148</v>
      </c>
      <c r="CQ53" s="72">
        <f>IF(BG53="základná",AJ53,0)</f>
        <v>0</v>
      </c>
      <c r="CR53" s="72">
        <f>IF(BG53="znížená",AJ53,0)</f>
        <v>536.44799999999998</v>
      </c>
      <c r="CS53" s="72">
        <f>IF(BG53="zákl. prenesená",AJ53,0)</f>
        <v>0</v>
      </c>
      <c r="CT53" s="72">
        <f>IF(BG53="zníž. prenesená",AJ53,0)</f>
        <v>0</v>
      </c>
      <c r="CU53" s="72">
        <f>IF(BG53="nulová",AJ53,0)</f>
        <v>0</v>
      </c>
      <c r="CV53" s="9" t="s">
        <v>42</v>
      </c>
      <c r="CW53" s="101">
        <f t="shared" si="101"/>
        <v>536.44799999999998</v>
      </c>
      <c r="CX53" s="9" t="s">
        <v>169</v>
      </c>
      <c r="CY53" s="9" t="s">
        <v>385</v>
      </c>
    </row>
    <row r="54" spans="2:103" s="1" customFormat="1" ht="31.5" customHeight="1">
      <c r="B54" s="73"/>
      <c r="C54" s="102">
        <v>31</v>
      </c>
      <c r="D54" s="102" t="s">
        <v>171</v>
      </c>
      <c r="E54" s="103" t="s">
        <v>386</v>
      </c>
      <c r="F54" s="499" t="s">
        <v>387</v>
      </c>
      <c r="G54" s="499"/>
      <c r="H54" s="499"/>
      <c r="I54" s="499"/>
      <c r="J54" s="104" t="s">
        <v>184</v>
      </c>
      <c r="K54" s="133">
        <v>29</v>
      </c>
      <c r="L54" s="133">
        <v>29</v>
      </c>
      <c r="M54" s="133">
        <v>42</v>
      </c>
      <c r="N54" s="133">
        <v>41</v>
      </c>
      <c r="O54" s="133">
        <v>10</v>
      </c>
      <c r="P54" s="404">
        <f t="shared" si="70"/>
        <v>151</v>
      </c>
      <c r="Q54" s="401">
        <v>0</v>
      </c>
      <c r="R54" s="133">
        <v>0</v>
      </c>
      <c r="S54" s="133">
        <v>0</v>
      </c>
      <c r="T54" s="133">
        <v>0</v>
      </c>
      <c r="U54" s="133">
        <v>0</v>
      </c>
      <c r="V54" s="177">
        <f t="shared" si="71"/>
        <v>0</v>
      </c>
      <c r="W54" s="289">
        <f t="shared" si="72"/>
        <v>0</v>
      </c>
      <c r="X54" s="401">
        <f t="shared" si="73"/>
        <v>29</v>
      </c>
      <c r="Y54" s="133">
        <f t="shared" si="74"/>
        <v>29</v>
      </c>
      <c r="Z54" s="133">
        <f t="shared" si="75"/>
        <v>42</v>
      </c>
      <c r="AA54" s="133">
        <f t="shared" si="76"/>
        <v>41</v>
      </c>
      <c r="AB54" s="133">
        <f t="shared" si="77"/>
        <v>10</v>
      </c>
      <c r="AC54" s="177">
        <f t="shared" si="78"/>
        <v>151</v>
      </c>
      <c r="AD54" s="289">
        <f t="shared" si="79"/>
        <v>1</v>
      </c>
      <c r="AE54" s="140">
        <v>0.61</v>
      </c>
      <c r="AF54" s="140">
        <v>0.61</v>
      </c>
      <c r="AG54" s="140">
        <v>0.61</v>
      </c>
      <c r="AH54" s="140">
        <v>0.61</v>
      </c>
      <c r="AI54" s="140">
        <v>0.61</v>
      </c>
      <c r="AJ54" s="133">
        <f t="shared" si="80"/>
        <v>17.690000000000001</v>
      </c>
      <c r="AK54" s="133">
        <f t="shared" si="81"/>
        <v>17.690000000000001</v>
      </c>
      <c r="AL54" s="133">
        <f t="shared" si="82"/>
        <v>25.62</v>
      </c>
      <c r="AM54" s="133">
        <f t="shared" si="83"/>
        <v>25.01</v>
      </c>
      <c r="AN54" s="133">
        <f t="shared" si="84"/>
        <v>6.1</v>
      </c>
      <c r="AO54" s="414">
        <f t="shared" si="85"/>
        <v>92.11</v>
      </c>
      <c r="AP54" s="401">
        <f t="shared" si="86"/>
        <v>0</v>
      </c>
      <c r="AQ54" s="133">
        <f t="shared" si="87"/>
        <v>0</v>
      </c>
      <c r="AR54" s="133">
        <f t="shared" si="88"/>
        <v>0</v>
      </c>
      <c r="AS54" s="133">
        <f t="shared" si="89"/>
        <v>0</v>
      </c>
      <c r="AT54" s="133">
        <f t="shared" si="90"/>
        <v>0</v>
      </c>
      <c r="AU54" s="133">
        <f t="shared" si="91"/>
        <v>0</v>
      </c>
      <c r="AV54" s="289">
        <f t="shared" si="92"/>
        <v>0</v>
      </c>
      <c r="AW54" s="401">
        <f t="shared" si="93"/>
        <v>17.690000000000001</v>
      </c>
      <c r="AX54" s="133">
        <f t="shared" si="94"/>
        <v>17.690000000000001</v>
      </c>
      <c r="AY54" s="133">
        <f t="shared" si="95"/>
        <v>25.62</v>
      </c>
      <c r="AZ54" s="133">
        <f t="shared" si="96"/>
        <v>25.01</v>
      </c>
      <c r="BA54" s="133">
        <f t="shared" si="97"/>
        <v>6.1</v>
      </c>
      <c r="BB54" s="133">
        <f t="shared" si="98"/>
        <v>92.11</v>
      </c>
      <c r="BC54" s="289">
        <f t="shared" si="99"/>
        <v>1</v>
      </c>
      <c r="BD54" s="74"/>
      <c r="BE54" s="1" t="s">
        <v>981</v>
      </c>
      <c r="BF54" s="98" t="s">
        <v>0</v>
      </c>
      <c r="BG54" s="18" t="s">
        <v>11</v>
      </c>
      <c r="BH54" s="198"/>
      <c r="BI54" s="99">
        <f t="shared" si="100"/>
        <v>0</v>
      </c>
      <c r="BJ54" s="99">
        <v>0</v>
      </c>
      <c r="BK54" s="99">
        <f>BJ54*K54</f>
        <v>0</v>
      </c>
      <c r="BL54" s="99">
        <v>0</v>
      </c>
      <c r="BM54" s="100">
        <f>BL54*K54</f>
        <v>0</v>
      </c>
      <c r="BO54" s="1" t="s">
        <v>983</v>
      </c>
      <c r="BQ54" s="115">
        <v>0.59</v>
      </c>
      <c r="CD54" s="9" t="s">
        <v>174</v>
      </c>
      <c r="CF54" s="9" t="s">
        <v>171</v>
      </c>
      <c r="CG54" s="9" t="s">
        <v>42</v>
      </c>
      <c r="CK54" s="9" t="s">
        <v>148</v>
      </c>
      <c r="CQ54" s="72">
        <f>IF(BG54="základná",AJ54,0)</f>
        <v>0</v>
      </c>
      <c r="CR54" s="72">
        <f>IF(BG54="znížená",AJ54,0)</f>
        <v>17.690000000000001</v>
      </c>
      <c r="CS54" s="72">
        <f>IF(BG54="zákl. prenesená",AJ54,0)</f>
        <v>0</v>
      </c>
      <c r="CT54" s="72">
        <f>IF(BG54="zníž. prenesená",AJ54,0)</f>
        <v>0</v>
      </c>
      <c r="CU54" s="72">
        <f>IF(BG54="nulová",AJ54,0)</f>
        <v>0</v>
      </c>
      <c r="CV54" s="9" t="s">
        <v>42</v>
      </c>
      <c r="CW54" s="101">
        <f t="shared" si="101"/>
        <v>17.690000000000001</v>
      </c>
      <c r="CX54" s="9" t="s">
        <v>169</v>
      </c>
      <c r="CY54" s="9" t="s">
        <v>388</v>
      </c>
    </row>
    <row r="55" spans="2:103" s="1" customFormat="1" ht="31.5" customHeight="1">
      <c r="B55" s="73"/>
      <c r="C55" s="93">
        <v>32</v>
      </c>
      <c r="D55" s="93" t="s">
        <v>149</v>
      </c>
      <c r="E55" s="94" t="s">
        <v>389</v>
      </c>
      <c r="F55" s="498" t="s">
        <v>390</v>
      </c>
      <c r="G55" s="498"/>
      <c r="H55" s="498"/>
      <c r="I55" s="498"/>
      <c r="J55" s="95" t="s">
        <v>152</v>
      </c>
      <c r="K55" s="128">
        <v>1.2609999999999999</v>
      </c>
      <c r="L55" s="128">
        <v>1.2609999999999999</v>
      </c>
      <c r="M55" s="128">
        <v>1.2609999999999999</v>
      </c>
      <c r="N55" s="128">
        <v>1.2609999999999999</v>
      </c>
      <c r="O55" s="128">
        <v>0.95899999999999996</v>
      </c>
      <c r="P55" s="403">
        <f t="shared" si="70"/>
        <v>6.0029999999999992</v>
      </c>
      <c r="Q55" s="400">
        <v>0</v>
      </c>
      <c r="R55" s="128">
        <v>0</v>
      </c>
      <c r="S55" s="128">
        <v>0</v>
      </c>
      <c r="T55" s="128">
        <v>0</v>
      </c>
      <c r="U55" s="128">
        <v>0</v>
      </c>
      <c r="V55" s="165">
        <f t="shared" si="71"/>
        <v>0</v>
      </c>
      <c r="W55" s="289">
        <f t="shared" si="72"/>
        <v>0</v>
      </c>
      <c r="X55" s="400">
        <f t="shared" si="73"/>
        <v>1.2609999999999999</v>
      </c>
      <c r="Y55" s="128">
        <f t="shared" si="74"/>
        <v>1.2609999999999999</v>
      </c>
      <c r="Z55" s="128">
        <f t="shared" si="75"/>
        <v>1.2609999999999999</v>
      </c>
      <c r="AA55" s="128">
        <f t="shared" si="76"/>
        <v>1.2609999999999999</v>
      </c>
      <c r="AB55" s="128">
        <f t="shared" si="77"/>
        <v>0.95899999999999996</v>
      </c>
      <c r="AC55" s="165">
        <f t="shared" si="78"/>
        <v>6.0029999999999992</v>
      </c>
      <c r="AD55" s="289">
        <f t="shared" si="79"/>
        <v>1</v>
      </c>
      <c r="AE55" s="201">
        <v>49.92</v>
      </c>
      <c r="AF55" s="201">
        <v>49.92</v>
      </c>
      <c r="AG55" s="201">
        <v>49.92</v>
      </c>
      <c r="AH55" s="201">
        <v>49.92</v>
      </c>
      <c r="AI55" s="201">
        <v>49.92</v>
      </c>
      <c r="AJ55" s="128">
        <f t="shared" si="80"/>
        <v>62.948999999999998</v>
      </c>
      <c r="AK55" s="128">
        <f t="shared" si="81"/>
        <v>62.948999999999998</v>
      </c>
      <c r="AL55" s="128">
        <f t="shared" si="82"/>
        <v>62.948999999999998</v>
      </c>
      <c r="AM55" s="128">
        <f t="shared" si="83"/>
        <v>62.948999999999998</v>
      </c>
      <c r="AN55" s="128">
        <f t="shared" si="84"/>
        <v>47.872999999999998</v>
      </c>
      <c r="AO55" s="411">
        <f t="shared" si="85"/>
        <v>299.66899999999998</v>
      </c>
      <c r="AP55" s="400">
        <f t="shared" si="86"/>
        <v>0</v>
      </c>
      <c r="AQ55" s="128">
        <f t="shared" si="87"/>
        <v>0</v>
      </c>
      <c r="AR55" s="128">
        <f t="shared" si="88"/>
        <v>0</v>
      </c>
      <c r="AS55" s="128">
        <f t="shared" si="89"/>
        <v>0</v>
      </c>
      <c r="AT55" s="128">
        <f t="shared" si="90"/>
        <v>0</v>
      </c>
      <c r="AU55" s="128">
        <f t="shared" si="91"/>
        <v>0</v>
      </c>
      <c r="AV55" s="289">
        <f t="shared" si="92"/>
        <v>0</v>
      </c>
      <c r="AW55" s="400">
        <f t="shared" si="93"/>
        <v>62.948999999999998</v>
      </c>
      <c r="AX55" s="128">
        <f t="shared" si="94"/>
        <v>62.948999999999998</v>
      </c>
      <c r="AY55" s="128">
        <f t="shared" si="95"/>
        <v>62.948999999999998</v>
      </c>
      <c r="AZ55" s="128">
        <f t="shared" si="96"/>
        <v>62.948999999999998</v>
      </c>
      <c r="BA55" s="128">
        <f t="shared" si="97"/>
        <v>47.872999999999998</v>
      </c>
      <c r="BB55" s="128">
        <f t="shared" si="98"/>
        <v>299.66899999999998</v>
      </c>
      <c r="BC55" s="289">
        <f t="shared" si="99"/>
        <v>1</v>
      </c>
      <c r="BD55" s="74"/>
      <c r="BF55" s="98" t="s">
        <v>0</v>
      </c>
      <c r="BG55" s="18" t="s">
        <v>11</v>
      </c>
      <c r="BH55" s="198"/>
      <c r="BI55" s="99">
        <f t="shared" si="100"/>
        <v>0</v>
      </c>
      <c r="BJ55" s="99">
        <v>0</v>
      </c>
      <c r="BK55" s="99">
        <f>BJ55*K55</f>
        <v>0</v>
      </c>
      <c r="BL55" s="99">
        <v>0</v>
      </c>
      <c r="BM55" s="100">
        <f>BL55*K55</f>
        <v>0</v>
      </c>
      <c r="BQ55" s="115">
        <v>48</v>
      </c>
      <c r="CD55" s="9" t="s">
        <v>169</v>
      </c>
      <c r="CF55" s="9" t="s">
        <v>149</v>
      </c>
      <c r="CG55" s="9" t="s">
        <v>42</v>
      </c>
      <c r="CK55" s="9" t="s">
        <v>148</v>
      </c>
      <c r="CQ55" s="72">
        <f>IF(BG55="základná",AJ55,0)</f>
        <v>0</v>
      </c>
      <c r="CR55" s="72">
        <f>IF(BG55="znížená",AJ55,0)</f>
        <v>62.948999999999998</v>
      </c>
      <c r="CS55" s="72">
        <f>IF(BG55="zákl. prenesená",AJ55,0)</f>
        <v>0</v>
      </c>
      <c r="CT55" s="72">
        <f>IF(BG55="zníž. prenesená",AJ55,0)</f>
        <v>0</v>
      </c>
      <c r="CU55" s="72">
        <f>IF(BG55="nulová",AJ55,0)</f>
        <v>0</v>
      </c>
      <c r="CV55" s="9" t="s">
        <v>42</v>
      </c>
      <c r="CW55" s="101">
        <f t="shared" si="101"/>
        <v>62.948999999999998</v>
      </c>
      <c r="CX55" s="9" t="s">
        <v>169</v>
      </c>
      <c r="CY55" s="9" t="s">
        <v>391</v>
      </c>
    </row>
    <row r="56" spans="2:103" s="1" customFormat="1" ht="36" customHeight="1">
      <c r="B56" s="15"/>
      <c r="C56" s="436"/>
      <c r="D56" s="441" t="s">
        <v>243</v>
      </c>
      <c r="E56" s="436"/>
      <c r="F56" s="436"/>
      <c r="G56" s="436"/>
      <c r="H56" s="436"/>
      <c r="I56" s="436"/>
      <c r="J56" s="436"/>
      <c r="K56" s="436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6"/>
      <c r="AA56" s="436"/>
      <c r="AB56" s="436"/>
      <c r="AC56" s="436"/>
      <c r="AD56" s="436"/>
      <c r="AE56" s="436"/>
      <c r="AF56" s="436"/>
      <c r="AG56" s="436"/>
      <c r="AH56" s="436"/>
      <c r="AI56" s="436"/>
      <c r="AJ56" s="438">
        <f t="shared" ref="AJ56:AO56" si="102">AJ64+AJ59</f>
        <v>-497.27999999999952</v>
      </c>
      <c r="AK56" s="438">
        <f t="shared" si="102"/>
        <v>2512.5030000000002</v>
      </c>
      <c r="AL56" s="438">
        <f t="shared" si="102"/>
        <v>-37.914999999999907</v>
      </c>
      <c r="AM56" s="438">
        <f t="shared" si="102"/>
        <v>3214.721</v>
      </c>
      <c r="AN56" s="438">
        <f t="shared" si="102"/>
        <v>1475.2269999999999</v>
      </c>
      <c r="AO56" s="439">
        <f t="shared" si="102"/>
        <v>6667.2560000000012</v>
      </c>
      <c r="AP56" s="438">
        <f t="shared" ref="AP56:AU56" si="103">AP64+AP59</f>
        <v>0</v>
      </c>
      <c r="AQ56" s="438">
        <f t="shared" si="103"/>
        <v>0</v>
      </c>
      <c r="AR56" s="438">
        <f t="shared" si="103"/>
        <v>0</v>
      </c>
      <c r="AS56" s="438">
        <f t="shared" si="103"/>
        <v>0</v>
      </c>
      <c r="AT56" s="438">
        <f t="shared" si="103"/>
        <v>0</v>
      </c>
      <c r="AU56" s="438">
        <f t="shared" si="103"/>
        <v>0</v>
      </c>
      <c r="AV56" s="440">
        <f>AU56/AO56</f>
        <v>0</v>
      </c>
      <c r="AW56" s="438">
        <f t="shared" ref="AW56:BB56" si="104">AW64+AW59</f>
        <v>-497.27999999999952</v>
      </c>
      <c r="AX56" s="438">
        <f t="shared" si="104"/>
        <v>2512.5030000000002</v>
      </c>
      <c r="AY56" s="438">
        <f t="shared" si="104"/>
        <v>-37.914999999999907</v>
      </c>
      <c r="AZ56" s="438">
        <f t="shared" si="104"/>
        <v>3214.721</v>
      </c>
      <c r="BA56" s="438">
        <f t="shared" si="104"/>
        <v>1475.2269999999999</v>
      </c>
      <c r="BB56" s="438">
        <f t="shared" si="104"/>
        <v>6667.2560000000012</v>
      </c>
      <c r="BC56" s="440">
        <f>BB56/AO56</f>
        <v>1</v>
      </c>
      <c r="BD56" s="17"/>
      <c r="BF56" s="106"/>
      <c r="BG56" s="21"/>
      <c r="BH56" s="21"/>
      <c r="BI56" s="21"/>
      <c r="BJ56" s="21"/>
      <c r="BK56" s="21"/>
      <c r="BL56" s="21"/>
      <c r="BM56" s="22"/>
      <c r="CF56" s="9" t="s">
        <v>30</v>
      </c>
      <c r="CG56" s="9" t="s">
        <v>31</v>
      </c>
      <c r="CK56" s="9" t="s">
        <v>244</v>
      </c>
      <c r="CW56" s="101">
        <v>0</v>
      </c>
    </row>
    <row r="57" spans="2:103" s="1" customFormat="1" ht="36" hidden="1" customHeight="1" outlineLevel="1">
      <c r="B57" s="15"/>
      <c r="C57" s="436"/>
      <c r="D57" s="441" t="s">
        <v>1435</v>
      </c>
      <c r="E57" s="436"/>
      <c r="F57" s="436"/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76">
        <f>SUMIF(AJ60:AJ63,"&lt;0")+SUMIF(AJ65:AJ79,"&lt;0")</f>
        <v>-4939.4169999999995</v>
      </c>
      <c r="AK57" s="476">
        <f>SUMIF(AK60:AK63,"&lt;0")+SUMIF(AK65:AK79,"&lt;0")</f>
        <v>-2995.2010000000005</v>
      </c>
      <c r="AL57" s="476">
        <f>SUMIF(AL60:AL63,"&lt;0")+SUMIF(AL65:AL79,"&lt;0")</f>
        <v>-4555.7769999999991</v>
      </c>
      <c r="AM57" s="476">
        <f>SUMIF(AM60:AM63,"&lt;0")+SUMIF(AM65:AM79,"&lt;0")</f>
        <v>-600.04599999999994</v>
      </c>
      <c r="AN57" s="476">
        <f>SUMIF(AN60:AN63,"&lt;0")+SUMIF(AN65:AN79,"&lt;0")</f>
        <v>0</v>
      </c>
      <c r="AO57" s="478"/>
      <c r="AP57" s="477"/>
      <c r="AQ57" s="477"/>
      <c r="AR57" s="477"/>
      <c r="AS57" s="477"/>
      <c r="AT57" s="477"/>
      <c r="AU57" s="477"/>
      <c r="AV57" s="440"/>
      <c r="AW57" s="477"/>
      <c r="AX57" s="477"/>
      <c r="AY57" s="477"/>
      <c r="AZ57" s="477"/>
      <c r="BA57" s="477"/>
      <c r="BB57" s="477"/>
      <c r="BC57" s="440"/>
      <c r="BD57" s="17"/>
      <c r="BF57" s="479"/>
      <c r="BG57" s="464"/>
      <c r="BH57" s="464"/>
      <c r="BI57" s="464"/>
      <c r="BJ57" s="464"/>
      <c r="BK57" s="464"/>
      <c r="BL57" s="464"/>
      <c r="BM57" s="37"/>
      <c r="CF57" s="9"/>
      <c r="CG57" s="9"/>
      <c r="CK57" s="9"/>
      <c r="CW57" s="101"/>
    </row>
    <row r="58" spans="2:103" s="1" customFormat="1" ht="36" hidden="1" customHeight="1" outlineLevel="1">
      <c r="B58" s="15"/>
      <c r="C58" s="436"/>
      <c r="D58" s="441" t="s">
        <v>1436</v>
      </c>
      <c r="E58" s="436"/>
      <c r="F58" s="436"/>
      <c r="G58" s="436"/>
      <c r="H58" s="436"/>
      <c r="I58" s="436"/>
      <c r="J58" s="436"/>
      <c r="K58" s="436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6"/>
      <c r="AA58" s="436"/>
      <c r="AB58" s="436"/>
      <c r="AC58" s="436"/>
      <c r="AD58" s="436"/>
      <c r="AE58" s="436"/>
      <c r="AF58" s="436"/>
      <c r="AG58" s="436"/>
      <c r="AH58" s="436"/>
      <c r="AI58" s="436"/>
      <c r="AJ58" s="476">
        <f>SUMIF(AJ60:AJ63,"&gt;0")+SUMIF(AJ65:AJ79,"&gt;0")</f>
        <v>4442.1370000000006</v>
      </c>
      <c r="AK58" s="476">
        <f>SUMIF(AK60:AK63,"&gt;0")+SUMIF(AK65:AK79,"&gt;0")</f>
        <v>5507.7040000000006</v>
      </c>
      <c r="AL58" s="476">
        <f>SUMIF(AL60:AL63,"&gt;0")+SUMIF(AL65:AL79,"&gt;0")</f>
        <v>4517.8620000000001</v>
      </c>
      <c r="AM58" s="476">
        <f>SUMIF(AM60:AM63,"&gt;0")+SUMIF(AM65:AM79,"&gt;0")</f>
        <v>3814.7670000000003</v>
      </c>
      <c r="AN58" s="476">
        <f>SUMIF(AN60:AN63,"&gt;0")+SUMIF(AN65:AN79,"&gt;0")</f>
        <v>1475.2269999999999</v>
      </c>
      <c r="AO58" s="478"/>
      <c r="AP58" s="477"/>
      <c r="AQ58" s="477"/>
      <c r="AR58" s="477"/>
      <c r="AS58" s="477"/>
      <c r="AT58" s="477"/>
      <c r="AU58" s="477"/>
      <c r="AV58" s="440"/>
      <c r="AW58" s="477"/>
      <c r="AX58" s="477"/>
      <c r="AY58" s="477"/>
      <c r="AZ58" s="477"/>
      <c r="BA58" s="477"/>
      <c r="BB58" s="477"/>
      <c r="BC58" s="440"/>
      <c r="BD58" s="17"/>
      <c r="BF58" s="479"/>
      <c r="BG58" s="464"/>
      <c r="BH58" s="464"/>
      <c r="BI58" s="464"/>
      <c r="BJ58" s="464"/>
      <c r="BK58" s="464"/>
      <c r="BL58" s="464"/>
      <c r="BM58" s="37"/>
      <c r="CF58" s="9"/>
      <c r="CG58" s="9"/>
      <c r="CK58" s="9"/>
      <c r="CW58" s="101"/>
    </row>
    <row r="59" spans="2:103" s="7" customFormat="1" ht="19.899999999999999" customHeight="1" collapsed="1">
      <c r="B59" s="82"/>
      <c r="C59" s="83"/>
      <c r="D59" s="92" t="s">
        <v>128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131">
        <f t="shared" ref="AJ59:AO59" si="105">SUM(AJ60:AJ63)</f>
        <v>-57.24</v>
      </c>
      <c r="AK59" s="131">
        <f t="shared" si="105"/>
        <v>-20.663999999999998</v>
      </c>
      <c r="AL59" s="131">
        <f t="shared" si="105"/>
        <v>-167.36399999999998</v>
      </c>
      <c r="AM59" s="131">
        <f t="shared" si="105"/>
        <v>0</v>
      </c>
      <c r="AN59" s="131">
        <f t="shared" si="105"/>
        <v>546.08400000000006</v>
      </c>
      <c r="AO59" s="432">
        <f t="shared" si="105"/>
        <v>300.81599999999997</v>
      </c>
      <c r="AP59" s="131">
        <f t="shared" ref="AP59:AU59" si="106">SUM(AP60:AP63)</f>
        <v>0</v>
      </c>
      <c r="AQ59" s="131">
        <f t="shared" si="106"/>
        <v>0</v>
      </c>
      <c r="AR59" s="131">
        <f t="shared" si="106"/>
        <v>0</v>
      </c>
      <c r="AS59" s="131">
        <f t="shared" si="106"/>
        <v>0</v>
      </c>
      <c r="AT59" s="131">
        <f t="shared" si="106"/>
        <v>0</v>
      </c>
      <c r="AU59" s="131">
        <f t="shared" si="106"/>
        <v>0</v>
      </c>
      <c r="AV59" s="163"/>
      <c r="AW59" s="131">
        <f t="shared" ref="AW59:BB59" si="107">SUM(AW60:AW63)</f>
        <v>-57.24</v>
      </c>
      <c r="AX59" s="131">
        <f t="shared" si="107"/>
        <v>-20.663999999999998</v>
      </c>
      <c r="AY59" s="131">
        <f t="shared" si="107"/>
        <v>-167.36399999999998</v>
      </c>
      <c r="AZ59" s="131">
        <f t="shared" si="107"/>
        <v>0</v>
      </c>
      <c r="BA59" s="131">
        <f t="shared" si="107"/>
        <v>546.08400000000006</v>
      </c>
      <c r="BB59" s="131">
        <f t="shared" si="107"/>
        <v>300.81599999999997</v>
      </c>
      <c r="BC59" s="163"/>
      <c r="BD59" s="85"/>
      <c r="BF59" s="86"/>
      <c r="BG59" s="83"/>
      <c r="BH59" s="83"/>
      <c r="BI59" s="87">
        <f>SUM(BI60:BI63)</f>
        <v>0</v>
      </c>
      <c r="BJ59" s="83"/>
      <c r="BK59" s="87">
        <f>SUM(BK60:BK63)</f>
        <v>0</v>
      </c>
      <c r="BL59" s="83"/>
      <c r="BM59" s="88">
        <f>SUM(BM60:BM63)</f>
        <v>0</v>
      </c>
      <c r="CD59" s="89" t="s">
        <v>38</v>
      </c>
      <c r="CF59" s="90" t="s">
        <v>30</v>
      </c>
      <c r="CG59" s="90" t="s">
        <v>38</v>
      </c>
      <c r="CK59" s="89" t="s">
        <v>148</v>
      </c>
      <c r="CW59" s="91">
        <f>SUM(CW60:CW63)</f>
        <v>-57.24</v>
      </c>
    </row>
    <row r="60" spans="2:103" s="1" customFormat="1" ht="31.5" customHeight="1">
      <c r="B60" s="73"/>
      <c r="C60" s="93" t="s">
        <v>38</v>
      </c>
      <c r="D60" s="93" t="s">
        <v>149</v>
      </c>
      <c r="E60" s="94" t="s">
        <v>337</v>
      </c>
      <c r="F60" s="500" t="s">
        <v>338</v>
      </c>
      <c r="G60" s="501"/>
      <c r="H60" s="501"/>
      <c r="I60" s="502"/>
      <c r="J60" s="95" t="s">
        <v>184</v>
      </c>
      <c r="K60" s="211">
        <f>-11</f>
        <v>-11</v>
      </c>
      <c r="L60" s="211">
        <v>-4</v>
      </c>
      <c r="M60" s="211">
        <v>-7</v>
      </c>
      <c r="N60" s="211">
        <v>0</v>
      </c>
      <c r="O60" s="211">
        <v>0</v>
      </c>
      <c r="P60" s="306">
        <f>SUM(K60:O60)</f>
        <v>-22</v>
      </c>
      <c r="Q60" s="277">
        <v>0</v>
      </c>
      <c r="R60" s="211">
        <v>0</v>
      </c>
      <c r="S60" s="211">
        <v>0</v>
      </c>
      <c r="T60" s="211">
        <v>0</v>
      </c>
      <c r="U60" s="211">
        <v>0</v>
      </c>
      <c r="V60" s="220">
        <f>SUM(Q60:U60)</f>
        <v>0</v>
      </c>
      <c r="W60" s="289">
        <f>V60/P60</f>
        <v>0</v>
      </c>
      <c r="X60" s="400">
        <f t="shared" ref="X60:X63" si="108">K60-Q60</f>
        <v>-11</v>
      </c>
      <c r="Y60" s="400">
        <f t="shared" ref="Y60:Y63" si="109">L60-R60</f>
        <v>-4</v>
      </c>
      <c r="Z60" s="400">
        <f t="shared" ref="Z60:Z63" si="110">M60-S60</f>
        <v>-7</v>
      </c>
      <c r="AA60" s="400">
        <f t="shared" ref="AA60:AA63" si="111">N60-T60</f>
        <v>0</v>
      </c>
      <c r="AB60" s="400">
        <f t="shared" ref="AB60:AB63" si="112">O60-U60</f>
        <v>0</v>
      </c>
      <c r="AC60" s="220">
        <f>SUM(X60:AB60)</f>
        <v>-22</v>
      </c>
      <c r="AD60" s="289">
        <f t="shared" ref="AD60:AD63" si="113">AC60/P60</f>
        <v>1</v>
      </c>
      <c r="AE60" s="221">
        <v>0.88</v>
      </c>
      <c r="AF60" s="221">
        <v>0.88</v>
      </c>
      <c r="AG60" s="221">
        <v>0.88</v>
      </c>
      <c r="AH60" s="221">
        <v>0.88</v>
      </c>
      <c r="AI60" s="221">
        <v>0.88</v>
      </c>
      <c r="AJ60" s="211">
        <f t="shared" ref="AJ60:AN63" si="114">ROUND(AE60*K60,3)</f>
        <v>-9.68</v>
      </c>
      <c r="AK60" s="211">
        <f t="shared" si="114"/>
        <v>-3.52</v>
      </c>
      <c r="AL60" s="211">
        <f t="shared" si="114"/>
        <v>-6.16</v>
      </c>
      <c r="AM60" s="211">
        <f t="shared" si="114"/>
        <v>0</v>
      </c>
      <c r="AN60" s="211">
        <f t="shared" si="114"/>
        <v>0</v>
      </c>
      <c r="AO60" s="295">
        <f>SUM(AJ60:AN60)</f>
        <v>-19.36</v>
      </c>
      <c r="AP60" s="211">
        <f t="shared" ref="AP60:AP63" si="115">ROUND(AE60*Q60,3)</f>
        <v>0</v>
      </c>
      <c r="AQ60" s="211">
        <f t="shared" ref="AQ60:AQ63" si="116">ROUND(AF60*R60,3)</f>
        <v>0</v>
      </c>
      <c r="AR60" s="211">
        <f t="shared" ref="AR60:AR63" si="117">ROUND(AG60*S60,3)</f>
        <v>0</v>
      </c>
      <c r="AS60" s="211">
        <f t="shared" ref="AS60:AS63" si="118">ROUND(AH60*T60,3)</f>
        <v>0</v>
      </c>
      <c r="AT60" s="211">
        <f t="shared" ref="AT60:AT63" si="119">ROUND(AI60*U60,3)</f>
        <v>0</v>
      </c>
      <c r="AU60" s="211">
        <f>SUM(AP60:AT60)</f>
        <v>0</v>
      </c>
      <c r="AV60" s="289">
        <f t="shared" ref="AV60:AV63" si="120">AU60/AO60</f>
        <v>0</v>
      </c>
      <c r="AW60" s="211">
        <f t="shared" ref="AW60:AW63" si="121">AJ60-AP60</f>
        <v>-9.68</v>
      </c>
      <c r="AX60" s="211">
        <f t="shared" ref="AX60:AX63" si="122">AK60-AQ60</f>
        <v>-3.52</v>
      </c>
      <c r="AY60" s="211">
        <f t="shared" ref="AY60:AY63" si="123">AL60-AR60</f>
        <v>-6.16</v>
      </c>
      <c r="AZ60" s="211">
        <f t="shared" ref="AZ60:AZ63" si="124">AM60-AS60</f>
        <v>0</v>
      </c>
      <c r="BA60" s="211">
        <f t="shared" ref="BA60:BA63" si="125">AN60-AT60</f>
        <v>0</v>
      </c>
      <c r="BB60" s="211">
        <f>SUM(AW60:BA60)</f>
        <v>-19.36</v>
      </c>
      <c r="BC60" s="289">
        <f t="shared" ref="BC60:BC63" si="126">BB60/AO60</f>
        <v>1</v>
      </c>
      <c r="BD60" s="74"/>
      <c r="BF60" s="98" t="s">
        <v>0</v>
      </c>
      <c r="BG60" s="18" t="s">
        <v>11</v>
      </c>
      <c r="BH60" s="198"/>
      <c r="BI60" s="99">
        <f>BH60*K60</f>
        <v>0</v>
      </c>
      <c r="BJ60" s="99">
        <v>0</v>
      </c>
      <c r="BK60" s="99">
        <f>BJ60*K60</f>
        <v>0</v>
      </c>
      <c r="BL60" s="99">
        <v>0</v>
      </c>
      <c r="BM60" s="100">
        <f>BL60*K60</f>
        <v>0</v>
      </c>
      <c r="BQ60" s="115">
        <v>0.85</v>
      </c>
      <c r="CD60" s="9" t="s">
        <v>153</v>
      </c>
      <c r="CF60" s="9" t="s">
        <v>149</v>
      </c>
      <c r="CG60" s="9" t="s">
        <v>42</v>
      </c>
      <c r="CK60" s="9" t="s">
        <v>148</v>
      </c>
      <c r="CQ60" s="72">
        <f>IF(BG60="základná",AJ60,0)</f>
        <v>0</v>
      </c>
      <c r="CR60" s="72">
        <f>IF(BG60="znížená",AJ60,0)</f>
        <v>-9.68</v>
      </c>
      <c r="CS60" s="72">
        <f>IF(BG60="zákl. prenesená",AJ60,0)</f>
        <v>0</v>
      </c>
      <c r="CT60" s="72">
        <f>IF(BG60="zníž. prenesená",AJ60,0)</f>
        <v>0</v>
      </c>
      <c r="CU60" s="72">
        <f>IF(BG60="nulová",AJ60,0)</f>
        <v>0</v>
      </c>
      <c r="CV60" s="9" t="s">
        <v>42</v>
      </c>
      <c r="CW60" s="101">
        <f>ROUND(AE60*K60,3)</f>
        <v>-9.68</v>
      </c>
      <c r="CX60" s="9" t="s">
        <v>153</v>
      </c>
      <c r="CY60" s="9" t="s">
        <v>339</v>
      </c>
    </row>
    <row r="61" spans="2:103" s="1" customFormat="1" ht="31.5" customHeight="1">
      <c r="B61" s="73"/>
      <c r="C61" s="93" t="s">
        <v>42</v>
      </c>
      <c r="D61" s="93" t="s">
        <v>149</v>
      </c>
      <c r="E61" s="94" t="s">
        <v>340</v>
      </c>
      <c r="F61" s="500" t="s">
        <v>341</v>
      </c>
      <c r="G61" s="501"/>
      <c r="H61" s="501"/>
      <c r="I61" s="502"/>
      <c r="J61" s="95" t="s">
        <v>168</v>
      </c>
      <c r="K61" s="211">
        <f>K60*0.48</f>
        <v>-5.2799999999999994</v>
      </c>
      <c r="L61" s="211">
        <f>L60*0.48</f>
        <v>-1.92</v>
      </c>
      <c r="M61" s="211">
        <f>M60*2.62</f>
        <v>-18.34</v>
      </c>
      <c r="N61" s="211">
        <v>0</v>
      </c>
      <c r="O61" s="211">
        <v>0</v>
      </c>
      <c r="P61" s="306">
        <f>SUM(K61:O61)</f>
        <v>-25.54</v>
      </c>
      <c r="Q61" s="277">
        <v>0</v>
      </c>
      <c r="R61" s="211">
        <v>0</v>
      </c>
      <c r="S61" s="211">
        <v>0</v>
      </c>
      <c r="T61" s="211">
        <v>0</v>
      </c>
      <c r="U61" s="211">
        <v>0</v>
      </c>
      <c r="V61" s="220">
        <f>SUM(Q61:U61)</f>
        <v>0</v>
      </c>
      <c r="W61" s="289">
        <f>V61/P61</f>
        <v>0</v>
      </c>
      <c r="X61" s="400">
        <f t="shared" si="108"/>
        <v>-5.2799999999999994</v>
      </c>
      <c r="Y61" s="400">
        <f t="shared" si="109"/>
        <v>-1.92</v>
      </c>
      <c r="Z61" s="400">
        <f t="shared" si="110"/>
        <v>-18.34</v>
      </c>
      <c r="AA61" s="400">
        <f t="shared" si="111"/>
        <v>0</v>
      </c>
      <c r="AB61" s="400">
        <f t="shared" si="112"/>
        <v>0</v>
      </c>
      <c r="AC61" s="220">
        <f>SUM(X61:AB61)</f>
        <v>-25.54</v>
      </c>
      <c r="AD61" s="289">
        <f t="shared" si="113"/>
        <v>1</v>
      </c>
      <c r="AE61" s="221">
        <v>8.07</v>
      </c>
      <c r="AF61" s="221">
        <v>8.07</v>
      </c>
      <c r="AG61" s="221">
        <v>8.07</v>
      </c>
      <c r="AH61" s="221">
        <v>8.07</v>
      </c>
      <c r="AI61" s="221">
        <v>8.07</v>
      </c>
      <c r="AJ61" s="211">
        <f t="shared" si="114"/>
        <v>-42.61</v>
      </c>
      <c r="AK61" s="211">
        <f t="shared" si="114"/>
        <v>-15.494</v>
      </c>
      <c r="AL61" s="211">
        <f t="shared" si="114"/>
        <v>-148.00399999999999</v>
      </c>
      <c r="AM61" s="211">
        <f t="shared" si="114"/>
        <v>0</v>
      </c>
      <c r="AN61" s="211">
        <f t="shared" si="114"/>
        <v>0</v>
      </c>
      <c r="AO61" s="295">
        <f>SUM(AJ61:AN61)</f>
        <v>-206.108</v>
      </c>
      <c r="AP61" s="211">
        <f t="shared" si="115"/>
        <v>0</v>
      </c>
      <c r="AQ61" s="211">
        <f t="shared" si="116"/>
        <v>0</v>
      </c>
      <c r="AR61" s="211">
        <f t="shared" si="117"/>
        <v>0</v>
      </c>
      <c r="AS61" s="211">
        <f t="shared" si="118"/>
        <v>0</v>
      </c>
      <c r="AT61" s="211">
        <f t="shared" si="119"/>
        <v>0</v>
      </c>
      <c r="AU61" s="211">
        <f>SUM(AP61:AT61)</f>
        <v>0</v>
      </c>
      <c r="AV61" s="289">
        <f t="shared" si="120"/>
        <v>0</v>
      </c>
      <c r="AW61" s="211">
        <f t="shared" si="121"/>
        <v>-42.61</v>
      </c>
      <c r="AX61" s="211">
        <f t="shared" si="122"/>
        <v>-15.494</v>
      </c>
      <c r="AY61" s="211">
        <f t="shared" si="123"/>
        <v>-148.00399999999999</v>
      </c>
      <c r="AZ61" s="211">
        <f t="shared" si="124"/>
        <v>0</v>
      </c>
      <c r="BA61" s="211">
        <f t="shared" si="125"/>
        <v>0</v>
      </c>
      <c r="BB61" s="211">
        <f>SUM(AW61:BA61)</f>
        <v>-206.108</v>
      </c>
      <c r="BC61" s="289">
        <f t="shared" si="126"/>
        <v>1</v>
      </c>
      <c r="BD61" s="74"/>
      <c r="BF61" s="98" t="s">
        <v>0</v>
      </c>
      <c r="BG61" s="18" t="s">
        <v>11</v>
      </c>
      <c r="BH61" s="198"/>
      <c r="BI61" s="99">
        <f>BH61*K61</f>
        <v>0</v>
      </c>
      <c r="BJ61" s="99">
        <v>0</v>
      </c>
      <c r="BK61" s="99">
        <f>BJ61*K61</f>
        <v>0</v>
      </c>
      <c r="BL61" s="99">
        <v>0</v>
      </c>
      <c r="BM61" s="100">
        <f>BL61*K61</f>
        <v>0</v>
      </c>
      <c r="BQ61" s="115">
        <v>7.76</v>
      </c>
      <c r="CD61" s="9" t="s">
        <v>153</v>
      </c>
      <c r="CF61" s="9" t="s">
        <v>149</v>
      </c>
      <c r="CG61" s="9" t="s">
        <v>42</v>
      </c>
      <c r="CK61" s="9" t="s">
        <v>148</v>
      </c>
      <c r="CQ61" s="72">
        <f>IF(BG61="základná",AJ61,0)</f>
        <v>0</v>
      </c>
      <c r="CR61" s="72">
        <f>IF(BG61="znížená",AJ61,0)</f>
        <v>-42.61</v>
      </c>
      <c r="CS61" s="72">
        <f>IF(BG61="zákl. prenesená",AJ61,0)</f>
        <v>0</v>
      </c>
      <c r="CT61" s="72">
        <f>IF(BG61="zníž. prenesená",AJ61,0)</f>
        <v>0</v>
      </c>
      <c r="CU61" s="72">
        <f>IF(BG61="nulová",AJ61,0)</f>
        <v>0</v>
      </c>
      <c r="CV61" s="9" t="s">
        <v>42</v>
      </c>
      <c r="CW61" s="101">
        <f>ROUND(AE61*K61,3)</f>
        <v>-42.61</v>
      </c>
      <c r="CX61" s="9" t="s">
        <v>153</v>
      </c>
      <c r="CY61" s="9" t="s">
        <v>342</v>
      </c>
    </row>
    <row r="62" spans="2:103" s="1" customFormat="1" ht="31.5" customHeight="1">
      <c r="B62" s="73"/>
      <c r="C62" s="93" t="s">
        <v>105</v>
      </c>
      <c r="D62" s="93" t="s">
        <v>149</v>
      </c>
      <c r="E62" s="94" t="s">
        <v>343</v>
      </c>
      <c r="F62" s="500" t="s">
        <v>344</v>
      </c>
      <c r="G62" s="501"/>
      <c r="H62" s="501"/>
      <c r="I62" s="502"/>
      <c r="J62" s="95" t="s">
        <v>184</v>
      </c>
      <c r="K62" s="211">
        <v>-3</v>
      </c>
      <c r="L62" s="211">
        <v>-1</v>
      </c>
      <c r="M62" s="211">
        <f>M70+M73</f>
        <v>-8</v>
      </c>
      <c r="N62" s="211">
        <v>0</v>
      </c>
      <c r="O62" s="211">
        <v>30</v>
      </c>
      <c r="P62" s="306">
        <f>SUM(K62:O62)</f>
        <v>18</v>
      </c>
      <c r="Q62" s="277">
        <v>0</v>
      </c>
      <c r="R62" s="211">
        <v>0</v>
      </c>
      <c r="S62" s="211">
        <v>0</v>
      </c>
      <c r="T62" s="211">
        <v>0</v>
      </c>
      <c r="U62" s="211">
        <v>0</v>
      </c>
      <c r="V62" s="220">
        <f>SUM(Q62:U62)</f>
        <v>0</v>
      </c>
      <c r="W62" s="289">
        <f>V62/P62</f>
        <v>0</v>
      </c>
      <c r="X62" s="400">
        <f t="shared" si="108"/>
        <v>-3</v>
      </c>
      <c r="Y62" s="400">
        <f t="shared" si="109"/>
        <v>-1</v>
      </c>
      <c r="Z62" s="400">
        <f t="shared" si="110"/>
        <v>-8</v>
      </c>
      <c r="AA62" s="400">
        <f t="shared" si="111"/>
        <v>0</v>
      </c>
      <c r="AB62" s="400">
        <f t="shared" si="112"/>
        <v>30</v>
      </c>
      <c r="AC62" s="220">
        <f>SUM(X62:AB62)</f>
        <v>18</v>
      </c>
      <c r="AD62" s="289">
        <f t="shared" si="113"/>
        <v>1</v>
      </c>
      <c r="AE62" s="221">
        <v>1.65</v>
      </c>
      <c r="AF62" s="221">
        <v>1.65</v>
      </c>
      <c r="AG62" s="221">
        <v>1.65</v>
      </c>
      <c r="AH62" s="221">
        <v>1.65</v>
      </c>
      <c r="AI62" s="221">
        <v>1.65</v>
      </c>
      <c r="AJ62" s="211">
        <f t="shared" si="114"/>
        <v>-4.95</v>
      </c>
      <c r="AK62" s="211">
        <f t="shared" si="114"/>
        <v>-1.65</v>
      </c>
      <c r="AL62" s="211">
        <f t="shared" si="114"/>
        <v>-13.2</v>
      </c>
      <c r="AM62" s="211">
        <f t="shared" si="114"/>
        <v>0</v>
      </c>
      <c r="AN62" s="211">
        <f t="shared" si="114"/>
        <v>49.5</v>
      </c>
      <c r="AO62" s="295">
        <f>SUM(AJ62:AN62)</f>
        <v>29.700000000000003</v>
      </c>
      <c r="AP62" s="211">
        <f t="shared" si="115"/>
        <v>0</v>
      </c>
      <c r="AQ62" s="211">
        <f t="shared" si="116"/>
        <v>0</v>
      </c>
      <c r="AR62" s="211">
        <f t="shared" si="117"/>
        <v>0</v>
      </c>
      <c r="AS62" s="211">
        <f t="shared" si="118"/>
        <v>0</v>
      </c>
      <c r="AT62" s="211">
        <f t="shared" si="119"/>
        <v>0</v>
      </c>
      <c r="AU62" s="211">
        <f>SUM(AP62:AT62)</f>
        <v>0</v>
      </c>
      <c r="AV62" s="289">
        <f t="shared" si="120"/>
        <v>0</v>
      </c>
      <c r="AW62" s="211">
        <f t="shared" si="121"/>
        <v>-4.95</v>
      </c>
      <c r="AX62" s="211">
        <f t="shared" si="122"/>
        <v>-1.65</v>
      </c>
      <c r="AY62" s="211">
        <f t="shared" si="123"/>
        <v>-13.2</v>
      </c>
      <c r="AZ62" s="211">
        <f t="shared" si="124"/>
        <v>0</v>
      </c>
      <c r="BA62" s="211">
        <f t="shared" si="125"/>
        <v>49.5</v>
      </c>
      <c r="BB62" s="211">
        <f>SUM(AW62:BA62)</f>
        <v>29.700000000000003</v>
      </c>
      <c r="BC62" s="289">
        <f t="shared" si="126"/>
        <v>1</v>
      </c>
      <c r="BD62" s="74"/>
      <c r="BF62" s="98" t="s">
        <v>0</v>
      </c>
      <c r="BG62" s="18" t="s">
        <v>11</v>
      </c>
      <c r="BH62" s="198"/>
      <c r="BI62" s="99">
        <f>BH62*K62</f>
        <v>0</v>
      </c>
      <c r="BJ62" s="99">
        <v>0</v>
      </c>
      <c r="BK62" s="99">
        <f>BJ62*K62</f>
        <v>0</v>
      </c>
      <c r="BL62" s="99">
        <v>0</v>
      </c>
      <c r="BM62" s="100">
        <f>BL62*K62</f>
        <v>0</v>
      </c>
      <c r="BQ62" s="115">
        <v>1.59</v>
      </c>
      <c r="CD62" s="9" t="s">
        <v>153</v>
      </c>
      <c r="CF62" s="9" t="s">
        <v>149</v>
      </c>
      <c r="CG62" s="9" t="s">
        <v>42</v>
      </c>
      <c r="CK62" s="9" t="s">
        <v>148</v>
      </c>
      <c r="CQ62" s="72">
        <f>IF(BG62="základná",AJ62,0)</f>
        <v>0</v>
      </c>
      <c r="CR62" s="72">
        <f>IF(BG62="znížená",AJ62,0)</f>
        <v>-4.95</v>
      </c>
      <c r="CS62" s="72">
        <f>IF(BG62="zákl. prenesená",AJ62,0)</f>
        <v>0</v>
      </c>
      <c r="CT62" s="72">
        <f>IF(BG62="zníž. prenesená",AJ62,0)</f>
        <v>0</v>
      </c>
      <c r="CU62" s="72">
        <f>IF(BG62="nulová",AJ62,0)</f>
        <v>0</v>
      </c>
      <c r="CV62" s="9" t="s">
        <v>42</v>
      </c>
      <c r="CW62" s="101">
        <f>ROUND(AE62*K62,3)</f>
        <v>-4.95</v>
      </c>
      <c r="CX62" s="9" t="s">
        <v>153</v>
      </c>
      <c r="CY62" s="9" t="s">
        <v>345</v>
      </c>
    </row>
    <row r="63" spans="2:103" s="1" customFormat="1" ht="31.5" customHeight="1">
      <c r="B63" s="73"/>
      <c r="C63" s="93" t="s">
        <v>153</v>
      </c>
      <c r="D63" s="93" t="s">
        <v>149</v>
      </c>
      <c r="E63" s="94" t="s">
        <v>346</v>
      </c>
      <c r="F63" s="500" t="s">
        <v>347</v>
      </c>
      <c r="G63" s="501"/>
      <c r="H63" s="501"/>
      <c r="I63" s="502"/>
      <c r="J63" s="95" t="s">
        <v>168</v>
      </c>
      <c r="K63" s="211">
        <v>0</v>
      </c>
      <c r="L63" s="211">
        <v>0</v>
      </c>
      <c r="M63" s="211">
        <v>0</v>
      </c>
      <c r="N63" s="211">
        <v>0</v>
      </c>
      <c r="O63" s="211">
        <f>(30*1.425*2.4)</f>
        <v>102.6</v>
      </c>
      <c r="P63" s="306">
        <f>SUM(K63:O63)</f>
        <v>102.6</v>
      </c>
      <c r="Q63" s="277">
        <v>0</v>
      </c>
      <c r="R63" s="211">
        <v>0</v>
      </c>
      <c r="S63" s="211">
        <v>0</v>
      </c>
      <c r="T63" s="211">
        <v>0</v>
      </c>
      <c r="U63" s="211">
        <v>0</v>
      </c>
      <c r="V63" s="220">
        <f>SUM(Q63:U63)</f>
        <v>0</v>
      </c>
      <c r="W63" s="289">
        <f>V63/P63</f>
        <v>0</v>
      </c>
      <c r="X63" s="400">
        <f t="shared" si="108"/>
        <v>0</v>
      </c>
      <c r="Y63" s="400">
        <f t="shared" si="109"/>
        <v>0</v>
      </c>
      <c r="Z63" s="400">
        <f t="shared" si="110"/>
        <v>0</v>
      </c>
      <c r="AA63" s="400">
        <f t="shared" si="111"/>
        <v>0</v>
      </c>
      <c r="AB63" s="400">
        <f t="shared" si="112"/>
        <v>102.6</v>
      </c>
      <c r="AC63" s="220">
        <f>SUM(X63:AB63)</f>
        <v>102.6</v>
      </c>
      <c r="AD63" s="289">
        <f t="shared" si="113"/>
        <v>1</v>
      </c>
      <c r="AE63" s="221">
        <v>4.84</v>
      </c>
      <c r="AF63" s="221">
        <v>4.84</v>
      </c>
      <c r="AG63" s="221">
        <v>4.84</v>
      </c>
      <c r="AH63" s="221">
        <v>4.84</v>
      </c>
      <c r="AI63" s="221">
        <v>4.84</v>
      </c>
      <c r="AJ63" s="211">
        <f t="shared" si="114"/>
        <v>0</v>
      </c>
      <c r="AK63" s="211">
        <f t="shared" si="114"/>
        <v>0</v>
      </c>
      <c r="AL63" s="211">
        <f t="shared" si="114"/>
        <v>0</v>
      </c>
      <c r="AM63" s="211">
        <f t="shared" si="114"/>
        <v>0</v>
      </c>
      <c r="AN63" s="211">
        <f t="shared" si="114"/>
        <v>496.584</v>
      </c>
      <c r="AO63" s="295">
        <f>SUM(AJ63:AN63)</f>
        <v>496.584</v>
      </c>
      <c r="AP63" s="211">
        <f t="shared" si="115"/>
        <v>0</v>
      </c>
      <c r="AQ63" s="211">
        <f t="shared" si="116"/>
        <v>0</v>
      </c>
      <c r="AR63" s="211">
        <f t="shared" si="117"/>
        <v>0</v>
      </c>
      <c r="AS63" s="211">
        <f t="shared" si="118"/>
        <v>0</v>
      </c>
      <c r="AT63" s="211">
        <f t="shared" si="119"/>
        <v>0</v>
      </c>
      <c r="AU63" s="211">
        <f>SUM(AP63:AT63)</f>
        <v>0</v>
      </c>
      <c r="AV63" s="289">
        <f t="shared" si="120"/>
        <v>0</v>
      </c>
      <c r="AW63" s="211">
        <f t="shared" si="121"/>
        <v>0</v>
      </c>
      <c r="AX63" s="211">
        <f t="shared" si="122"/>
        <v>0</v>
      </c>
      <c r="AY63" s="211">
        <f t="shared" si="123"/>
        <v>0</v>
      </c>
      <c r="AZ63" s="211">
        <f t="shared" si="124"/>
        <v>0</v>
      </c>
      <c r="BA63" s="211">
        <f t="shared" si="125"/>
        <v>496.584</v>
      </c>
      <c r="BB63" s="211">
        <f>SUM(AW63:BA63)</f>
        <v>496.584</v>
      </c>
      <c r="BC63" s="289">
        <f t="shared" si="126"/>
        <v>1</v>
      </c>
      <c r="BD63" s="74"/>
      <c r="BF63" s="98" t="s">
        <v>0</v>
      </c>
      <c r="BG63" s="18" t="s">
        <v>11</v>
      </c>
      <c r="BH63" s="198"/>
      <c r="BI63" s="99">
        <f>BH63*K63</f>
        <v>0</v>
      </c>
      <c r="BJ63" s="99">
        <v>0</v>
      </c>
      <c r="BK63" s="99">
        <f>BJ63*K63</f>
        <v>0</v>
      </c>
      <c r="BL63" s="99">
        <v>0</v>
      </c>
      <c r="BM63" s="100">
        <f>BL63*K63</f>
        <v>0</v>
      </c>
      <c r="BQ63" s="115">
        <v>4.6500000000000004</v>
      </c>
      <c r="CD63" s="9" t="s">
        <v>153</v>
      </c>
      <c r="CF63" s="9" t="s">
        <v>149</v>
      </c>
      <c r="CG63" s="9" t="s">
        <v>42</v>
      </c>
      <c r="CK63" s="9" t="s">
        <v>148</v>
      </c>
      <c r="CQ63" s="72">
        <f>IF(BG63="základná",AJ63,0)</f>
        <v>0</v>
      </c>
      <c r="CR63" s="72">
        <f>IF(BG63="znížená",AJ63,0)</f>
        <v>0</v>
      </c>
      <c r="CS63" s="72">
        <f>IF(BG63="zákl. prenesená",AJ63,0)</f>
        <v>0</v>
      </c>
      <c r="CT63" s="72">
        <f>IF(BG63="zníž. prenesená",AJ63,0)</f>
        <v>0</v>
      </c>
      <c r="CU63" s="72">
        <f>IF(BG63="nulová",AJ63,0)</f>
        <v>0</v>
      </c>
      <c r="CV63" s="9" t="s">
        <v>42</v>
      </c>
      <c r="CW63" s="101">
        <f>ROUND(AE63*K63,3)</f>
        <v>0</v>
      </c>
      <c r="CX63" s="9" t="s">
        <v>153</v>
      </c>
      <c r="CY63" s="9" t="s">
        <v>348</v>
      </c>
    </row>
    <row r="64" spans="2:103" s="7" customFormat="1" ht="21" customHeight="1">
      <c r="B64" s="82"/>
      <c r="C64" s="83"/>
      <c r="D64" s="92" t="s">
        <v>336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176"/>
      <c r="Q64" s="92"/>
      <c r="R64" s="92"/>
      <c r="S64" s="92"/>
      <c r="T64" s="92"/>
      <c r="U64" s="92"/>
      <c r="V64" s="176"/>
      <c r="W64" s="176"/>
      <c r="X64" s="92"/>
      <c r="Y64" s="92"/>
      <c r="Z64" s="92"/>
      <c r="AA64" s="92"/>
      <c r="AB64" s="92"/>
      <c r="AC64" s="176"/>
      <c r="AD64" s="176"/>
      <c r="AE64" s="92"/>
      <c r="AF64" s="92"/>
      <c r="AG64" s="92"/>
      <c r="AH64" s="92"/>
      <c r="AI64" s="92"/>
      <c r="AJ64" s="131">
        <f t="shared" ref="AJ64:AO64" si="127">SUM(AJ65:AJ79)</f>
        <v>-440.03999999999951</v>
      </c>
      <c r="AK64" s="131">
        <f t="shared" si="127"/>
        <v>2533.1670000000004</v>
      </c>
      <c r="AL64" s="131">
        <f t="shared" si="127"/>
        <v>129.44900000000007</v>
      </c>
      <c r="AM64" s="131">
        <f t="shared" si="127"/>
        <v>3214.721</v>
      </c>
      <c r="AN64" s="131">
        <f t="shared" si="127"/>
        <v>929.14299999999992</v>
      </c>
      <c r="AO64" s="432">
        <f t="shared" si="127"/>
        <v>6366.4400000000014</v>
      </c>
      <c r="AP64" s="131">
        <f t="shared" ref="AP64:AU64" si="128">SUM(AP65:AP79)</f>
        <v>0</v>
      </c>
      <c r="AQ64" s="131">
        <f t="shared" si="128"/>
        <v>0</v>
      </c>
      <c r="AR64" s="131">
        <f t="shared" si="128"/>
        <v>0</v>
      </c>
      <c r="AS64" s="131">
        <f t="shared" si="128"/>
        <v>0</v>
      </c>
      <c r="AT64" s="131">
        <f t="shared" si="128"/>
        <v>0</v>
      </c>
      <c r="AU64" s="131">
        <f t="shared" si="128"/>
        <v>0</v>
      </c>
      <c r="AV64" s="163"/>
      <c r="AW64" s="131">
        <f t="shared" ref="AW64:BB64" si="129">SUM(AW65:AW79)</f>
        <v>-440.03999999999951</v>
      </c>
      <c r="AX64" s="131">
        <f t="shared" si="129"/>
        <v>2533.1670000000004</v>
      </c>
      <c r="AY64" s="131">
        <f t="shared" si="129"/>
        <v>129.44900000000007</v>
      </c>
      <c r="AZ64" s="131">
        <f t="shared" si="129"/>
        <v>3214.721</v>
      </c>
      <c r="BA64" s="131">
        <f t="shared" si="129"/>
        <v>929.14299999999992</v>
      </c>
      <c r="BB64" s="131">
        <f t="shared" si="129"/>
        <v>6366.4400000000014</v>
      </c>
      <c r="BC64" s="163"/>
      <c r="BD64" s="85"/>
      <c r="BF64" s="86"/>
      <c r="BG64" s="83"/>
      <c r="BH64" s="83"/>
      <c r="BI64" s="87">
        <f>SUM(BI65:BI86)</f>
        <v>0</v>
      </c>
      <c r="BJ64" s="83"/>
      <c r="BK64" s="87">
        <f>SUM(BK65:BK86)</f>
        <v>0</v>
      </c>
      <c r="BL64" s="83"/>
      <c r="BM64" s="88">
        <f>SUM(BM65:BM86)</f>
        <v>0</v>
      </c>
      <c r="CD64" s="89" t="s">
        <v>42</v>
      </c>
      <c r="CF64" s="90" t="s">
        <v>30</v>
      </c>
      <c r="CG64" s="90" t="s">
        <v>38</v>
      </c>
      <c r="CK64" s="89" t="s">
        <v>148</v>
      </c>
      <c r="CW64" s="91">
        <f>SUM(CW65:CW86)</f>
        <v>-3413.7869999999998</v>
      </c>
    </row>
    <row r="65" spans="2:103" s="1" customFormat="1" ht="31.5" customHeight="1">
      <c r="B65" s="73"/>
      <c r="C65" s="93">
        <v>5</v>
      </c>
      <c r="D65" s="93" t="s">
        <v>149</v>
      </c>
      <c r="E65" s="94" t="s">
        <v>362</v>
      </c>
      <c r="F65" s="498" t="s">
        <v>363</v>
      </c>
      <c r="G65" s="498"/>
      <c r="H65" s="498"/>
      <c r="I65" s="498"/>
      <c r="J65" s="95" t="s">
        <v>198</v>
      </c>
      <c r="K65" s="211">
        <f>(82.37-K35)</f>
        <v>-197.96999999999997</v>
      </c>
      <c r="L65" s="211">
        <f>109.6-L35</f>
        <v>-170.73999999999998</v>
      </c>
      <c r="M65" s="211">
        <f>158.2-M35</f>
        <v>-122.13999999999999</v>
      </c>
      <c r="N65" s="211">
        <f>234.5-N35</f>
        <v>-45.839999999999975</v>
      </c>
      <c r="O65" s="211">
        <f>245-O35</f>
        <v>41</v>
      </c>
      <c r="P65" s="306">
        <f t="shared" ref="P65:P78" si="130">SUM(K65:O65)</f>
        <v>-495.68999999999983</v>
      </c>
      <c r="Q65" s="277">
        <v>0</v>
      </c>
      <c r="R65" s="211">
        <v>0</v>
      </c>
      <c r="S65" s="211">
        <v>0</v>
      </c>
      <c r="T65" s="211">
        <v>0</v>
      </c>
      <c r="U65" s="211">
        <v>0</v>
      </c>
      <c r="V65" s="220">
        <f t="shared" ref="V65:V76" si="131">SUM(Q65:U65)</f>
        <v>0</v>
      </c>
      <c r="W65" s="289">
        <f t="shared" ref="W65:W79" si="132">V65/P65</f>
        <v>0</v>
      </c>
      <c r="X65" s="277">
        <f t="shared" ref="X65:X79" si="133">K65-Q65</f>
        <v>-197.96999999999997</v>
      </c>
      <c r="Y65" s="211">
        <f t="shared" ref="Y65:Y79" si="134">L65-R65</f>
        <v>-170.73999999999998</v>
      </c>
      <c r="Z65" s="211">
        <f t="shared" ref="Z65:Z79" si="135">M65-S65</f>
        <v>-122.13999999999999</v>
      </c>
      <c r="AA65" s="211">
        <f t="shared" ref="AA65:AA79" si="136">N65-T65</f>
        <v>-45.839999999999975</v>
      </c>
      <c r="AB65" s="211">
        <f t="shared" ref="AB65:AB79" si="137">O65-U65</f>
        <v>41</v>
      </c>
      <c r="AC65" s="220">
        <f t="shared" ref="AC65:AC76" si="138">SUM(X65:AB65)</f>
        <v>-495.68999999999983</v>
      </c>
      <c r="AD65" s="289">
        <f t="shared" ref="AD65:AD79" si="139">AC65/P65</f>
        <v>1</v>
      </c>
      <c r="AE65" s="221">
        <v>11.29</v>
      </c>
      <c r="AF65" s="221">
        <v>11.29</v>
      </c>
      <c r="AG65" s="221">
        <v>11.29</v>
      </c>
      <c r="AH65" s="221">
        <v>11.29</v>
      </c>
      <c r="AI65" s="221">
        <v>11.29</v>
      </c>
      <c r="AJ65" s="211">
        <f t="shared" ref="AJ65:AJ79" si="140">ROUND(AE65*K65,3)</f>
        <v>-2235.0810000000001</v>
      </c>
      <c r="AK65" s="211">
        <f t="shared" ref="AK65:AK79" si="141">ROUND(AF65*L65,3)</f>
        <v>-1927.655</v>
      </c>
      <c r="AL65" s="211">
        <f t="shared" ref="AL65:AL79" si="142">ROUND(AG65*M65,3)</f>
        <v>-1378.961</v>
      </c>
      <c r="AM65" s="211">
        <f t="shared" ref="AM65:AM79" si="143">ROUND(AH65*N65,3)</f>
        <v>-517.53399999999999</v>
      </c>
      <c r="AN65" s="211">
        <f t="shared" ref="AN65:AN79" si="144">ROUND(AI65*O65,3)</f>
        <v>462.89</v>
      </c>
      <c r="AO65" s="295">
        <f>SUM(AJ65:AN65)</f>
        <v>-5596.3409999999994</v>
      </c>
      <c r="AP65" s="277">
        <f t="shared" ref="AP65:AP79" si="145">ROUND(AE65*Q65,3)</f>
        <v>0</v>
      </c>
      <c r="AQ65" s="211">
        <f t="shared" ref="AQ65:AQ79" si="146">ROUND(AF65*R65,3)</f>
        <v>0</v>
      </c>
      <c r="AR65" s="211">
        <f t="shared" ref="AR65:AR79" si="147">ROUND(AG65*S65,3)</f>
        <v>0</v>
      </c>
      <c r="AS65" s="211">
        <f t="shared" ref="AS65:AS79" si="148">ROUND(AH65*T65,3)</f>
        <v>0</v>
      </c>
      <c r="AT65" s="211">
        <f t="shared" ref="AT65:AT79" si="149">ROUND(AI65*U65,3)</f>
        <v>0</v>
      </c>
      <c r="AU65" s="211">
        <f>SUM(AP65:AT65)</f>
        <v>0</v>
      </c>
      <c r="AV65" s="289">
        <f t="shared" ref="AV65:AV79" si="150">AU65/AH65</f>
        <v>0</v>
      </c>
      <c r="AW65" s="277">
        <f t="shared" ref="AW65:AW79" si="151">AJ65-AP65</f>
        <v>-2235.0810000000001</v>
      </c>
      <c r="AX65" s="211">
        <f t="shared" ref="AX65:AX79" si="152">AK65-AQ65</f>
        <v>-1927.655</v>
      </c>
      <c r="AY65" s="211">
        <f t="shared" ref="AY65:AY79" si="153">AL65-AR65</f>
        <v>-1378.961</v>
      </c>
      <c r="AZ65" s="211">
        <f t="shared" ref="AZ65:AZ79" si="154">AM65-AS65</f>
        <v>-517.53399999999999</v>
      </c>
      <c r="BA65" s="211">
        <f t="shared" ref="BA65:BA79" si="155">AN65-AT65</f>
        <v>462.89</v>
      </c>
      <c r="BB65" s="211">
        <f>SUM(AW65:BA65)</f>
        <v>-5596.3409999999994</v>
      </c>
      <c r="BC65" s="289">
        <f t="shared" ref="BC65:BC79" si="156">BB65/AO65</f>
        <v>1</v>
      </c>
      <c r="BD65" s="74"/>
      <c r="BF65" s="98" t="s">
        <v>0</v>
      </c>
      <c r="BG65" s="18" t="s">
        <v>11</v>
      </c>
      <c r="BH65" s="198"/>
      <c r="BI65" s="99">
        <f>BH65*K65</f>
        <v>0</v>
      </c>
      <c r="BJ65" s="99">
        <v>0</v>
      </c>
      <c r="BK65" s="99">
        <f>BJ65*K65</f>
        <v>0</v>
      </c>
      <c r="BL65" s="99">
        <v>0</v>
      </c>
      <c r="BM65" s="100">
        <f>BL65*K65</f>
        <v>0</v>
      </c>
      <c r="BQ65" s="115">
        <v>10.86</v>
      </c>
      <c r="CD65" s="9" t="s">
        <v>169</v>
      </c>
      <c r="CF65" s="9" t="s">
        <v>149</v>
      </c>
      <c r="CG65" s="9" t="s">
        <v>42</v>
      </c>
      <c r="CK65" s="9" t="s">
        <v>148</v>
      </c>
      <c r="CQ65" s="72">
        <f>IF(BG65="základná",AJ65,0)</f>
        <v>0</v>
      </c>
      <c r="CR65" s="72">
        <f>IF(BG65="znížená",AJ65,0)</f>
        <v>-2235.0810000000001</v>
      </c>
      <c r="CS65" s="72">
        <f>IF(BG65="zákl. prenesená",AJ65,0)</f>
        <v>0</v>
      </c>
      <c r="CT65" s="72">
        <f>IF(BG65="zníž. prenesená",AJ65,0)</f>
        <v>0</v>
      </c>
      <c r="CU65" s="72">
        <f>IF(BG65="nulová",AJ65,0)</f>
        <v>0</v>
      </c>
      <c r="CV65" s="9" t="s">
        <v>42</v>
      </c>
      <c r="CW65" s="101">
        <f>ROUND(AE65*K65,3)</f>
        <v>-2235.0810000000001</v>
      </c>
      <c r="CX65" s="9" t="s">
        <v>169</v>
      </c>
      <c r="CY65" s="9" t="s">
        <v>364</v>
      </c>
    </row>
    <row r="66" spans="2:103" s="1" customFormat="1" ht="31.5" customHeight="1">
      <c r="B66" s="73"/>
      <c r="C66" s="102">
        <v>6</v>
      </c>
      <c r="D66" s="102" t="s">
        <v>171</v>
      </c>
      <c r="E66" s="103" t="s">
        <v>365</v>
      </c>
      <c r="F66" s="499" t="s">
        <v>366</v>
      </c>
      <c r="G66" s="499"/>
      <c r="H66" s="499"/>
      <c r="I66" s="499"/>
      <c r="J66" s="104" t="s">
        <v>198</v>
      </c>
      <c r="K66" s="223">
        <f>K65</f>
        <v>-197.96999999999997</v>
      </c>
      <c r="L66" s="223">
        <f>L65</f>
        <v>-170.73999999999998</v>
      </c>
      <c r="M66" s="223">
        <f>M65</f>
        <v>-122.13999999999999</v>
      </c>
      <c r="N66" s="223">
        <f>N65</f>
        <v>-45.839999999999975</v>
      </c>
      <c r="O66" s="223">
        <f>O65</f>
        <v>41</v>
      </c>
      <c r="P66" s="428">
        <f t="shared" si="130"/>
        <v>-495.68999999999983</v>
      </c>
      <c r="Q66" s="278">
        <v>0</v>
      </c>
      <c r="R66" s="223">
        <v>0</v>
      </c>
      <c r="S66" s="223">
        <v>0</v>
      </c>
      <c r="T66" s="223">
        <v>0</v>
      </c>
      <c r="U66" s="223">
        <v>0</v>
      </c>
      <c r="V66" s="257">
        <f t="shared" si="131"/>
        <v>0</v>
      </c>
      <c r="W66" s="289">
        <f t="shared" si="132"/>
        <v>0</v>
      </c>
      <c r="X66" s="278">
        <f t="shared" si="133"/>
        <v>-197.96999999999997</v>
      </c>
      <c r="Y66" s="223">
        <f t="shared" si="134"/>
        <v>-170.73999999999998</v>
      </c>
      <c r="Z66" s="223">
        <f t="shared" si="135"/>
        <v>-122.13999999999999</v>
      </c>
      <c r="AA66" s="223">
        <f t="shared" si="136"/>
        <v>-45.839999999999975</v>
      </c>
      <c r="AB66" s="223">
        <f t="shared" si="137"/>
        <v>41</v>
      </c>
      <c r="AC66" s="257">
        <f t="shared" si="138"/>
        <v>-495.68999999999983</v>
      </c>
      <c r="AD66" s="289">
        <f t="shared" si="139"/>
        <v>1</v>
      </c>
      <c r="AE66" s="258">
        <v>0.9</v>
      </c>
      <c r="AF66" s="258">
        <v>0.9</v>
      </c>
      <c r="AG66" s="258">
        <v>0.9</v>
      </c>
      <c r="AH66" s="258">
        <v>0.9</v>
      </c>
      <c r="AI66" s="258">
        <v>0.9</v>
      </c>
      <c r="AJ66" s="223">
        <f t="shared" si="140"/>
        <v>-178.173</v>
      </c>
      <c r="AK66" s="223">
        <f t="shared" si="141"/>
        <v>-153.666</v>
      </c>
      <c r="AL66" s="223">
        <f t="shared" si="142"/>
        <v>-109.926</v>
      </c>
      <c r="AM66" s="223">
        <f t="shared" si="143"/>
        <v>-41.256</v>
      </c>
      <c r="AN66" s="223">
        <f t="shared" si="144"/>
        <v>36.9</v>
      </c>
      <c r="AO66" s="297">
        <f>SUM(AJ66:AN66)</f>
        <v>-446.12099999999998</v>
      </c>
      <c r="AP66" s="278">
        <f t="shared" si="145"/>
        <v>0</v>
      </c>
      <c r="AQ66" s="223">
        <f t="shared" si="146"/>
        <v>0</v>
      </c>
      <c r="AR66" s="223">
        <f t="shared" si="147"/>
        <v>0</v>
      </c>
      <c r="AS66" s="223">
        <f t="shared" si="148"/>
        <v>0</v>
      </c>
      <c r="AT66" s="223">
        <f t="shared" si="149"/>
        <v>0</v>
      </c>
      <c r="AU66" s="223">
        <f>SUM(AP66:AT66)</f>
        <v>0</v>
      </c>
      <c r="AV66" s="289">
        <f t="shared" si="150"/>
        <v>0</v>
      </c>
      <c r="AW66" s="278">
        <f t="shared" si="151"/>
        <v>-178.173</v>
      </c>
      <c r="AX66" s="223">
        <f t="shared" si="152"/>
        <v>-153.666</v>
      </c>
      <c r="AY66" s="223">
        <f t="shared" si="153"/>
        <v>-109.926</v>
      </c>
      <c r="AZ66" s="223">
        <f t="shared" si="154"/>
        <v>-41.256</v>
      </c>
      <c r="BA66" s="223">
        <f t="shared" si="155"/>
        <v>36.9</v>
      </c>
      <c r="BB66" s="223">
        <f>SUM(AW66:BA66)</f>
        <v>-446.12099999999998</v>
      </c>
      <c r="BC66" s="289">
        <f t="shared" si="156"/>
        <v>1</v>
      </c>
      <c r="BD66" s="74"/>
      <c r="BE66" s="1" t="s">
        <v>976</v>
      </c>
      <c r="BF66" s="98" t="s">
        <v>0</v>
      </c>
      <c r="BG66" s="18" t="s">
        <v>11</v>
      </c>
      <c r="BH66" s="198"/>
      <c r="BI66" s="99">
        <f>BH66*K66</f>
        <v>0</v>
      </c>
      <c r="BJ66" s="99">
        <v>0</v>
      </c>
      <c r="BK66" s="99">
        <f>BJ66*K66</f>
        <v>0</v>
      </c>
      <c r="BL66" s="99">
        <v>0</v>
      </c>
      <c r="BM66" s="100">
        <f>BL66*K66</f>
        <v>0</v>
      </c>
      <c r="BO66" s="1" t="s">
        <v>977</v>
      </c>
      <c r="BQ66" s="115">
        <v>0.87</v>
      </c>
      <c r="CD66" s="9" t="s">
        <v>174</v>
      </c>
      <c r="CF66" s="9" t="s">
        <v>171</v>
      </c>
      <c r="CG66" s="9" t="s">
        <v>42</v>
      </c>
      <c r="CK66" s="9" t="s">
        <v>148</v>
      </c>
      <c r="CQ66" s="72">
        <f>IF(BG66="základná",AJ66,0)</f>
        <v>0</v>
      </c>
      <c r="CR66" s="72">
        <f>IF(BG66="znížená",AJ66,0)</f>
        <v>-178.173</v>
      </c>
      <c r="CS66" s="72">
        <f>IF(BG66="zákl. prenesená",AJ66,0)</f>
        <v>0</v>
      </c>
      <c r="CT66" s="72">
        <f>IF(BG66="zníž. prenesená",AJ66,0)</f>
        <v>0</v>
      </c>
      <c r="CU66" s="72">
        <f>IF(BG66="nulová",AJ66,0)</f>
        <v>0</v>
      </c>
      <c r="CV66" s="9" t="s">
        <v>42</v>
      </c>
      <c r="CW66" s="101">
        <f>ROUND(AE66*K66,3)</f>
        <v>-178.173</v>
      </c>
      <c r="CX66" s="9" t="s">
        <v>169</v>
      </c>
      <c r="CY66" s="9" t="s">
        <v>367</v>
      </c>
    </row>
    <row r="67" spans="2:103" s="1" customFormat="1" ht="31.5" customHeight="1">
      <c r="B67" s="73"/>
      <c r="C67" s="102">
        <v>7</v>
      </c>
      <c r="D67" s="102" t="s">
        <v>171</v>
      </c>
      <c r="E67" s="103" t="s">
        <v>368</v>
      </c>
      <c r="F67" s="499" t="s">
        <v>369</v>
      </c>
      <c r="G67" s="499"/>
      <c r="H67" s="499"/>
      <c r="I67" s="499"/>
      <c r="J67" s="104" t="s">
        <v>198</v>
      </c>
      <c r="K67" s="223">
        <f>K65</f>
        <v>-197.96999999999997</v>
      </c>
      <c r="L67" s="223">
        <f>L65</f>
        <v>-170.73999999999998</v>
      </c>
      <c r="M67" s="223">
        <f>M66</f>
        <v>-122.13999999999999</v>
      </c>
      <c r="N67" s="223">
        <f>N66</f>
        <v>-45.839999999999975</v>
      </c>
      <c r="O67" s="223">
        <f>O66</f>
        <v>41</v>
      </c>
      <c r="P67" s="428">
        <f t="shared" si="130"/>
        <v>-495.68999999999983</v>
      </c>
      <c r="Q67" s="278">
        <v>0</v>
      </c>
      <c r="R67" s="223">
        <v>0</v>
      </c>
      <c r="S67" s="223">
        <v>0</v>
      </c>
      <c r="T67" s="223">
        <v>0</v>
      </c>
      <c r="U67" s="223">
        <v>0</v>
      </c>
      <c r="V67" s="257">
        <f t="shared" si="131"/>
        <v>0</v>
      </c>
      <c r="W67" s="289">
        <f t="shared" si="132"/>
        <v>0</v>
      </c>
      <c r="X67" s="278">
        <f t="shared" si="133"/>
        <v>-197.96999999999997</v>
      </c>
      <c r="Y67" s="223">
        <f t="shared" si="134"/>
        <v>-170.73999999999998</v>
      </c>
      <c r="Z67" s="223">
        <f t="shared" si="135"/>
        <v>-122.13999999999999</v>
      </c>
      <c r="AA67" s="223">
        <f t="shared" si="136"/>
        <v>-45.839999999999975</v>
      </c>
      <c r="AB67" s="223">
        <f t="shared" si="137"/>
        <v>41</v>
      </c>
      <c r="AC67" s="257">
        <f t="shared" si="138"/>
        <v>-495.68999999999983</v>
      </c>
      <c r="AD67" s="289">
        <f t="shared" si="139"/>
        <v>1</v>
      </c>
      <c r="AE67" s="258">
        <v>0.9</v>
      </c>
      <c r="AF67" s="258">
        <v>0.9</v>
      </c>
      <c r="AG67" s="258">
        <v>0.9</v>
      </c>
      <c r="AH67" s="258">
        <v>0.9</v>
      </c>
      <c r="AI67" s="258">
        <v>0.9</v>
      </c>
      <c r="AJ67" s="223">
        <f t="shared" si="140"/>
        <v>-178.173</v>
      </c>
      <c r="AK67" s="223">
        <f t="shared" si="141"/>
        <v>-153.666</v>
      </c>
      <c r="AL67" s="223">
        <f t="shared" si="142"/>
        <v>-109.926</v>
      </c>
      <c r="AM67" s="223">
        <f t="shared" si="143"/>
        <v>-41.256</v>
      </c>
      <c r="AN67" s="223">
        <f t="shared" si="144"/>
        <v>36.9</v>
      </c>
      <c r="AO67" s="297">
        <f t="shared" ref="AO67:AO79" si="157">SUM(AJ67:AN67)</f>
        <v>-446.12099999999998</v>
      </c>
      <c r="AP67" s="278">
        <f t="shared" si="145"/>
        <v>0</v>
      </c>
      <c r="AQ67" s="223">
        <f t="shared" si="146"/>
        <v>0</v>
      </c>
      <c r="AR67" s="223">
        <f t="shared" si="147"/>
        <v>0</v>
      </c>
      <c r="AS67" s="223">
        <f t="shared" si="148"/>
        <v>0</v>
      </c>
      <c r="AT67" s="223">
        <f t="shared" si="149"/>
        <v>0</v>
      </c>
      <c r="AU67" s="223">
        <f t="shared" ref="AU67:AU76" si="158">SUM(AP67:AT67)</f>
        <v>0</v>
      </c>
      <c r="AV67" s="289">
        <f t="shared" si="150"/>
        <v>0</v>
      </c>
      <c r="AW67" s="278">
        <f t="shared" si="151"/>
        <v>-178.173</v>
      </c>
      <c r="AX67" s="223">
        <f t="shared" si="152"/>
        <v>-153.666</v>
      </c>
      <c r="AY67" s="223">
        <f t="shared" si="153"/>
        <v>-109.926</v>
      </c>
      <c r="AZ67" s="223">
        <f t="shared" si="154"/>
        <v>-41.256</v>
      </c>
      <c r="BA67" s="223">
        <f t="shared" si="155"/>
        <v>36.9</v>
      </c>
      <c r="BB67" s="223">
        <f t="shared" ref="BB67:BB76" si="159">SUM(AW67:BA67)</f>
        <v>-446.12099999999998</v>
      </c>
      <c r="BC67" s="289">
        <f t="shared" si="156"/>
        <v>1</v>
      </c>
      <c r="BD67" s="74"/>
      <c r="BE67" s="1" t="s">
        <v>976</v>
      </c>
      <c r="BF67" s="98" t="s">
        <v>0</v>
      </c>
      <c r="BG67" s="18" t="s">
        <v>11</v>
      </c>
      <c r="BH67" s="198"/>
      <c r="BI67" s="99">
        <f>BH67*K67</f>
        <v>0</v>
      </c>
      <c r="BJ67" s="99">
        <v>0</v>
      </c>
      <c r="BK67" s="99">
        <f>BJ67*K67</f>
        <v>0</v>
      </c>
      <c r="BL67" s="99">
        <v>0</v>
      </c>
      <c r="BM67" s="100">
        <f>BL67*K67</f>
        <v>0</v>
      </c>
      <c r="BO67" s="1" t="s">
        <v>978</v>
      </c>
      <c r="BQ67" s="115">
        <v>0.87</v>
      </c>
      <c r="CD67" s="9" t="s">
        <v>174</v>
      </c>
      <c r="CF67" s="9" t="s">
        <v>171</v>
      </c>
      <c r="CG67" s="9" t="s">
        <v>42</v>
      </c>
      <c r="CK67" s="9" t="s">
        <v>148</v>
      </c>
      <c r="CQ67" s="72">
        <f>IF(BG67="základná",AJ67,0)</f>
        <v>0</v>
      </c>
      <c r="CR67" s="72">
        <f>IF(BG67="znížená",AJ67,0)</f>
        <v>-178.173</v>
      </c>
      <c r="CS67" s="72">
        <f>IF(BG67="zákl. prenesená",AJ67,0)</f>
        <v>0</v>
      </c>
      <c r="CT67" s="72">
        <f>IF(BG67="zníž. prenesená",AJ67,0)</f>
        <v>0</v>
      </c>
      <c r="CU67" s="72">
        <f>IF(BG67="nulová",AJ67,0)</f>
        <v>0</v>
      </c>
      <c r="CV67" s="9" t="s">
        <v>42</v>
      </c>
      <c r="CW67" s="101">
        <f>ROUND(AE67*K67,3)</f>
        <v>-178.173</v>
      </c>
      <c r="CX67" s="9" t="s">
        <v>169</v>
      </c>
      <c r="CY67" s="9" t="s">
        <v>370</v>
      </c>
    </row>
    <row r="68" spans="2:103" s="1" customFormat="1" ht="22.5" customHeight="1">
      <c r="B68" s="15"/>
      <c r="C68" s="102">
        <v>8</v>
      </c>
      <c r="D68" s="102" t="s">
        <v>171</v>
      </c>
      <c r="E68" s="103" t="s">
        <v>371</v>
      </c>
      <c r="F68" s="499" t="s">
        <v>372</v>
      </c>
      <c r="G68" s="508"/>
      <c r="H68" s="508"/>
      <c r="I68" s="509"/>
      <c r="J68" s="104" t="s">
        <v>184</v>
      </c>
      <c r="K68" s="223">
        <v>-11</v>
      </c>
      <c r="L68" s="223">
        <v>-4</v>
      </c>
      <c r="M68" s="223"/>
      <c r="N68" s="223"/>
      <c r="O68" s="223"/>
      <c r="P68" s="428">
        <f t="shared" si="130"/>
        <v>-15</v>
      </c>
      <c r="Q68" s="278">
        <v>0</v>
      </c>
      <c r="R68" s="223">
        <v>0</v>
      </c>
      <c r="S68" s="223">
        <v>0</v>
      </c>
      <c r="T68" s="223">
        <v>0</v>
      </c>
      <c r="U68" s="223">
        <v>0</v>
      </c>
      <c r="V68" s="257">
        <f t="shared" si="131"/>
        <v>0</v>
      </c>
      <c r="W68" s="289">
        <f t="shared" si="132"/>
        <v>0</v>
      </c>
      <c r="X68" s="278">
        <f t="shared" si="133"/>
        <v>-11</v>
      </c>
      <c r="Y68" s="223">
        <f t="shared" si="134"/>
        <v>-4</v>
      </c>
      <c r="Z68" s="223">
        <f t="shared" si="135"/>
        <v>0</v>
      </c>
      <c r="AA68" s="223">
        <f t="shared" si="136"/>
        <v>0</v>
      </c>
      <c r="AB68" s="223">
        <f t="shared" si="137"/>
        <v>0</v>
      </c>
      <c r="AC68" s="257">
        <f t="shared" si="138"/>
        <v>-15</v>
      </c>
      <c r="AD68" s="289">
        <f t="shared" si="139"/>
        <v>1</v>
      </c>
      <c r="AE68" s="258">
        <v>133.49</v>
      </c>
      <c r="AF68" s="258">
        <v>133.49</v>
      </c>
      <c r="AG68" s="258">
        <v>133.49</v>
      </c>
      <c r="AH68" s="258">
        <v>133.49</v>
      </c>
      <c r="AI68" s="258">
        <v>133.49</v>
      </c>
      <c r="AJ68" s="223">
        <f t="shared" si="140"/>
        <v>-1468.39</v>
      </c>
      <c r="AK68" s="223">
        <f t="shared" si="141"/>
        <v>-533.96</v>
      </c>
      <c r="AL68" s="223">
        <f t="shared" si="142"/>
        <v>0</v>
      </c>
      <c r="AM68" s="223">
        <f t="shared" si="143"/>
        <v>0</v>
      </c>
      <c r="AN68" s="223">
        <f t="shared" si="144"/>
        <v>0</v>
      </c>
      <c r="AO68" s="297">
        <f t="shared" si="157"/>
        <v>-2002.3500000000001</v>
      </c>
      <c r="AP68" s="278">
        <f t="shared" si="145"/>
        <v>0</v>
      </c>
      <c r="AQ68" s="223">
        <f t="shared" si="146"/>
        <v>0</v>
      </c>
      <c r="AR68" s="223">
        <f t="shared" si="147"/>
        <v>0</v>
      </c>
      <c r="AS68" s="223">
        <f t="shared" si="148"/>
        <v>0</v>
      </c>
      <c r="AT68" s="223">
        <f t="shared" si="149"/>
        <v>0</v>
      </c>
      <c r="AU68" s="223">
        <f t="shared" si="158"/>
        <v>0</v>
      </c>
      <c r="AV68" s="289">
        <f t="shared" si="150"/>
        <v>0</v>
      </c>
      <c r="AW68" s="278">
        <f t="shared" si="151"/>
        <v>-1468.39</v>
      </c>
      <c r="AX68" s="223">
        <f t="shared" si="152"/>
        <v>-533.96</v>
      </c>
      <c r="AY68" s="223">
        <f t="shared" si="153"/>
        <v>0</v>
      </c>
      <c r="AZ68" s="223">
        <f t="shared" si="154"/>
        <v>0</v>
      </c>
      <c r="BA68" s="223">
        <f t="shared" si="155"/>
        <v>0</v>
      </c>
      <c r="BB68" s="223">
        <f t="shared" si="159"/>
        <v>-2002.3500000000001</v>
      </c>
      <c r="BC68" s="289">
        <f t="shared" si="156"/>
        <v>1</v>
      </c>
      <c r="BD68" s="17"/>
      <c r="BF68" s="198"/>
      <c r="BG68" s="198"/>
      <c r="BH68" s="198"/>
      <c r="BI68" s="198"/>
      <c r="BJ68" s="198"/>
      <c r="BK68" s="198"/>
      <c r="BL68" s="198"/>
      <c r="BM68" s="198"/>
      <c r="CF68" s="9"/>
      <c r="CG68" s="9"/>
      <c r="CK68" s="9"/>
      <c r="CW68" s="101"/>
    </row>
    <row r="69" spans="2:103" s="1" customFormat="1" ht="22.5" customHeight="1">
      <c r="B69" s="73"/>
      <c r="C69" s="102">
        <v>9</v>
      </c>
      <c r="D69" s="102" t="s">
        <v>171</v>
      </c>
      <c r="E69" s="103" t="s">
        <v>374</v>
      </c>
      <c r="F69" s="507" t="s">
        <v>375</v>
      </c>
      <c r="G69" s="508"/>
      <c r="H69" s="508"/>
      <c r="I69" s="509"/>
      <c r="J69" s="104" t="s">
        <v>184</v>
      </c>
      <c r="K69" s="223">
        <v>-4</v>
      </c>
      <c r="L69" s="223">
        <v>-1</v>
      </c>
      <c r="M69" s="223"/>
      <c r="N69" s="223"/>
      <c r="O69" s="223"/>
      <c r="P69" s="428">
        <f t="shared" si="130"/>
        <v>-5</v>
      </c>
      <c r="Q69" s="278">
        <v>0</v>
      </c>
      <c r="R69" s="223">
        <v>0</v>
      </c>
      <c r="S69" s="223">
        <v>0</v>
      </c>
      <c r="T69" s="223">
        <v>0</v>
      </c>
      <c r="U69" s="223">
        <v>0</v>
      </c>
      <c r="V69" s="257">
        <f t="shared" si="131"/>
        <v>0</v>
      </c>
      <c r="W69" s="289">
        <f t="shared" si="132"/>
        <v>0</v>
      </c>
      <c r="X69" s="278">
        <f t="shared" si="133"/>
        <v>-4</v>
      </c>
      <c r="Y69" s="223">
        <f t="shared" si="134"/>
        <v>-1</v>
      </c>
      <c r="Z69" s="223">
        <f t="shared" si="135"/>
        <v>0</v>
      </c>
      <c r="AA69" s="223">
        <f t="shared" si="136"/>
        <v>0</v>
      </c>
      <c r="AB69" s="223">
        <f t="shared" si="137"/>
        <v>0</v>
      </c>
      <c r="AC69" s="257">
        <f t="shared" si="138"/>
        <v>-5</v>
      </c>
      <c r="AD69" s="289">
        <f t="shared" si="139"/>
        <v>1</v>
      </c>
      <c r="AE69" s="258">
        <v>205.59</v>
      </c>
      <c r="AF69" s="258">
        <v>205.59</v>
      </c>
      <c r="AG69" s="258">
        <v>205.59</v>
      </c>
      <c r="AH69" s="258">
        <v>205.59</v>
      </c>
      <c r="AI69" s="258">
        <v>205.59</v>
      </c>
      <c r="AJ69" s="223">
        <f t="shared" si="140"/>
        <v>-822.36</v>
      </c>
      <c r="AK69" s="223">
        <f t="shared" si="141"/>
        <v>-205.59</v>
      </c>
      <c r="AL69" s="223">
        <f t="shared" si="142"/>
        <v>0</v>
      </c>
      <c r="AM69" s="223">
        <f t="shared" si="143"/>
        <v>0</v>
      </c>
      <c r="AN69" s="223">
        <f t="shared" si="144"/>
        <v>0</v>
      </c>
      <c r="AO69" s="297">
        <f t="shared" si="157"/>
        <v>-1027.95</v>
      </c>
      <c r="AP69" s="278">
        <f t="shared" si="145"/>
        <v>0</v>
      </c>
      <c r="AQ69" s="223">
        <f t="shared" si="146"/>
        <v>0</v>
      </c>
      <c r="AR69" s="223">
        <f t="shared" si="147"/>
        <v>0</v>
      </c>
      <c r="AS69" s="223">
        <f t="shared" si="148"/>
        <v>0</v>
      </c>
      <c r="AT69" s="223">
        <f t="shared" si="149"/>
        <v>0</v>
      </c>
      <c r="AU69" s="223">
        <f t="shared" si="158"/>
        <v>0</v>
      </c>
      <c r="AV69" s="289">
        <f t="shared" si="150"/>
        <v>0</v>
      </c>
      <c r="AW69" s="278">
        <f t="shared" si="151"/>
        <v>-822.36</v>
      </c>
      <c r="AX69" s="223">
        <f t="shared" si="152"/>
        <v>-205.59</v>
      </c>
      <c r="AY69" s="223">
        <f t="shared" si="153"/>
        <v>0</v>
      </c>
      <c r="AZ69" s="223">
        <f t="shared" si="154"/>
        <v>0</v>
      </c>
      <c r="BA69" s="223">
        <f t="shared" si="155"/>
        <v>0</v>
      </c>
      <c r="BB69" s="223">
        <f t="shared" si="159"/>
        <v>-1027.95</v>
      </c>
      <c r="BC69" s="289">
        <f t="shared" si="156"/>
        <v>1</v>
      </c>
      <c r="BD69" s="74"/>
      <c r="BE69" s="1" t="s">
        <v>979</v>
      </c>
      <c r="BF69" s="98" t="s">
        <v>0</v>
      </c>
      <c r="BG69" s="18" t="s">
        <v>11</v>
      </c>
      <c r="BH69" s="198"/>
      <c r="BI69" s="99">
        <f>BH69*K69</f>
        <v>0</v>
      </c>
      <c r="BJ69" s="99">
        <v>0</v>
      </c>
      <c r="BK69" s="99">
        <f>BJ69*K69</f>
        <v>0</v>
      </c>
      <c r="BL69" s="99">
        <v>0</v>
      </c>
      <c r="BM69" s="100">
        <f>BL69*K69</f>
        <v>0</v>
      </c>
      <c r="BO69" s="113" t="s">
        <v>980</v>
      </c>
      <c r="BQ69" s="115">
        <v>197.68</v>
      </c>
      <c r="CD69" s="9" t="s">
        <v>174</v>
      </c>
      <c r="CF69" s="9" t="s">
        <v>171</v>
      </c>
      <c r="CG69" s="9" t="s">
        <v>42</v>
      </c>
      <c r="CK69" s="9" t="s">
        <v>148</v>
      </c>
      <c r="CQ69" s="72">
        <f>IF(BG69="základná",AJ69,0)</f>
        <v>0</v>
      </c>
      <c r="CR69" s="72">
        <f>IF(BG69="znížená",AJ69,0)</f>
        <v>-822.36</v>
      </c>
      <c r="CS69" s="72">
        <f>IF(BG69="zákl. prenesená",AJ69,0)</f>
        <v>0</v>
      </c>
      <c r="CT69" s="72">
        <f>IF(BG69="zníž. prenesená",AJ69,0)</f>
        <v>0</v>
      </c>
      <c r="CU69" s="72">
        <f>IF(BG69="nulová",AJ69,0)</f>
        <v>0</v>
      </c>
      <c r="CV69" s="9" t="s">
        <v>42</v>
      </c>
      <c r="CW69" s="101">
        <f>ROUND(AE69*K69,3)</f>
        <v>-822.36</v>
      </c>
      <c r="CX69" s="9" t="s">
        <v>169</v>
      </c>
      <c r="CY69" s="9" t="s">
        <v>376</v>
      </c>
    </row>
    <row r="70" spans="2:103" s="1" customFormat="1" ht="22.5" customHeight="1">
      <c r="B70" s="15"/>
      <c r="C70" s="102">
        <v>10</v>
      </c>
      <c r="D70" s="102" t="s">
        <v>171</v>
      </c>
      <c r="E70" s="103" t="s">
        <v>486</v>
      </c>
      <c r="F70" s="499" t="s">
        <v>487</v>
      </c>
      <c r="G70" s="499"/>
      <c r="H70" s="499"/>
      <c r="I70" s="499"/>
      <c r="J70" s="104" t="s">
        <v>184</v>
      </c>
      <c r="K70" s="223"/>
      <c r="L70" s="223"/>
      <c r="M70" s="223">
        <v>-7</v>
      </c>
      <c r="N70" s="223"/>
      <c r="O70" s="223"/>
      <c r="P70" s="428">
        <f t="shared" si="130"/>
        <v>-7</v>
      </c>
      <c r="Q70" s="278">
        <v>0</v>
      </c>
      <c r="R70" s="223">
        <v>0</v>
      </c>
      <c r="S70" s="223">
        <v>0</v>
      </c>
      <c r="T70" s="223">
        <v>0</v>
      </c>
      <c r="U70" s="223">
        <v>0</v>
      </c>
      <c r="V70" s="257">
        <f t="shared" si="131"/>
        <v>0</v>
      </c>
      <c r="W70" s="289">
        <f t="shared" si="132"/>
        <v>0</v>
      </c>
      <c r="X70" s="278">
        <f t="shared" si="133"/>
        <v>0</v>
      </c>
      <c r="Y70" s="223">
        <f t="shared" si="134"/>
        <v>0</v>
      </c>
      <c r="Z70" s="223">
        <f t="shared" si="135"/>
        <v>-7</v>
      </c>
      <c r="AA70" s="223">
        <f t="shared" si="136"/>
        <v>0</v>
      </c>
      <c r="AB70" s="223">
        <f t="shared" si="137"/>
        <v>0</v>
      </c>
      <c r="AC70" s="257">
        <f t="shared" si="138"/>
        <v>-7</v>
      </c>
      <c r="AD70" s="289">
        <f t="shared" si="139"/>
        <v>1</v>
      </c>
      <c r="AE70" s="258">
        <v>310.45999999999998</v>
      </c>
      <c r="AF70" s="258">
        <v>310.45999999999998</v>
      </c>
      <c r="AG70" s="258">
        <v>310.45999999999998</v>
      </c>
      <c r="AH70" s="258">
        <v>310.45999999999998</v>
      </c>
      <c r="AI70" s="258">
        <v>310.45999999999998</v>
      </c>
      <c r="AJ70" s="223">
        <f t="shared" si="140"/>
        <v>0</v>
      </c>
      <c r="AK70" s="223">
        <f t="shared" si="141"/>
        <v>0</v>
      </c>
      <c r="AL70" s="223">
        <f t="shared" si="142"/>
        <v>-2173.2199999999998</v>
      </c>
      <c r="AM70" s="223">
        <f t="shared" si="143"/>
        <v>0</v>
      </c>
      <c r="AN70" s="223">
        <f t="shared" si="144"/>
        <v>0</v>
      </c>
      <c r="AO70" s="297">
        <f t="shared" si="157"/>
        <v>-2173.2199999999998</v>
      </c>
      <c r="AP70" s="278">
        <f t="shared" si="145"/>
        <v>0</v>
      </c>
      <c r="AQ70" s="223">
        <f t="shared" si="146"/>
        <v>0</v>
      </c>
      <c r="AR70" s="223">
        <f t="shared" si="147"/>
        <v>0</v>
      </c>
      <c r="AS70" s="223">
        <f t="shared" si="148"/>
        <v>0</v>
      </c>
      <c r="AT70" s="223">
        <f t="shared" si="149"/>
        <v>0</v>
      </c>
      <c r="AU70" s="223">
        <f t="shared" si="158"/>
        <v>0</v>
      </c>
      <c r="AV70" s="289">
        <f t="shared" si="150"/>
        <v>0</v>
      </c>
      <c r="AW70" s="278">
        <f t="shared" si="151"/>
        <v>0</v>
      </c>
      <c r="AX70" s="223">
        <f t="shared" si="152"/>
        <v>0</v>
      </c>
      <c r="AY70" s="223">
        <f t="shared" si="153"/>
        <v>-2173.2199999999998</v>
      </c>
      <c r="AZ70" s="223">
        <f t="shared" si="154"/>
        <v>0</v>
      </c>
      <c r="BA70" s="223">
        <f t="shared" si="155"/>
        <v>0</v>
      </c>
      <c r="BB70" s="223">
        <f t="shared" si="159"/>
        <v>-2173.2199999999998</v>
      </c>
      <c r="BC70" s="289">
        <f t="shared" si="156"/>
        <v>1</v>
      </c>
      <c r="BD70" s="17"/>
      <c r="BF70" s="198"/>
      <c r="BG70" s="198"/>
      <c r="BH70" s="198"/>
      <c r="BI70" s="198"/>
      <c r="BJ70" s="198"/>
      <c r="BK70" s="198"/>
      <c r="BL70" s="198"/>
      <c r="BM70" s="198"/>
      <c r="CF70" s="9"/>
      <c r="CG70" s="9"/>
      <c r="CK70" s="9"/>
      <c r="CW70" s="101"/>
    </row>
    <row r="71" spans="2:103" s="1" customFormat="1" ht="22.5" customHeight="1">
      <c r="B71" s="15"/>
      <c r="C71" s="102">
        <v>11</v>
      </c>
      <c r="D71" s="102" t="s">
        <v>171</v>
      </c>
      <c r="E71" s="103" t="s">
        <v>1152</v>
      </c>
      <c r="F71" s="499" t="s">
        <v>1318</v>
      </c>
      <c r="G71" s="499"/>
      <c r="H71" s="499"/>
      <c r="I71" s="499"/>
      <c r="J71" s="104" t="s">
        <v>184</v>
      </c>
      <c r="K71" s="223"/>
      <c r="L71" s="223"/>
      <c r="M71" s="223"/>
      <c r="N71" s="223">
        <v>1</v>
      </c>
      <c r="O71" s="223"/>
      <c r="P71" s="428">
        <f t="shared" si="130"/>
        <v>1</v>
      </c>
      <c r="Q71" s="278">
        <v>0</v>
      </c>
      <c r="R71" s="223">
        <v>0</v>
      </c>
      <c r="S71" s="223">
        <v>0</v>
      </c>
      <c r="T71" s="223">
        <v>0</v>
      </c>
      <c r="U71" s="223">
        <v>0</v>
      </c>
      <c r="V71" s="257">
        <f t="shared" si="131"/>
        <v>0</v>
      </c>
      <c r="W71" s="289">
        <f t="shared" si="132"/>
        <v>0</v>
      </c>
      <c r="X71" s="278">
        <f t="shared" si="133"/>
        <v>0</v>
      </c>
      <c r="Y71" s="223">
        <f t="shared" si="134"/>
        <v>0</v>
      </c>
      <c r="Z71" s="223">
        <f t="shared" si="135"/>
        <v>0</v>
      </c>
      <c r="AA71" s="223">
        <f t="shared" si="136"/>
        <v>1</v>
      </c>
      <c r="AB71" s="223">
        <f t="shared" si="137"/>
        <v>0</v>
      </c>
      <c r="AC71" s="257">
        <f t="shared" si="138"/>
        <v>1</v>
      </c>
      <c r="AD71" s="289">
        <f t="shared" si="139"/>
        <v>1</v>
      </c>
      <c r="AE71" s="258">
        <v>214.48700000000002</v>
      </c>
      <c r="AF71" s="258">
        <v>214.48700000000002</v>
      </c>
      <c r="AG71" s="258">
        <v>214.48700000000002</v>
      </c>
      <c r="AH71" s="258">
        <v>214.48700000000002</v>
      </c>
      <c r="AI71" s="258">
        <v>214.48700000000002</v>
      </c>
      <c r="AJ71" s="223">
        <f t="shared" si="140"/>
        <v>0</v>
      </c>
      <c r="AK71" s="223">
        <f t="shared" si="141"/>
        <v>0</v>
      </c>
      <c r="AL71" s="223">
        <f t="shared" si="142"/>
        <v>0</v>
      </c>
      <c r="AM71" s="223">
        <f t="shared" si="143"/>
        <v>214.48699999999999</v>
      </c>
      <c r="AN71" s="223">
        <f t="shared" si="144"/>
        <v>0</v>
      </c>
      <c r="AO71" s="297">
        <f t="shared" si="157"/>
        <v>214.48699999999999</v>
      </c>
      <c r="AP71" s="278">
        <f t="shared" si="145"/>
        <v>0</v>
      </c>
      <c r="AQ71" s="223">
        <f t="shared" si="146"/>
        <v>0</v>
      </c>
      <c r="AR71" s="223">
        <f t="shared" si="147"/>
        <v>0</v>
      </c>
      <c r="AS71" s="223">
        <f t="shared" si="148"/>
        <v>0</v>
      </c>
      <c r="AT71" s="223">
        <f t="shared" si="149"/>
        <v>0</v>
      </c>
      <c r="AU71" s="223">
        <f t="shared" si="158"/>
        <v>0</v>
      </c>
      <c r="AV71" s="289">
        <f t="shared" si="150"/>
        <v>0</v>
      </c>
      <c r="AW71" s="278">
        <f t="shared" si="151"/>
        <v>0</v>
      </c>
      <c r="AX71" s="223">
        <f t="shared" si="152"/>
        <v>0</v>
      </c>
      <c r="AY71" s="223">
        <f t="shared" si="153"/>
        <v>0</v>
      </c>
      <c r="AZ71" s="223">
        <f t="shared" si="154"/>
        <v>214.48699999999999</v>
      </c>
      <c r="BA71" s="223">
        <f t="shared" si="155"/>
        <v>0</v>
      </c>
      <c r="BB71" s="223">
        <f t="shared" si="159"/>
        <v>214.48699999999999</v>
      </c>
      <c r="BC71" s="289">
        <f t="shared" si="156"/>
        <v>1</v>
      </c>
      <c r="BD71" s="17"/>
      <c r="BF71" s="198"/>
      <c r="BG71" s="198"/>
      <c r="BH71" s="198"/>
      <c r="BI71" s="198"/>
      <c r="BJ71" s="198"/>
      <c r="BK71" s="198"/>
      <c r="BL71" s="198"/>
      <c r="BM71" s="198"/>
      <c r="CF71" s="9"/>
      <c r="CG71" s="9"/>
      <c r="CK71" s="9"/>
      <c r="CW71" s="101"/>
    </row>
    <row r="72" spans="2:103" s="1" customFormat="1" ht="22.5" customHeight="1">
      <c r="B72" s="15"/>
      <c r="C72" s="102">
        <v>12</v>
      </c>
      <c r="D72" s="102" t="s">
        <v>171</v>
      </c>
      <c r="E72" s="103" t="s">
        <v>1155</v>
      </c>
      <c r="F72" s="499" t="s">
        <v>1319</v>
      </c>
      <c r="G72" s="499"/>
      <c r="H72" s="499"/>
      <c r="I72" s="499"/>
      <c r="J72" s="104" t="s">
        <v>184</v>
      </c>
      <c r="K72" s="223"/>
      <c r="L72" s="223"/>
      <c r="M72" s="223"/>
      <c r="N72" s="223">
        <v>1</v>
      </c>
      <c r="O72" s="223"/>
      <c r="P72" s="428">
        <f t="shared" si="130"/>
        <v>1</v>
      </c>
      <c r="Q72" s="278">
        <v>0</v>
      </c>
      <c r="R72" s="223">
        <v>0</v>
      </c>
      <c r="S72" s="223">
        <v>0</v>
      </c>
      <c r="T72" s="223">
        <v>0</v>
      </c>
      <c r="U72" s="223">
        <v>0</v>
      </c>
      <c r="V72" s="257">
        <f t="shared" si="131"/>
        <v>0</v>
      </c>
      <c r="W72" s="289">
        <f t="shared" si="132"/>
        <v>0</v>
      </c>
      <c r="X72" s="278">
        <f t="shared" si="133"/>
        <v>0</v>
      </c>
      <c r="Y72" s="223">
        <f t="shared" si="134"/>
        <v>0</v>
      </c>
      <c r="Z72" s="223">
        <f t="shared" si="135"/>
        <v>0</v>
      </c>
      <c r="AA72" s="223">
        <f t="shared" si="136"/>
        <v>1</v>
      </c>
      <c r="AB72" s="223">
        <f t="shared" si="137"/>
        <v>0</v>
      </c>
      <c r="AC72" s="257">
        <f t="shared" si="138"/>
        <v>1</v>
      </c>
      <c r="AD72" s="289">
        <f t="shared" si="139"/>
        <v>1</v>
      </c>
      <c r="AE72" s="258">
        <v>183.989</v>
      </c>
      <c r="AF72" s="258">
        <v>183.989</v>
      </c>
      <c r="AG72" s="258">
        <v>183.989</v>
      </c>
      <c r="AH72" s="258">
        <v>183.989</v>
      </c>
      <c r="AI72" s="258">
        <v>183.989</v>
      </c>
      <c r="AJ72" s="223">
        <f t="shared" si="140"/>
        <v>0</v>
      </c>
      <c r="AK72" s="223">
        <f t="shared" si="141"/>
        <v>0</v>
      </c>
      <c r="AL72" s="223">
        <f t="shared" si="142"/>
        <v>0</v>
      </c>
      <c r="AM72" s="223">
        <f t="shared" si="143"/>
        <v>183.989</v>
      </c>
      <c r="AN72" s="223">
        <f t="shared" si="144"/>
        <v>0</v>
      </c>
      <c r="AO72" s="297">
        <f t="shared" si="157"/>
        <v>183.989</v>
      </c>
      <c r="AP72" s="278">
        <f t="shared" si="145"/>
        <v>0</v>
      </c>
      <c r="AQ72" s="223">
        <f t="shared" si="146"/>
        <v>0</v>
      </c>
      <c r="AR72" s="223">
        <f t="shared" si="147"/>
        <v>0</v>
      </c>
      <c r="AS72" s="223">
        <f t="shared" si="148"/>
        <v>0</v>
      </c>
      <c r="AT72" s="223">
        <f t="shared" si="149"/>
        <v>0</v>
      </c>
      <c r="AU72" s="223">
        <f t="shared" si="158"/>
        <v>0</v>
      </c>
      <c r="AV72" s="289">
        <f t="shared" si="150"/>
        <v>0</v>
      </c>
      <c r="AW72" s="278">
        <f t="shared" si="151"/>
        <v>0</v>
      </c>
      <c r="AX72" s="223">
        <f t="shared" si="152"/>
        <v>0</v>
      </c>
      <c r="AY72" s="223">
        <f t="shared" si="153"/>
        <v>0</v>
      </c>
      <c r="AZ72" s="223">
        <f t="shared" si="154"/>
        <v>183.989</v>
      </c>
      <c r="BA72" s="223">
        <f t="shared" si="155"/>
        <v>0</v>
      </c>
      <c r="BB72" s="223">
        <f t="shared" si="159"/>
        <v>183.989</v>
      </c>
      <c r="BC72" s="289">
        <f t="shared" si="156"/>
        <v>1</v>
      </c>
      <c r="BD72" s="17"/>
      <c r="BF72" s="198"/>
      <c r="BG72" s="198"/>
      <c r="BH72" s="198"/>
      <c r="BI72" s="198"/>
      <c r="BJ72" s="198"/>
      <c r="BK72" s="198"/>
      <c r="BL72" s="198"/>
      <c r="BM72" s="198"/>
      <c r="CF72" s="9"/>
      <c r="CG72" s="9"/>
      <c r="CK72" s="9"/>
      <c r="CW72" s="101"/>
    </row>
    <row r="73" spans="2:103" s="1" customFormat="1" ht="22.5" customHeight="1">
      <c r="B73" s="15"/>
      <c r="C73" s="102">
        <v>13</v>
      </c>
      <c r="D73" s="102" t="s">
        <v>171</v>
      </c>
      <c r="E73" s="103" t="s">
        <v>490</v>
      </c>
      <c r="F73" s="499" t="s">
        <v>1150</v>
      </c>
      <c r="G73" s="499"/>
      <c r="H73" s="499"/>
      <c r="I73" s="499"/>
      <c r="J73" s="104" t="s">
        <v>184</v>
      </c>
      <c r="K73" s="223"/>
      <c r="L73" s="223"/>
      <c r="M73" s="223">
        <v>-1</v>
      </c>
      <c r="N73" s="223"/>
      <c r="O73" s="223"/>
      <c r="P73" s="428">
        <f t="shared" si="130"/>
        <v>-1</v>
      </c>
      <c r="Q73" s="278">
        <v>0</v>
      </c>
      <c r="R73" s="223">
        <v>0</v>
      </c>
      <c r="S73" s="223">
        <v>0</v>
      </c>
      <c r="T73" s="223">
        <v>0</v>
      </c>
      <c r="U73" s="223">
        <v>0</v>
      </c>
      <c r="V73" s="257">
        <f t="shared" si="131"/>
        <v>0</v>
      </c>
      <c r="W73" s="289">
        <f t="shared" si="132"/>
        <v>0</v>
      </c>
      <c r="X73" s="278">
        <f t="shared" si="133"/>
        <v>0</v>
      </c>
      <c r="Y73" s="223">
        <f t="shared" si="134"/>
        <v>0</v>
      </c>
      <c r="Z73" s="223">
        <f t="shared" si="135"/>
        <v>-1</v>
      </c>
      <c r="AA73" s="223">
        <f t="shared" si="136"/>
        <v>0</v>
      </c>
      <c r="AB73" s="223">
        <f t="shared" si="137"/>
        <v>0</v>
      </c>
      <c r="AC73" s="257">
        <f t="shared" si="138"/>
        <v>-1</v>
      </c>
      <c r="AD73" s="289">
        <f t="shared" si="139"/>
        <v>1</v>
      </c>
      <c r="AE73" s="258">
        <v>616.38</v>
      </c>
      <c r="AF73" s="258">
        <v>616.38</v>
      </c>
      <c r="AG73" s="258">
        <v>616.38</v>
      </c>
      <c r="AH73" s="258">
        <v>616.38</v>
      </c>
      <c r="AI73" s="258">
        <v>616.38</v>
      </c>
      <c r="AJ73" s="223">
        <f t="shared" si="140"/>
        <v>0</v>
      </c>
      <c r="AK73" s="223">
        <f t="shared" si="141"/>
        <v>0</v>
      </c>
      <c r="AL73" s="223">
        <f t="shared" si="142"/>
        <v>-616.38</v>
      </c>
      <c r="AM73" s="223">
        <f t="shared" si="143"/>
        <v>0</v>
      </c>
      <c r="AN73" s="223">
        <f t="shared" si="144"/>
        <v>0</v>
      </c>
      <c r="AO73" s="297">
        <f t="shared" si="157"/>
        <v>-616.38</v>
      </c>
      <c r="AP73" s="278">
        <f t="shared" si="145"/>
        <v>0</v>
      </c>
      <c r="AQ73" s="223">
        <f t="shared" si="146"/>
        <v>0</v>
      </c>
      <c r="AR73" s="223">
        <f t="shared" si="147"/>
        <v>0</v>
      </c>
      <c r="AS73" s="223">
        <f t="shared" si="148"/>
        <v>0</v>
      </c>
      <c r="AT73" s="223">
        <f t="shared" si="149"/>
        <v>0</v>
      </c>
      <c r="AU73" s="223">
        <f t="shared" si="158"/>
        <v>0</v>
      </c>
      <c r="AV73" s="289">
        <f t="shared" si="150"/>
        <v>0</v>
      </c>
      <c r="AW73" s="278">
        <f t="shared" si="151"/>
        <v>0</v>
      </c>
      <c r="AX73" s="223">
        <f t="shared" si="152"/>
        <v>0</v>
      </c>
      <c r="AY73" s="223">
        <f t="shared" si="153"/>
        <v>-616.38</v>
      </c>
      <c r="AZ73" s="223">
        <f t="shared" si="154"/>
        <v>0</v>
      </c>
      <c r="BA73" s="223">
        <f t="shared" si="155"/>
        <v>0</v>
      </c>
      <c r="BB73" s="223">
        <f t="shared" si="159"/>
        <v>-616.38</v>
      </c>
      <c r="BC73" s="289">
        <f t="shared" si="156"/>
        <v>1</v>
      </c>
      <c r="BD73" s="17"/>
      <c r="BF73" s="198"/>
      <c r="BG73" s="198"/>
      <c r="BH73" s="198"/>
      <c r="BI73" s="198"/>
      <c r="BJ73" s="198"/>
      <c r="BK73" s="198"/>
      <c r="BL73" s="198"/>
      <c r="BM73" s="198"/>
      <c r="CF73" s="9"/>
      <c r="CG73" s="9"/>
      <c r="CK73" s="9"/>
      <c r="CW73" s="101"/>
    </row>
    <row r="74" spans="2:103" s="1" customFormat="1" ht="22.5" customHeight="1">
      <c r="B74" s="15"/>
      <c r="C74" s="102">
        <v>14</v>
      </c>
      <c r="D74" s="102" t="s">
        <v>171</v>
      </c>
      <c r="E74" s="103" t="s">
        <v>1149</v>
      </c>
      <c r="F74" s="499" t="s">
        <v>1320</v>
      </c>
      <c r="G74" s="499"/>
      <c r="H74" s="499"/>
      <c r="I74" s="499"/>
      <c r="J74" s="104" t="s">
        <v>184</v>
      </c>
      <c r="K74" s="223">
        <v>1</v>
      </c>
      <c r="L74" s="223">
        <v>1</v>
      </c>
      <c r="M74" s="223"/>
      <c r="N74" s="223"/>
      <c r="O74" s="223"/>
      <c r="P74" s="428">
        <f t="shared" si="130"/>
        <v>2</v>
      </c>
      <c r="Q74" s="278">
        <v>0</v>
      </c>
      <c r="R74" s="223">
        <v>0</v>
      </c>
      <c r="S74" s="223">
        <v>0</v>
      </c>
      <c r="T74" s="223">
        <v>0</v>
      </c>
      <c r="U74" s="223">
        <v>0</v>
      </c>
      <c r="V74" s="257">
        <f t="shared" si="131"/>
        <v>0</v>
      </c>
      <c r="W74" s="289">
        <f t="shared" si="132"/>
        <v>0</v>
      </c>
      <c r="X74" s="278">
        <f t="shared" si="133"/>
        <v>1</v>
      </c>
      <c r="Y74" s="223">
        <f t="shared" si="134"/>
        <v>1</v>
      </c>
      <c r="Z74" s="223">
        <f t="shared" si="135"/>
        <v>0</v>
      </c>
      <c r="AA74" s="223">
        <f t="shared" si="136"/>
        <v>0</v>
      </c>
      <c r="AB74" s="223">
        <f t="shared" si="137"/>
        <v>0</v>
      </c>
      <c r="AC74" s="257">
        <f t="shared" si="138"/>
        <v>2</v>
      </c>
      <c r="AD74" s="289">
        <f t="shared" si="139"/>
        <v>1</v>
      </c>
      <c r="AE74" s="258">
        <v>1071.7460000000001</v>
      </c>
      <c r="AF74" s="258">
        <v>1071.7460000000001</v>
      </c>
      <c r="AG74" s="258">
        <v>1071.7460000000001</v>
      </c>
      <c r="AH74" s="258">
        <v>1071.7460000000001</v>
      </c>
      <c r="AI74" s="258">
        <v>1071.7460000000001</v>
      </c>
      <c r="AJ74" s="223">
        <f t="shared" si="140"/>
        <v>1071.7460000000001</v>
      </c>
      <c r="AK74" s="223">
        <f t="shared" si="141"/>
        <v>1071.7460000000001</v>
      </c>
      <c r="AL74" s="223">
        <f t="shared" si="142"/>
        <v>0</v>
      </c>
      <c r="AM74" s="223">
        <f t="shared" si="143"/>
        <v>0</v>
      </c>
      <c r="AN74" s="223">
        <f t="shared" si="144"/>
        <v>0</v>
      </c>
      <c r="AO74" s="297">
        <f t="shared" si="157"/>
        <v>2143.4920000000002</v>
      </c>
      <c r="AP74" s="278">
        <f t="shared" si="145"/>
        <v>0</v>
      </c>
      <c r="AQ74" s="223">
        <f t="shared" si="146"/>
        <v>0</v>
      </c>
      <c r="AR74" s="223">
        <f t="shared" si="147"/>
        <v>0</v>
      </c>
      <c r="AS74" s="223">
        <f t="shared" si="148"/>
        <v>0</v>
      </c>
      <c r="AT74" s="223">
        <f t="shared" si="149"/>
        <v>0</v>
      </c>
      <c r="AU74" s="223">
        <f t="shared" si="158"/>
        <v>0</v>
      </c>
      <c r="AV74" s="289">
        <f t="shared" si="150"/>
        <v>0</v>
      </c>
      <c r="AW74" s="278">
        <f t="shared" si="151"/>
        <v>1071.7460000000001</v>
      </c>
      <c r="AX74" s="223">
        <f t="shared" si="152"/>
        <v>1071.7460000000001</v>
      </c>
      <c r="AY74" s="223">
        <f t="shared" si="153"/>
        <v>0</v>
      </c>
      <c r="AZ74" s="223">
        <f t="shared" si="154"/>
        <v>0</v>
      </c>
      <c r="BA74" s="223">
        <f t="shared" si="155"/>
        <v>0</v>
      </c>
      <c r="BB74" s="223">
        <f t="shared" si="159"/>
        <v>2143.4920000000002</v>
      </c>
      <c r="BC74" s="289">
        <f t="shared" si="156"/>
        <v>1</v>
      </c>
      <c r="BD74" s="17"/>
      <c r="BF74" s="198"/>
      <c r="BG74" s="198"/>
      <c r="BH74" s="198"/>
      <c r="BI74" s="198"/>
      <c r="BJ74" s="198"/>
      <c r="BK74" s="198"/>
      <c r="BL74" s="198"/>
      <c r="BM74" s="198"/>
      <c r="CF74" s="9"/>
      <c r="CG74" s="9"/>
      <c r="CK74" s="9"/>
      <c r="CW74" s="101"/>
    </row>
    <row r="75" spans="2:103" s="1" customFormat="1" ht="22.5" customHeight="1">
      <c r="B75" s="15"/>
      <c r="C75" s="102">
        <v>15</v>
      </c>
      <c r="D75" s="102" t="s">
        <v>171</v>
      </c>
      <c r="E75" s="103" t="s">
        <v>1151</v>
      </c>
      <c r="F75" s="499" t="s">
        <v>1321</v>
      </c>
      <c r="G75" s="499"/>
      <c r="H75" s="499"/>
      <c r="I75" s="499"/>
      <c r="J75" s="104" t="s">
        <v>184</v>
      </c>
      <c r="K75" s="223"/>
      <c r="L75" s="223"/>
      <c r="M75" s="223">
        <v>1</v>
      </c>
      <c r="N75" s="223"/>
      <c r="O75" s="223"/>
      <c r="P75" s="428">
        <f t="shared" si="130"/>
        <v>1</v>
      </c>
      <c r="Q75" s="278">
        <v>0</v>
      </c>
      <c r="R75" s="223">
        <v>0</v>
      </c>
      <c r="S75" s="223">
        <v>0</v>
      </c>
      <c r="T75" s="223">
        <v>0</v>
      </c>
      <c r="U75" s="223">
        <v>0</v>
      </c>
      <c r="V75" s="257">
        <f t="shared" si="131"/>
        <v>0</v>
      </c>
      <c r="W75" s="289">
        <f t="shared" si="132"/>
        <v>0</v>
      </c>
      <c r="X75" s="278">
        <f t="shared" si="133"/>
        <v>0</v>
      </c>
      <c r="Y75" s="223">
        <f t="shared" si="134"/>
        <v>0</v>
      </c>
      <c r="Z75" s="223">
        <f t="shared" si="135"/>
        <v>1</v>
      </c>
      <c r="AA75" s="223">
        <f t="shared" si="136"/>
        <v>0</v>
      </c>
      <c r="AB75" s="223">
        <f t="shared" si="137"/>
        <v>0</v>
      </c>
      <c r="AC75" s="257">
        <f t="shared" si="138"/>
        <v>1</v>
      </c>
      <c r="AD75" s="289">
        <f t="shared" si="139"/>
        <v>1</v>
      </c>
      <c r="AE75" s="258">
        <v>713.7</v>
      </c>
      <c r="AF75" s="258">
        <v>713.7</v>
      </c>
      <c r="AG75" s="258">
        <v>713.7</v>
      </c>
      <c r="AH75" s="258">
        <v>713.7</v>
      </c>
      <c r="AI75" s="258">
        <v>713.7</v>
      </c>
      <c r="AJ75" s="223">
        <f t="shared" si="140"/>
        <v>0</v>
      </c>
      <c r="AK75" s="223">
        <f t="shared" si="141"/>
        <v>0</v>
      </c>
      <c r="AL75" s="223">
        <f t="shared" si="142"/>
        <v>713.7</v>
      </c>
      <c r="AM75" s="223">
        <f t="shared" si="143"/>
        <v>0</v>
      </c>
      <c r="AN75" s="223">
        <f t="shared" si="144"/>
        <v>0</v>
      </c>
      <c r="AO75" s="297">
        <f t="shared" si="157"/>
        <v>713.7</v>
      </c>
      <c r="AP75" s="278">
        <f t="shared" si="145"/>
        <v>0</v>
      </c>
      <c r="AQ75" s="223">
        <f t="shared" si="146"/>
        <v>0</v>
      </c>
      <c r="AR75" s="223">
        <f t="shared" si="147"/>
        <v>0</v>
      </c>
      <c r="AS75" s="223">
        <f t="shared" si="148"/>
        <v>0</v>
      </c>
      <c r="AT75" s="223">
        <f t="shared" si="149"/>
        <v>0</v>
      </c>
      <c r="AU75" s="223">
        <f t="shared" si="158"/>
        <v>0</v>
      </c>
      <c r="AV75" s="289">
        <f t="shared" si="150"/>
        <v>0</v>
      </c>
      <c r="AW75" s="278">
        <f t="shared" si="151"/>
        <v>0</v>
      </c>
      <c r="AX75" s="223">
        <f t="shared" si="152"/>
        <v>0</v>
      </c>
      <c r="AY75" s="223">
        <f t="shared" si="153"/>
        <v>713.7</v>
      </c>
      <c r="AZ75" s="223">
        <f t="shared" si="154"/>
        <v>0</v>
      </c>
      <c r="BA75" s="223">
        <f t="shared" si="155"/>
        <v>0</v>
      </c>
      <c r="BB75" s="223">
        <f t="shared" si="159"/>
        <v>713.7</v>
      </c>
      <c r="BC75" s="289">
        <f t="shared" si="156"/>
        <v>1</v>
      </c>
      <c r="BD75" s="17"/>
      <c r="BF75" s="198"/>
      <c r="BG75" s="198"/>
      <c r="BH75" s="198"/>
      <c r="BI75" s="198"/>
      <c r="BJ75" s="198"/>
      <c r="BK75" s="198"/>
      <c r="BL75" s="198"/>
      <c r="BM75" s="198"/>
      <c r="CF75" s="9"/>
      <c r="CG75" s="9"/>
      <c r="CK75" s="9"/>
      <c r="CW75" s="101"/>
    </row>
    <row r="76" spans="2:103" s="1" customFormat="1" ht="22.5" customHeight="1">
      <c r="B76" s="15"/>
      <c r="C76" s="102">
        <v>16</v>
      </c>
      <c r="D76" s="102" t="s">
        <v>171</v>
      </c>
      <c r="E76" s="103" t="s">
        <v>1153</v>
      </c>
      <c r="F76" s="499" t="s">
        <v>1322</v>
      </c>
      <c r="G76" s="499"/>
      <c r="H76" s="499"/>
      <c r="I76" s="499"/>
      <c r="J76" s="104" t="s">
        <v>184</v>
      </c>
      <c r="K76" s="223"/>
      <c r="L76" s="223"/>
      <c r="M76" s="223"/>
      <c r="N76" s="223">
        <v>1</v>
      </c>
      <c r="O76" s="223"/>
      <c r="P76" s="428">
        <f t="shared" si="130"/>
        <v>1</v>
      </c>
      <c r="Q76" s="278">
        <v>0</v>
      </c>
      <c r="R76" s="223">
        <v>0</v>
      </c>
      <c r="S76" s="223">
        <v>0</v>
      </c>
      <c r="T76" s="223">
        <v>0</v>
      </c>
      <c r="U76" s="223">
        <v>0</v>
      </c>
      <c r="V76" s="257">
        <f t="shared" si="131"/>
        <v>0</v>
      </c>
      <c r="W76" s="289">
        <f t="shared" si="132"/>
        <v>0</v>
      </c>
      <c r="X76" s="278">
        <f t="shared" si="133"/>
        <v>0</v>
      </c>
      <c r="Y76" s="223">
        <f t="shared" si="134"/>
        <v>0</v>
      </c>
      <c r="Z76" s="223">
        <f t="shared" si="135"/>
        <v>0</v>
      </c>
      <c r="AA76" s="223">
        <f t="shared" si="136"/>
        <v>1</v>
      </c>
      <c r="AB76" s="223">
        <f t="shared" si="137"/>
        <v>0</v>
      </c>
      <c r="AC76" s="257">
        <f t="shared" si="138"/>
        <v>1</v>
      </c>
      <c r="AD76" s="289">
        <f t="shared" si="139"/>
        <v>1</v>
      </c>
      <c r="AE76" s="258">
        <v>765.36200000000008</v>
      </c>
      <c r="AF76" s="258">
        <v>765.36200000000008</v>
      </c>
      <c r="AG76" s="258">
        <v>765.36200000000008</v>
      </c>
      <c r="AH76" s="258">
        <v>765.36200000000008</v>
      </c>
      <c r="AI76" s="258">
        <v>765.36200000000008</v>
      </c>
      <c r="AJ76" s="223">
        <f t="shared" si="140"/>
        <v>0</v>
      </c>
      <c r="AK76" s="223">
        <f t="shared" si="141"/>
        <v>0</v>
      </c>
      <c r="AL76" s="223">
        <f t="shared" si="142"/>
        <v>0</v>
      </c>
      <c r="AM76" s="223">
        <f t="shared" si="143"/>
        <v>765.36199999999997</v>
      </c>
      <c r="AN76" s="223">
        <f t="shared" si="144"/>
        <v>0</v>
      </c>
      <c r="AO76" s="297">
        <f t="shared" si="157"/>
        <v>765.36199999999997</v>
      </c>
      <c r="AP76" s="278">
        <f t="shared" si="145"/>
        <v>0</v>
      </c>
      <c r="AQ76" s="223">
        <f t="shared" si="146"/>
        <v>0</v>
      </c>
      <c r="AR76" s="223">
        <f t="shared" si="147"/>
        <v>0</v>
      </c>
      <c r="AS76" s="223">
        <f t="shared" si="148"/>
        <v>0</v>
      </c>
      <c r="AT76" s="223">
        <f t="shared" si="149"/>
        <v>0</v>
      </c>
      <c r="AU76" s="223">
        <f t="shared" si="158"/>
        <v>0</v>
      </c>
      <c r="AV76" s="289">
        <f t="shared" si="150"/>
        <v>0</v>
      </c>
      <c r="AW76" s="278">
        <f t="shared" si="151"/>
        <v>0</v>
      </c>
      <c r="AX76" s="223">
        <f t="shared" si="152"/>
        <v>0</v>
      </c>
      <c r="AY76" s="223">
        <f t="shared" si="153"/>
        <v>0</v>
      </c>
      <c r="AZ76" s="223">
        <f t="shared" si="154"/>
        <v>765.36199999999997</v>
      </c>
      <c r="BA76" s="223">
        <f t="shared" si="155"/>
        <v>0</v>
      </c>
      <c r="BB76" s="223">
        <f t="shared" si="159"/>
        <v>765.36199999999997</v>
      </c>
      <c r="BC76" s="289">
        <f t="shared" si="156"/>
        <v>1</v>
      </c>
      <c r="BD76" s="17"/>
      <c r="BF76" s="198"/>
      <c r="BG76" s="198"/>
      <c r="BH76" s="198"/>
      <c r="BI76" s="198"/>
      <c r="BJ76" s="198"/>
      <c r="BK76" s="198"/>
      <c r="BL76" s="198"/>
      <c r="BM76" s="198"/>
      <c r="CF76" s="9"/>
      <c r="CG76" s="9"/>
      <c r="CK76" s="9"/>
      <c r="CW76" s="101"/>
    </row>
    <row r="77" spans="2:103" s="1" customFormat="1" ht="22.5" customHeight="1">
      <c r="B77" s="15"/>
      <c r="C77" s="102">
        <v>17</v>
      </c>
      <c r="D77" s="102" t="s">
        <v>171</v>
      </c>
      <c r="E77" s="103" t="s">
        <v>1153</v>
      </c>
      <c r="F77" s="499" t="s">
        <v>1327</v>
      </c>
      <c r="G77" s="499"/>
      <c r="H77" s="499"/>
      <c r="I77" s="499"/>
      <c r="J77" s="104" t="s">
        <v>184</v>
      </c>
      <c r="K77" s="223"/>
      <c r="L77" s="223"/>
      <c r="M77" s="223"/>
      <c r="N77" s="223">
        <v>2</v>
      </c>
      <c r="O77" s="223"/>
      <c r="P77" s="428">
        <f>SUM(K77:O77)</f>
        <v>2</v>
      </c>
      <c r="Q77" s="278">
        <v>0</v>
      </c>
      <c r="R77" s="223">
        <v>0</v>
      </c>
      <c r="S77" s="223">
        <v>0</v>
      </c>
      <c r="T77" s="223">
        <v>0</v>
      </c>
      <c r="U77" s="223">
        <v>0</v>
      </c>
      <c r="V77" s="257">
        <f>SUM(Q77:U77)</f>
        <v>0</v>
      </c>
      <c r="W77" s="289">
        <f t="shared" si="132"/>
        <v>0</v>
      </c>
      <c r="X77" s="278">
        <f t="shared" si="133"/>
        <v>0</v>
      </c>
      <c r="Y77" s="223">
        <f t="shared" si="134"/>
        <v>0</v>
      </c>
      <c r="Z77" s="223">
        <f t="shared" si="135"/>
        <v>0</v>
      </c>
      <c r="AA77" s="223">
        <f t="shared" si="136"/>
        <v>2</v>
      </c>
      <c r="AB77" s="223">
        <f t="shared" si="137"/>
        <v>0</v>
      </c>
      <c r="AC77" s="257">
        <f>SUM(X77:AB77)</f>
        <v>2</v>
      </c>
      <c r="AD77" s="289">
        <f t="shared" si="139"/>
        <v>1</v>
      </c>
      <c r="AE77" s="258">
        <v>1121.4970000000001</v>
      </c>
      <c r="AF77" s="258">
        <v>1121.4970000000001</v>
      </c>
      <c r="AG77" s="258">
        <v>1121.4970000000001</v>
      </c>
      <c r="AH77" s="258">
        <v>1121.4970000000001</v>
      </c>
      <c r="AI77" s="258">
        <v>1121.4970000000001</v>
      </c>
      <c r="AJ77" s="223">
        <f t="shared" si="140"/>
        <v>0</v>
      </c>
      <c r="AK77" s="223">
        <f t="shared" si="141"/>
        <v>0</v>
      </c>
      <c r="AL77" s="223">
        <f t="shared" si="142"/>
        <v>0</v>
      </c>
      <c r="AM77" s="223">
        <f t="shared" si="143"/>
        <v>2242.9940000000001</v>
      </c>
      <c r="AN77" s="223">
        <f t="shared" si="144"/>
        <v>0</v>
      </c>
      <c r="AO77" s="297">
        <f>SUM(AJ77:AN77)</f>
        <v>2242.9940000000001</v>
      </c>
      <c r="AP77" s="278">
        <f t="shared" si="145"/>
        <v>0</v>
      </c>
      <c r="AQ77" s="223">
        <f t="shared" si="146"/>
        <v>0</v>
      </c>
      <c r="AR77" s="223">
        <f t="shared" si="147"/>
        <v>0</v>
      </c>
      <c r="AS77" s="223">
        <f t="shared" si="148"/>
        <v>0</v>
      </c>
      <c r="AT77" s="223">
        <f t="shared" si="149"/>
        <v>0</v>
      </c>
      <c r="AU77" s="223">
        <f>SUM(AP77:AT77)</f>
        <v>0</v>
      </c>
      <c r="AV77" s="289">
        <f t="shared" si="150"/>
        <v>0</v>
      </c>
      <c r="AW77" s="278">
        <f t="shared" si="151"/>
        <v>0</v>
      </c>
      <c r="AX77" s="223">
        <f t="shared" si="152"/>
        <v>0</v>
      </c>
      <c r="AY77" s="223">
        <f t="shared" si="153"/>
        <v>0</v>
      </c>
      <c r="AZ77" s="223">
        <f t="shared" si="154"/>
        <v>2242.9940000000001</v>
      </c>
      <c r="BA77" s="223">
        <f t="shared" si="155"/>
        <v>0</v>
      </c>
      <c r="BB77" s="223">
        <f>SUM(AW77:BA77)</f>
        <v>2242.9940000000001</v>
      </c>
      <c r="BC77" s="289">
        <f t="shared" si="156"/>
        <v>1</v>
      </c>
      <c r="BD77" s="17"/>
      <c r="BF77" s="198"/>
      <c r="BG77" s="198"/>
      <c r="BH77" s="198"/>
      <c r="BI77" s="198"/>
      <c r="BJ77" s="198"/>
      <c r="BK77" s="198"/>
      <c r="BL77" s="198"/>
      <c r="BM77" s="198"/>
      <c r="CF77" s="9"/>
      <c r="CG77" s="9"/>
      <c r="CK77" s="9"/>
      <c r="CW77" s="101"/>
    </row>
    <row r="78" spans="2:103" s="1" customFormat="1" ht="25.5" customHeight="1">
      <c r="B78" s="15"/>
      <c r="C78" s="93">
        <v>18</v>
      </c>
      <c r="D78" s="93" t="s">
        <v>149</v>
      </c>
      <c r="E78" s="94" t="s">
        <v>1323</v>
      </c>
      <c r="F78" s="498" t="s">
        <v>1324</v>
      </c>
      <c r="G78" s="498"/>
      <c r="H78" s="498"/>
      <c r="I78" s="498"/>
      <c r="J78" s="95" t="s">
        <v>168</v>
      </c>
      <c r="K78" s="211">
        <f>(0.6+1.5+1.5+0.6)*13*0.15+(1.5+2.095+2.095)*0.15+(2.4+2.4+4.8+4.8)</f>
        <v>23.4435</v>
      </c>
      <c r="L78" s="211">
        <f>(0.6+1.5+1.5+0.6)*17*0.15+(1.5+1.5+2.095+2.095)*0.15+(2.4+2.4+4.8+4.8)+(1.2+1.2+1.5+1.5)*0.15*2</f>
        <v>27.808499999999999</v>
      </c>
      <c r="M78" s="211">
        <f>(0.6+1.5+1.5+0.6)*26*0.15+(1.5+1.5+2.6+2.6)*2*0.15+(2.4+2.4+4.8+4.8)+(1.2+1.2+1.5+1.5)*0.15*3</f>
        <v>35.669999999999995</v>
      </c>
      <c r="N78" s="211">
        <f>(0.9+0.9+1.8+1.8)*0.15*10+(1.2+1.2+1.8+1.8)*0.15*15+(0.9+0.9+1.2+1.2)*0.15*13+(3.6+3.6+1.6+1.6)*0.15+(1.2+1.2+0.6+0.6)*0.15+(0.9+0.9+0.9+0.9)*0.15+2+(6.4*0.15)+(1.35+1.35+1.6+1.6)*0.15+(1.1+1.1+1.6+1.6)*0.15</f>
        <v>37.085000000000001</v>
      </c>
      <c r="O78" s="211">
        <f>(1.425+1.425+2.4+2.4)*0.15*30+(1.675+1.675+2.5+2.5)*0.15*1</f>
        <v>35.677499999999995</v>
      </c>
      <c r="P78" s="306">
        <f t="shared" si="130"/>
        <v>159.68450000000001</v>
      </c>
      <c r="Q78" s="277">
        <v>0</v>
      </c>
      <c r="R78" s="211">
        <v>0</v>
      </c>
      <c r="S78" s="211">
        <v>0</v>
      </c>
      <c r="T78" s="211">
        <v>0</v>
      </c>
      <c r="U78" s="211">
        <v>0</v>
      </c>
      <c r="V78" s="220">
        <f t="shared" ref="V78" si="160">SUM(Q78:U78)</f>
        <v>0</v>
      </c>
      <c r="W78" s="289">
        <f t="shared" si="132"/>
        <v>0</v>
      </c>
      <c r="X78" s="277">
        <f t="shared" si="133"/>
        <v>23.4435</v>
      </c>
      <c r="Y78" s="211">
        <f t="shared" si="134"/>
        <v>27.808499999999999</v>
      </c>
      <c r="Z78" s="211">
        <f t="shared" si="135"/>
        <v>35.669999999999995</v>
      </c>
      <c r="AA78" s="211">
        <f t="shared" si="136"/>
        <v>37.085000000000001</v>
      </c>
      <c r="AB78" s="211">
        <f t="shared" si="137"/>
        <v>35.677499999999995</v>
      </c>
      <c r="AC78" s="220">
        <f t="shared" ref="AC78" si="161">SUM(X78:AB78)</f>
        <v>159.68450000000001</v>
      </c>
      <c r="AD78" s="289">
        <f t="shared" si="139"/>
        <v>1</v>
      </c>
      <c r="AE78" s="221">
        <v>11</v>
      </c>
      <c r="AF78" s="221">
        <v>11</v>
      </c>
      <c r="AG78" s="221">
        <v>11</v>
      </c>
      <c r="AH78" s="221">
        <v>11</v>
      </c>
      <c r="AI78" s="221">
        <v>11</v>
      </c>
      <c r="AJ78" s="211">
        <f t="shared" si="140"/>
        <v>257.87900000000002</v>
      </c>
      <c r="AK78" s="211">
        <f t="shared" si="141"/>
        <v>305.89400000000001</v>
      </c>
      <c r="AL78" s="211">
        <f t="shared" si="142"/>
        <v>392.37</v>
      </c>
      <c r="AM78" s="211">
        <f t="shared" si="143"/>
        <v>407.935</v>
      </c>
      <c r="AN78" s="211">
        <f t="shared" si="144"/>
        <v>392.45299999999997</v>
      </c>
      <c r="AO78" s="295">
        <f t="shared" si="157"/>
        <v>1756.5309999999999</v>
      </c>
      <c r="AP78" s="277">
        <f t="shared" si="145"/>
        <v>0</v>
      </c>
      <c r="AQ78" s="211">
        <f t="shared" si="146"/>
        <v>0</v>
      </c>
      <c r="AR78" s="211">
        <f t="shared" si="147"/>
        <v>0</v>
      </c>
      <c r="AS78" s="211">
        <f t="shared" si="148"/>
        <v>0</v>
      </c>
      <c r="AT78" s="211">
        <f t="shared" si="149"/>
        <v>0</v>
      </c>
      <c r="AU78" s="211">
        <f t="shared" ref="AU78:AU79" si="162">SUM(AP78:AT78)</f>
        <v>0</v>
      </c>
      <c r="AV78" s="289">
        <f t="shared" si="150"/>
        <v>0</v>
      </c>
      <c r="AW78" s="277">
        <f t="shared" si="151"/>
        <v>257.87900000000002</v>
      </c>
      <c r="AX78" s="211">
        <f t="shared" si="152"/>
        <v>305.89400000000001</v>
      </c>
      <c r="AY78" s="211">
        <f t="shared" si="153"/>
        <v>392.37</v>
      </c>
      <c r="AZ78" s="211">
        <f t="shared" si="154"/>
        <v>407.935</v>
      </c>
      <c r="BA78" s="211">
        <f t="shared" si="155"/>
        <v>392.45299999999997</v>
      </c>
      <c r="BB78" s="211">
        <f t="shared" ref="BB78:BB79" si="163">SUM(AW78:BA78)</f>
        <v>1756.5309999999999</v>
      </c>
      <c r="BC78" s="289">
        <f t="shared" si="156"/>
        <v>1</v>
      </c>
      <c r="BD78" s="17"/>
      <c r="BF78" s="198"/>
      <c r="BG78" s="198"/>
      <c r="BH78" s="198"/>
      <c r="BI78" s="198"/>
      <c r="BJ78" s="198"/>
      <c r="BK78" s="198"/>
      <c r="BL78" s="198"/>
      <c r="BM78" s="198"/>
      <c r="CF78" s="9"/>
      <c r="CG78" s="9"/>
      <c r="CK78" s="9"/>
      <c r="CW78" s="101"/>
    </row>
    <row r="79" spans="2:103" s="1" customFormat="1" ht="20.25" customHeight="1">
      <c r="B79" s="15"/>
      <c r="C79" s="93">
        <v>19</v>
      </c>
      <c r="D79" s="93" t="s">
        <v>149</v>
      </c>
      <c r="E79" s="94" t="s">
        <v>1325</v>
      </c>
      <c r="F79" s="498" t="s">
        <v>1326</v>
      </c>
      <c r="G79" s="498"/>
      <c r="H79" s="498"/>
      <c r="I79" s="498"/>
      <c r="J79" s="95" t="s">
        <v>168</v>
      </c>
      <c r="K79" s="211">
        <v>41.6</v>
      </c>
      <c r="L79" s="211">
        <f>(0.6*1.5)*10+(1.2*1.5)*2+(1.5*1.8)*10+(1.5*2.6)*4</f>
        <v>55.2</v>
      </c>
      <c r="M79" s="211">
        <f>1.5*1.8*14+(1.5*2.6)*2</f>
        <v>45.600000000000009</v>
      </c>
      <c r="N79" s="211">
        <v>0</v>
      </c>
      <c r="O79" s="211">
        <v>0</v>
      </c>
      <c r="P79" s="306">
        <f>SUM(K79:O79)</f>
        <v>142.40000000000003</v>
      </c>
      <c r="Q79" s="277">
        <v>0</v>
      </c>
      <c r="R79" s="211">
        <v>0</v>
      </c>
      <c r="S79" s="211">
        <v>0</v>
      </c>
      <c r="T79" s="211">
        <v>0</v>
      </c>
      <c r="U79" s="211">
        <v>0</v>
      </c>
      <c r="V79" s="220">
        <f>SUM(Q79:U79)</f>
        <v>0</v>
      </c>
      <c r="W79" s="289">
        <f t="shared" si="132"/>
        <v>0</v>
      </c>
      <c r="X79" s="277">
        <f t="shared" si="133"/>
        <v>41.6</v>
      </c>
      <c r="Y79" s="211">
        <f t="shared" si="134"/>
        <v>55.2</v>
      </c>
      <c r="Z79" s="211">
        <f t="shared" si="135"/>
        <v>45.600000000000009</v>
      </c>
      <c r="AA79" s="211">
        <f t="shared" si="136"/>
        <v>0</v>
      </c>
      <c r="AB79" s="211">
        <f t="shared" si="137"/>
        <v>0</v>
      </c>
      <c r="AC79" s="220">
        <f>SUM(X79:AB79)</f>
        <v>142.40000000000003</v>
      </c>
      <c r="AD79" s="289">
        <f t="shared" si="139"/>
        <v>1</v>
      </c>
      <c r="AE79" s="221">
        <v>74.819999999999993</v>
      </c>
      <c r="AF79" s="221">
        <v>74.819999999999993</v>
      </c>
      <c r="AG79" s="221">
        <v>74.819999999999993</v>
      </c>
      <c r="AH79" s="221">
        <v>74.819999999999993</v>
      </c>
      <c r="AI79" s="221">
        <v>74.819999999999993</v>
      </c>
      <c r="AJ79" s="211">
        <f t="shared" si="140"/>
        <v>3112.5120000000002</v>
      </c>
      <c r="AK79" s="211">
        <f t="shared" si="141"/>
        <v>4130.0640000000003</v>
      </c>
      <c r="AL79" s="211">
        <f t="shared" si="142"/>
        <v>3411.7919999999999</v>
      </c>
      <c r="AM79" s="211">
        <f t="shared" si="143"/>
        <v>0</v>
      </c>
      <c r="AN79" s="211">
        <f t="shared" si="144"/>
        <v>0</v>
      </c>
      <c r="AO79" s="295">
        <f t="shared" si="157"/>
        <v>10654.368</v>
      </c>
      <c r="AP79" s="277">
        <f t="shared" si="145"/>
        <v>0</v>
      </c>
      <c r="AQ79" s="211">
        <f t="shared" si="146"/>
        <v>0</v>
      </c>
      <c r="AR79" s="211">
        <f t="shared" si="147"/>
        <v>0</v>
      </c>
      <c r="AS79" s="211">
        <f t="shared" si="148"/>
        <v>0</v>
      </c>
      <c r="AT79" s="211">
        <f t="shared" si="149"/>
        <v>0</v>
      </c>
      <c r="AU79" s="211">
        <f t="shared" si="162"/>
        <v>0</v>
      </c>
      <c r="AV79" s="289">
        <f t="shared" si="150"/>
        <v>0</v>
      </c>
      <c r="AW79" s="277">
        <f t="shared" si="151"/>
        <v>3112.5120000000002</v>
      </c>
      <c r="AX79" s="211">
        <f t="shared" si="152"/>
        <v>4130.0640000000003</v>
      </c>
      <c r="AY79" s="211">
        <f t="shared" si="153"/>
        <v>3411.7919999999999</v>
      </c>
      <c r="AZ79" s="211">
        <f t="shared" si="154"/>
        <v>0</v>
      </c>
      <c r="BA79" s="211">
        <f t="shared" si="155"/>
        <v>0</v>
      </c>
      <c r="BB79" s="211">
        <f t="shared" si="163"/>
        <v>10654.368</v>
      </c>
      <c r="BC79" s="289">
        <f t="shared" si="156"/>
        <v>1</v>
      </c>
      <c r="BD79" s="17"/>
      <c r="BF79" s="198"/>
      <c r="BG79" s="198"/>
      <c r="BH79" s="198"/>
      <c r="BI79" s="198"/>
      <c r="BJ79" s="198"/>
      <c r="BK79" s="198"/>
      <c r="BL79" s="198"/>
      <c r="BM79" s="198"/>
      <c r="CF79" s="9"/>
      <c r="CG79" s="9"/>
      <c r="CK79" s="9"/>
      <c r="CW79" s="101"/>
    </row>
    <row r="80" spans="2:103" s="1" customFormat="1" ht="6.95" customHeight="1">
      <c r="B80" s="23"/>
      <c r="C80" s="24"/>
      <c r="D80" s="24"/>
      <c r="E80" s="24"/>
      <c r="F80" s="24"/>
      <c r="G80" s="24"/>
      <c r="H80" s="24"/>
      <c r="I80" s="24"/>
      <c r="J80" s="24"/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  <c r="AK80" s="259"/>
      <c r="AL80" s="259"/>
      <c r="AM80" s="259"/>
      <c r="AN80" s="259"/>
      <c r="AO80" s="259"/>
      <c r="AP80" s="259"/>
      <c r="AQ80" s="259"/>
      <c r="AR80" s="259"/>
      <c r="AS80" s="259"/>
      <c r="AT80" s="259"/>
      <c r="AU80" s="259"/>
      <c r="AV80" s="259"/>
      <c r="AW80" s="259"/>
      <c r="AX80" s="259"/>
      <c r="AY80" s="259"/>
      <c r="AZ80" s="259"/>
      <c r="BA80" s="259"/>
      <c r="BB80" s="259"/>
      <c r="BC80" s="259"/>
      <c r="BD80" s="25"/>
    </row>
  </sheetData>
  <autoFilter ref="C17:BC17">
    <filterColumn colId="3" showButton="0"/>
    <filterColumn colId="4" showButton="0"/>
    <filterColumn colId="5" showButton="0"/>
  </autoFilter>
  <mergeCells count="62">
    <mergeCell ref="F25:I25"/>
    <mergeCell ref="F26:I26"/>
    <mergeCell ref="F42:I42"/>
    <mergeCell ref="F28:I28"/>
    <mergeCell ref="F31:I31"/>
    <mergeCell ref="F32:I32"/>
    <mergeCell ref="F33:I33"/>
    <mergeCell ref="F38:I38"/>
    <mergeCell ref="F39:I39"/>
    <mergeCell ref="F27:I27"/>
    <mergeCell ref="F35:I35"/>
    <mergeCell ref="F36:I36"/>
    <mergeCell ref="F40:I40"/>
    <mergeCell ref="F41:I41"/>
    <mergeCell ref="F37:I37"/>
    <mergeCell ref="C5:AJ5"/>
    <mergeCell ref="F7:AJ7"/>
    <mergeCell ref="F8:AJ8"/>
    <mergeCell ref="F9:AJ9"/>
    <mergeCell ref="F17:I17"/>
    <mergeCell ref="K16:P16"/>
    <mergeCell ref="Q16:W16"/>
    <mergeCell ref="X16:AD16"/>
    <mergeCell ref="AJ16:AO16"/>
    <mergeCell ref="F21:I21"/>
    <mergeCell ref="F22:I22"/>
    <mergeCell ref="F23:I23"/>
    <mergeCell ref="F24:I24"/>
    <mergeCell ref="AW16:BC16"/>
    <mergeCell ref="AP16:AV16"/>
    <mergeCell ref="F79:I79"/>
    <mergeCell ref="F77:I77"/>
    <mergeCell ref="F72:I72"/>
    <mergeCell ref="F73:I73"/>
    <mergeCell ref="F74:I74"/>
    <mergeCell ref="F75:I75"/>
    <mergeCell ref="F76:I76"/>
    <mergeCell ref="F78:I78"/>
    <mergeCell ref="F71:I71"/>
    <mergeCell ref="F55:I55"/>
    <mergeCell ref="F60:I60"/>
    <mergeCell ref="F61:I61"/>
    <mergeCell ref="F70:I70"/>
    <mergeCell ref="F69:I69"/>
    <mergeCell ref="F65:I65"/>
    <mergeCell ref="F66:I66"/>
    <mergeCell ref="F67:I67"/>
    <mergeCell ref="F54:I54"/>
    <mergeCell ref="F43:I43"/>
    <mergeCell ref="F68:I68"/>
    <mergeCell ref="F62:I62"/>
    <mergeCell ref="F63:I63"/>
    <mergeCell ref="F49:I49"/>
    <mergeCell ref="F50:I50"/>
    <mergeCell ref="F51:I51"/>
    <mergeCell ref="F52:I52"/>
    <mergeCell ref="F53:I53"/>
    <mergeCell ref="F44:I44"/>
    <mergeCell ref="F45:I45"/>
    <mergeCell ref="F46:I46"/>
    <mergeCell ref="F47:I47"/>
    <mergeCell ref="F48:I48"/>
  </mergeCells>
  <conditionalFormatting sqref="W21:W28">
    <cfRule type="dataBar" priority="13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{ACBA4A6D-14D9-49DA-8D60-F66C94AD2758}</x14:id>
        </ext>
      </extLst>
    </cfRule>
  </conditionalFormatting>
  <conditionalFormatting sqref="W21:W28">
    <cfRule type="cellIs" dxfId="114" priority="134" operator="lessThan">
      <formula>0</formula>
    </cfRule>
  </conditionalFormatting>
  <conditionalFormatting sqref="W31:W33">
    <cfRule type="dataBar" priority="13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{24C39A26-2AC6-4586-A94A-B3348E82B8CF}</x14:id>
        </ext>
      </extLst>
    </cfRule>
  </conditionalFormatting>
  <conditionalFormatting sqref="W31:W33">
    <cfRule type="cellIs" dxfId="113" priority="132" operator="lessThan">
      <formula>0</formula>
    </cfRule>
  </conditionalFormatting>
  <conditionalFormatting sqref="W35:W55">
    <cfRule type="dataBar" priority="13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{216D778A-9F52-4D31-B905-723F15CA475A}</x14:id>
        </ext>
      </extLst>
    </cfRule>
  </conditionalFormatting>
  <conditionalFormatting sqref="W35:W55">
    <cfRule type="cellIs" dxfId="112" priority="130" operator="lessThan">
      <formula>0</formula>
    </cfRule>
  </conditionalFormatting>
  <conditionalFormatting sqref="W60:W63">
    <cfRule type="dataBar" priority="12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{85AC11E6-C37B-4A7F-A13D-ABFFDD9158B7}</x14:id>
        </ext>
      </extLst>
    </cfRule>
  </conditionalFormatting>
  <conditionalFormatting sqref="W60:W63">
    <cfRule type="cellIs" dxfId="111" priority="128" operator="lessThan">
      <formula>0</formula>
    </cfRule>
  </conditionalFormatting>
  <conditionalFormatting sqref="W65:W79">
    <cfRule type="dataBar" priority="12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{CD3E3559-9696-4F6B-90D4-02C7A8452687}</x14:id>
        </ext>
      </extLst>
    </cfRule>
  </conditionalFormatting>
  <conditionalFormatting sqref="W65:W79">
    <cfRule type="cellIs" dxfId="110" priority="126" operator="lessThan">
      <formula>0</formula>
    </cfRule>
  </conditionalFormatting>
  <conditionalFormatting sqref="W16">
    <cfRule type="dataBar" priority="12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{AADFA5E4-7334-4765-A9C4-04E779FEE251}</x14:id>
        </ext>
      </extLst>
    </cfRule>
  </conditionalFormatting>
  <conditionalFormatting sqref="Q21:V79">
    <cfRule type="cellIs" dxfId="109" priority="124" operator="greaterThan">
      <formula>0</formula>
    </cfRule>
  </conditionalFormatting>
  <conditionalFormatting sqref="AD21:AD28">
    <cfRule type="dataBar" priority="12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{32A45EF5-651E-4A9F-B50A-747E8C4FC30B}</x14:id>
        </ext>
      </extLst>
    </cfRule>
  </conditionalFormatting>
  <conditionalFormatting sqref="AD21:AD28">
    <cfRule type="cellIs" dxfId="108" priority="122" operator="lessThan">
      <formula>0</formula>
    </cfRule>
  </conditionalFormatting>
  <conditionalFormatting sqref="X21:AC79">
    <cfRule type="cellIs" dxfId="107" priority="111" operator="lessThan">
      <formula>0</formula>
    </cfRule>
  </conditionalFormatting>
  <conditionalFormatting sqref="K21:P79">
    <cfRule type="cellIs" dxfId="106" priority="110" operator="lessThan">
      <formula>0</formula>
    </cfRule>
  </conditionalFormatting>
  <conditionalFormatting sqref="AD31:AD33">
    <cfRule type="dataBar" priority="10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{27432125-D6FE-4EFD-AA66-303C11F80E8F}</x14:id>
        </ext>
      </extLst>
    </cfRule>
  </conditionalFormatting>
  <conditionalFormatting sqref="AD31:AD33">
    <cfRule type="cellIs" dxfId="105" priority="108" operator="lessThan">
      <formula>0</formula>
    </cfRule>
  </conditionalFormatting>
  <conditionalFormatting sqref="AD35:AD55">
    <cfRule type="dataBar" priority="10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{027E86B8-5A85-4A28-B843-67F9A57A4552}</x14:id>
        </ext>
      </extLst>
    </cfRule>
  </conditionalFormatting>
  <conditionalFormatting sqref="AD35:AD55">
    <cfRule type="cellIs" dxfId="104" priority="106" operator="lessThan">
      <formula>0</formula>
    </cfRule>
  </conditionalFormatting>
  <conditionalFormatting sqref="AD60:AD63">
    <cfRule type="dataBar" priority="10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{F784A010-390F-4D8B-A835-AD10A6455E99}</x14:id>
        </ext>
      </extLst>
    </cfRule>
  </conditionalFormatting>
  <conditionalFormatting sqref="AD60:AD63">
    <cfRule type="cellIs" dxfId="103" priority="104" operator="lessThan">
      <formula>0</formula>
    </cfRule>
  </conditionalFormatting>
  <conditionalFormatting sqref="AD65:AD79">
    <cfRule type="dataBar" priority="10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{52E0A283-5DB3-4077-B121-C3F971DCABC9}</x14:id>
        </ext>
      </extLst>
    </cfRule>
  </conditionalFormatting>
  <conditionalFormatting sqref="AD65:AD79">
    <cfRule type="cellIs" dxfId="102" priority="102" operator="lessThan">
      <formula>0</formula>
    </cfRule>
  </conditionalFormatting>
  <conditionalFormatting sqref="AP21:AT28">
    <cfRule type="cellIs" dxfId="101" priority="101" operator="greaterThan">
      <formula>0</formula>
    </cfRule>
  </conditionalFormatting>
  <conditionalFormatting sqref="AP21:AT28">
    <cfRule type="cellIs" dxfId="100" priority="100" operator="lessThan">
      <formula>0</formula>
    </cfRule>
  </conditionalFormatting>
  <conditionalFormatting sqref="AP31:AT33">
    <cfRule type="cellIs" dxfId="99" priority="99" operator="greaterThan">
      <formula>0</formula>
    </cfRule>
  </conditionalFormatting>
  <conditionalFormatting sqref="AP31:AT33">
    <cfRule type="cellIs" dxfId="98" priority="98" operator="lessThan">
      <formula>0</formula>
    </cfRule>
  </conditionalFormatting>
  <conditionalFormatting sqref="AP60:AT63">
    <cfRule type="cellIs" dxfId="97" priority="97" operator="greaterThan">
      <formula>0</formula>
    </cfRule>
  </conditionalFormatting>
  <conditionalFormatting sqref="AP60:AT63">
    <cfRule type="cellIs" dxfId="96" priority="96" operator="lessThan">
      <formula>0</formula>
    </cfRule>
  </conditionalFormatting>
  <conditionalFormatting sqref="AP18:AU79">
    <cfRule type="cellIs" dxfId="95" priority="95" operator="greaterThan">
      <formula>0</formula>
    </cfRule>
  </conditionalFormatting>
  <conditionalFormatting sqref="AV21">
    <cfRule type="dataBar" priority="9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{36B15A35-2755-4369-BD24-5315BAE0FD66}</x14:id>
        </ext>
      </extLst>
    </cfRule>
  </conditionalFormatting>
  <conditionalFormatting sqref="AV21">
    <cfRule type="colorScale" priority="93">
      <colorScale>
        <cfvo type="min"/>
        <cfvo type="max"/>
        <color rgb="FFF8696B"/>
        <color rgb="FFFCFCFF"/>
      </colorScale>
    </cfRule>
  </conditionalFormatting>
  <conditionalFormatting sqref="AV21">
    <cfRule type="cellIs" dxfId="94" priority="92" operator="lessThan">
      <formula>0</formula>
    </cfRule>
  </conditionalFormatting>
  <conditionalFormatting sqref="AV65:AV79">
    <cfRule type="dataBar" priority="7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{C57DD756-D2D5-4B26-8617-AD6091FB5E6D}</x14:id>
        </ext>
      </extLst>
    </cfRule>
  </conditionalFormatting>
  <conditionalFormatting sqref="AV65:AV79">
    <cfRule type="colorScale" priority="78">
      <colorScale>
        <cfvo type="min"/>
        <cfvo type="max"/>
        <color rgb="FFF8696B"/>
        <color rgb="FFFCFCFF"/>
      </colorScale>
    </cfRule>
  </conditionalFormatting>
  <conditionalFormatting sqref="AV65:AV79">
    <cfRule type="cellIs" dxfId="93" priority="77" operator="lessThan">
      <formula>0</formula>
    </cfRule>
  </conditionalFormatting>
  <conditionalFormatting sqref="AV22:AV28">
    <cfRule type="dataBar" priority="7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{35371246-25EF-4453-A1C0-0F50E0D1C9A5}</x14:id>
        </ext>
      </extLst>
    </cfRule>
  </conditionalFormatting>
  <conditionalFormatting sqref="AV22:AV28">
    <cfRule type="colorScale" priority="75">
      <colorScale>
        <cfvo type="min"/>
        <cfvo type="max"/>
        <color rgb="FFF8696B"/>
        <color rgb="FFFCFCFF"/>
      </colorScale>
    </cfRule>
  </conditionalFormatting>
  <conditionalFormatting sqref="AV22:AV28">
    <cfRule type="cellIs" dxfId="92" priority="74" operator="lessThan">
      <formula>0</formula>
    </cfRule>
  </conditionalFormatting>
  <conditionalFormatting sqref="AV31:AV33">
    <cfRule type="dataBar" priority="7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{FA609622-D34F-46EF-8235-6E3DFC2CFE87}</x14:id>
        </ext>
      </extLst>
    </cfRule>
  </conditionalFormatting>
  <conditionalFormatting sqref="AV31:AV33">
    <cfRule type="colorScale" priority="72">
      <colorScale>
        <cfvo type="min"/>
        <cfvo type="max"/>
        <color rgb="FFF8696B"/>
        <color rgb="FFFCFCFF"/>
      </colorScale>
    </cfRule>
  </conditionalFormatting>
  <conditionalFormatting sqref="AV31:AV33">
    <cfRule type="cellIs" dxfId="91" priority="71" operator="lessThan">
      <formula>0</formula>
    </cfRule>
  </conditionalFormatting>
  <conditionalFormatting sqref="AV35:AV46">
    <cfRule type="dataBar" priority="7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{60CF3E98-9FA1-4501-9FDD-4999728BD03F}</x14:id>
        </ext>
      </extLst>
    </cfRule>
  </conditionalFormatting>
  <conditionalFormatting sqref="AV35:AV46">
    <cfRule type="colorScale" priority="69">
      <colorScale>
        <cfvo type="min"/>
        <cfvo type="max"/>
        <color rgb="FFF8696B"/>
        <color rgb="FFFCFCFF"/>
      </colorScale>
    </cfRule>
  </conditionalFormatting>
  <conditionalFormatting sqref="AV35:AV46">
    <cfRule type="cellIs" dxfId="90" priority="68" operator="lessThan">
      <formula>0</formula>
    </cfRule>
  </conditionalFormatting>
  <conditionalFormatting sqref="AV47:AV55">
    <cfRule type="dataBar" priority="6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{F2B3640B-B7AE-4C07-85FB-D7C8C78F9ACF}</x14:id>
        </ext>
      </extLst>
    </cfRule>
  </conditionalFormatting>
  <conditionalFormatting sqref="AV47:AV55">
    <cfRule type="colorScale" priority="66">
      <colorScale>
        <cfvo type="min"/>
        <cfvo type="max"/>
        <color rgb="FFF8696B"/>
        <color rgb="FFFCFCFF"/>
      </colorScale>
    </cfRule>
  </conditionalFormatting>
  <conditionalFormatting sqref="AV47:AV55">
    <cfRule type="cellIs" dxfId="89" priority="65" operator="lessThan">
      <formula>0</formula>
    </cfRule>
  </conditionalFormatting>
  <conditionalFormatting sqref="AV60:AV63">
    <cfRule type="dataBar" priority="6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{86244A21-B43A-4520-8C77-54AAC56D74BF}</x14:id>
        </ext>
      </extLst>
    </cfRule>
  </conditionalFormatting>
  <conditionalFormatting sqref="AV60:AV63">
    <cfRule type="colorScale" priority="63">
      <colorScale>
        <cfvo type="min"/>
        <cfvo type="max"/>
        <color rgb="FFF8696B"/>
        <color rgb="FFFCFCFF"/>
      </colorScale>
    </cfRule>
  </conditionalFormatting>
  <conditionalFormatting sqref="AV60:AV63">
    <cfRule type="cellIs" dxfId="88" priority="62" operator="lessThan">
      <formula>0</formula>
    </cfRule>
  </conditionalFormatting>
  <conditionalFormatting sqref="AV16">
    <cfRule type="dataBar" priority="6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{318B5800-757B-41B0-8251-750F6A9528A0}</x14:id>
        </ext>
      </extLst>
    </cfRule>
  </conditionalFormatting>
  <conditionalFormatting sqref="AV18">
    <cfRule type="dataBar" priority="6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{47F88794-05E6-4BD0-B2C9-785806E55CE6}</x14:id>
        </ext>
      </extLst>
    </cfRule>
  </conditionalFormatting>
  <conditionalFormatting sqref="AV56:AV58">
    <cfRule type="dataBar" priority="5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{09ED98C0-49E8-47B0-AD82-8D8DCAAF114D}</x14:id>
        </ext>
      </extLst>
    </cfRule>
  </conditionalFormatting>
  <conditionalFormatting sqref="BC21">
    <cfRule type="dataBar" priority="5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{7CDDD6DD-9AB7-451B-87CE-C647EFF567C7}</x14:id>
        </ext>
      </extLst>
    </cfRule>
  </conditionalFormatting>
  <conditionalFormatting sqref="BC21">
    <cfRule type="colorScale" priority="50">
      <colorScale>
        <cfvo type="min"/>
        <cfvo type="max"/>
        <color rgb="FFF8696B"/>
        <color rgb="FFFCFCFF"/>
      </colorScale>
    </cfRule>
  </conditionalFormatting>
  <conditionalFormatting sqref="BC21">
    <cfRule type="cellIs" dxfId="87" priority="49" operator="lessThan">
      <formula>0</formula>
    </cfRule>
  </conditionalFormatting>
  <conditionalFormatting sqref="BC65:BC79">
    <cfRule type="dataBar" priority="4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{90C8D06E-7870-4C6C-9ACA-23DB561435C6}</x14:id>
        </ext>
      </extLst>
    </cfRule>
  </conditionalFormatting>
  <conditionalFormatting sqref="BC65:BC79">
    <cfRule type="colorScale" priority="47">
      <colorScale>
        <cfvo type="min"/>
        <cfvo type="max"/>
        <color rgb="FFF8696B"/>
        <color rgb="FFFCFCFF"/>
      </colorScale>
    </cfRule>
  </conditionalFormatting>
  <conditionalFormatting sqref="BC65:BC79">
    <cfRule type="cellIs" dxfId="86" priority="46" operator="lessThan">
      <formula>0</formula>
    </cfRule>
  </conditionalFormatting>
  <conditionalFormatting sqref="BC18">
    <cfRule type="dataBar" priority="2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{262539AD-16AE-4EB0-8E40-B7E667E2948D}</x14:id>
        </ext>
      </extLst>
    </cfRule>
  </conditionalFormatting>
  <conditionalFormatting sqref="BC56:BC58">
    <cfRule type="dataBar" priority="2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{8F6A72D3-A008-4A85-BD0E-13138192D085}</x14:id>
        </ext>
      </extLst>
    </cfRule>
  </conditionalFormatting>
  <conditionalFormatting sqref="AW18:BB79">
    <cfRule type="cellIs" dxfId="85" priority="27" operator="lessThan">
      <formula>0</formula>
    </cfRule>
  </conditionalFormatting>
  <conditionalFormatting sqref="BC22:BC28">
    <cfRule type="dataBar" priority="2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{80E567DE-7AAB-4B1C-8511-955DF70A6C75}</x14:id>
        </ext>
      </extLst>
    </cfRule>
  </conditionalFormatting>
  <conditionalFormatting sqref="BC22:BC28">
    <cfRule type="colorScale" priority="25">
      <colorScale>
        <cfvo type="min"/>
        <cfvo type="max"/>
        <color rgb="FFF8696B"/>
        <color rgb="FFFCFCFF"/>
      </colorScale>
    </cfRule>
  </conditionalFormatting>
  <conditionalFormatting sqref="BC22:BC28">
    <cfRule type="cellIs" dxfId="84" priority="24" operator="lessThan">
      <formula>0</formula>
    </cfRule>
  </conditionalFormatting>
  <conditionalFormatting sqref="BC33">
    <cfRule type="dataBar" priority="2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{A32B4105-F9C2-4F49-880A-E0EE0240FFA1}</x14:id>
        </ext>
      </extLst>
    </cfRule>
  </conditionalFormatting>
  <conditionalFormatting sqref="BC33">
    <cfRule type="colorScale" priority="22">
      <colorScale>
        <cfvo type="min"/>
        <cfvo type="max"/>
        <color rgb="FFF8696B"/>
        <color rgb="FFFCFCFF"/>
      </colorScale>
    </cfRule>
  </conditionalFormatting>
  <conditionalFormatting sqref="BC33">
    <cfRule type="cellIs" dxfId="83" priority="21" operator="lessThan">
      <formula>0</formula>
    </cfRule>
  </conditionalFormatting>
  <conditionalFormatting sqref="BC31:BC32">
    <cfRule type="dataBar" priority="2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{C375729A-AEB3-4B15-9FED-1C7E4352AD06}</x14:id>
        </ext>
      </extLst>
    </cfRule>
  </conditionalFormatting>
  <conditionalFormatting sqref="BC31:BC32">
    <cfRule type="colorScale" priority="19">
      <colorScale>
        <cfvo type="min"/>
        <cfvo type="max"/>
        <color rgb="FFF8696B"/>
        <color rgb="FFFCFCFF"/>
      </colorScale>
    </cfRule>
  </conditionalFormatting>
  <conditionalFormatting sqref="BC31:BC32">
    <cfRule type="cellIs" dxfId="82" priority="18" operator="lessThan">
      <formula>0</formula>
    </cfRule>
  </conditionalFormatting>
  <conditionalFormatting sqref="BC35:BC55">
    <cfRule type="dataBar" priority="1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{02978AE6-A8AE-4F95-8289-577FB6ACD7B5}</x14:id>
        </ext>
      </extLst>
    </cfRule>
  </conditionalFormatting>
  <conditionalFormatting sqref="BC35:BC55">
    <cfRule type="colorScale" priority="16">
      <colorScale>
        <cfvo type="min"/>
        <cfvo type="max"/>
        <color rgb="FFF8696B"/>
        <color rgb="FFFCFCFF"/>
      </colorScale>
    </cfRule>
  </conditionalFormatting>
  <conditionalFormatting sqref="BC35:BC55">
    <cfRule type="cellIs" dxfId="81" priority="15" operator="lessThan">
      <formula>0</formula>
    </cfRule>
  </conditionalFormatting>
  <conditionalFormatting sqref="BC60:BC63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{0B704DA0-1EBA-4131-8FD1-973D2AF98E3D}</x14:id>
        </ext>
      </extLst>
    </cfRule>
  </conditionalFormatting>
  <conditionalFormatting sqref="BC60:BC63">
    <cfRule type="colorScale" priority="13">
      <colorScale>
        <cfvo type="min"/>
        <cfvo type="max"/>
        <color rgb="FFF8696B"/>
        <color rgb="FFFCFCFF"/>
      </colorScale>
    </cfRule>
  </conditionalFormatting>
  <conditionalFormatting sqref="BC60:BC63">
    <cfRule type="cellIs" dxfId="80" priority="12" operator="lessThan">
      <formula>0</formula>
    </cfRule>
  </conditionalFormatting>
  <conditionalFormatting sqref="AJ18:AO56 AJ59:AO79 AO57:AO58">
    <cfRule type="cellIs" dxfId="79" priority="11" operator="lessThan">
      <formula>0</formula>
    </cfRule>
  </conditionalFormatting>
  <conditionalFormatting sqref="AJ57">
    <cfRule type="cellIs" dxfId="78" priority="10" operator="lessThan">
      <formula>0</formula>
    </cfRule>
  </conditionalFormatting>
  <conditionalFormatting sqref="AK57">
    <cfRule type="cellIs" dxfId="77" priority="9" operator="lessThan">
      <formula>0</formula>
    </cfRule>
  </conditionalFormatting>
  <conditionalFormatting sqref="AL57">
    <cfRule type="cellIs" dxfId="76" priority="8" operator="lessThan">
      <formula>0</formula>
    </cfRule>
  </conditionalFormatting>
  <conditionalFormatting sqref="AM57">
    <cfRule type="cellIs" dxfId="75" priority="7" operator="lessThan">
      <formula>0</formula>
    </cfRule>
  </conditionalFormatting>
  <conditionalFormatting sqref="AN57">
    <cfRule type="cellIs" dxfId="74" priority="6" operator="lessThan">
      <formula>0</formula>
    </cfRule>
  </conditionalFormatting>
  <conditionalFormatting sqref="AJ58">
    <cfRule type="cellIs" dxfId="73" priority="5" operator="lessThan">
      <formula>0</formula>
    </cfRule>
  </conditionalFormatting>
  <conditionalFormatting sqref="AK58">
    <cfRule type="cellIs" dxfId="72" priority="4" operator="lessThan">
      <formula>0</formula>
    </cfRule>
  </conditionalFormatting>
  <conditionalFormatting sqref="AL58">
    <cfRule type="cellIs" dxfId="71" priority="3" operator="lessThan">
      <formula>0</formula>
    </cfRule>
  </conditionalFormatting>
  <conditionalFormatting sqref="AM58">
    <cfRule type="cellIs" dxfId="70" priority="2" operator="lessThan">
      <formula>0</formula>
    </cfRule>
  </conditionalFormatting>
  <conditionalFormatting sqref="AN58">
    <cfRule type="cellIs" dxfId="69" priority="1" operator="lessThan">
      <formula>0</formula>
    </cfRule>
  </conditionalFormatting>
  <pageMargins left="0.58333330000000005" right="0.58333330000000005" top="0.5" bottom="0.46666669999999999" header="0" footer="0"/>
  <pageSetup paperSize="8" scale="94" fitToHeight="100" orientation="landscape" blackAndWhite="1" r:id="rId1"/>
  <headerFooter>
    <oddFooter>&amp;CStrana &amp;P z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CBA4A6D-14D9-49DA-8D60-F66C94AD275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W21:W28</xm:sqref>
        </x14:conditionalFormatting>
        <x14:conditionalFormatting xmlns:xm="http://schemas.microsoft.com/office/excel/2006/main">
          <x14:cfRule type="dataBar" id="{24C39A26-2AC6-4586-A94A-B3348E82B8C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W31:W33</xm:sqref>
        </x14:conditionalFormatting>
        <x14:conditionalFormatting xmlns:xm="http://schemas.microsoft.com/office/excel/2006/main">
          <x14:cfRule type="dataBar" id="{216D778A-9F52-4D31-B905-723F15CA475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W35:W55</xm:sqref>
        </x14:conditionalFormatting>
        <x14:conditionalFormatting xmlns:xm="http://schemas.microsoft.com/office/excel/2006/main">
          <x14:cfRule type="dataBar" id="{85AC11E6-C37B-4A7F-A13D-ABFFDD9158B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W60:W63</xm:sqref>
        </x14:conditionalFormatting>
        <x14:conditionalFormatting xmlns:xm="http://schemas.microsoft.com/office/excel/2006/main">
          <x14:cfRule type="dataBar" id="{CD3E3559-9696-4F6B-90D4-02C7A845268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W65:W79</xm:sqref>
        </x14:conditionalFormatting>
        <x14:conditionalFormatting xmlns:xm="http://schemas.microsoft.com/office/excel/2006/main">
          <x14:cfRule type="dataBar" id="{AADFA5E4-7334-4765-A9C4-04E779FEE25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W16</xm:sqref>
        </x14:conditionalFormatting>
        <x14:conditionalFormatting xmlns:xm="http://schemas.microsoft.com/office/excel/2006/main">
          <x14:cfRule type="dataBar" id="{32A45EF5-651E-4A9F-B50A-747E8C4FC30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AD21:AD28</xm:sqref>
        </x14:conditionalFormatting>
        <x14:conditionalFormatting xmlns:xm="http://schemas.microsoft.com/office/excel/2006/main">
          <x14:cfRule type="dataBar" id="{27432125-D6FE-4EFD-AA66-303C11F80E8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AD31:AD33</xm:sqref>
        </x14:conditionalFormatting>
        <x14:conditionalFormatting xmlns:xm="http://schemas.microsoft.com/office/excel/2006/main">
          <x14:cfRule type="dataBar" id="{027E86B8-5A85-4A28-B843-67F9A57A455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AD35:AD55</xm:sqref>
        </x14:conditionalFormatting>
        <x14:conditionalFormatting xmlns:xm="http://schemas.microsoft.com/office/excel/2006/main">
          <x14:cfRule type="dataBar" id="{F784A010-390F-4D8B-A835-AD10A6455E9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AD60:AD63</xm:sqref>
        </x14:conditionalFormatting>
        <x14:conditionalFormatting xmlns:xm="http://schemas.microsoft.com/office/excel/2006/main">
          <x14:cfRule type="dataBar" id="{52E0A283-5DB3-4077-B121-C3F971DCABC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AD65:AD79</xm:sqref>
        </x14:conditionalFormatting>
        <x14:conditionalFormatting xmlns:xm="http://schemas.microsoft.com/office/excel/2006/main">
          <x14:cfRule type="dataBar" id="{36B15A35-2755-4369-BD24-5315BAE0FD6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AV21</xm:sqref>
        </x14:conditionalFormatting>
        <x14:conditionalFormatting xmlns:xm="http://schemas.microsoft.com/office/excel/2006/main">
          <x14:cfRule type="dataBar" id="{C57DD756-D2D5-4B26-8617-AD6091FB5E6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AV65:AV79</xm:sqref>
        </x14:conditionalFormatting>
        <x14:conditionalFormatting xmlns:xm="http://schemas.microsoft.com/office/excel/2006/main">
          <x14:cfRule type="dataBar" id="{35371246-25EF-4453-A1C0-0F50E0D1C9A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AV22:AV28</xm:sqref>
        </x14:conditionalFormatting>
        <x14:conditionalFormatting xmlns:xm="http://schemas.microsoft.com/office/excel/2006/main">
          <x14:cfRule type="dataBar" id="{FA609622-D34F-46EF-8235-6E3DFC2CFE8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AV31:AV33</xm:sqref>
        </x14:conditionalFormatting>
        <x14:conditionalFormatting xmlns:xm="http://schemas.microsoft.com/office/excel/2006/main">
          <x14:cfRule type="dataBar" id="{60CF3E98-9FA1-4501-9FDD-4999728BD03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AV35:AV46</xm:sqref>
        </x14:conditionalFormatting>
        <x14:conditionalFormatting xmlns:xm="http://schemas.microsoft.com/office/excel/2006/main">
          <x14:cfRule type="dataBar" id="{F2B3640B-B7AE-4C07-85FB-D7C8C78F9AC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AV47:AV55</xm:sqref>
        </x14:conditionalFormatting>
        <x14:conditionalFormatting xmlns:xm="http://schemas.microsoft.com/office/excel/2006/main">
          <x14:cfRule type="dataBar" id="{86244A21-B43A-4520-8C77-54AAC56D74B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AV60:AV63</xm:sqref>
        </x14:conditionalFormatting>
        <x14:conditionalFormatting xmlns:xm="http://schemas.microsoft.com/office/excel/2006/main">
          <x14:cfRule type="dataBar" id="{318B5800-757B-41B0-8251-750F6A9528A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AV16</xm:sqref>
        </x14:conditionalFormatting>
        <x14:conditionalFormatting xmlns:xm="http://schemas.microsoft.com/office/excel/2006/main">
          <x14:cfRule type="dataBar" id="{47F88794-05E6-4BD0-B2C9-785806E55CE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AV18</xm:sqref>
        </x14:conditionalFormatting>
        <x14:conditionalFormatting xmlns:xm="http://schemas.microsoft.com/office/excel/2006/main">
          <x14:cfRule type="dataBar" id="{09ED98C0-49E8-47B0-AD82-8D8DCAAF114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AV56:AV58</xm:sqref>
        </x14:conditionalFormatting>
        <x14:conditionalFormatting xmlns:xm="http://schemas.microsoft.com/office/excel/2006/main">
          <x14:cfRule type="dataBar" id="{7CDDD6DD-9AB7-451B-87CE-C647EFF567C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BC21</xm:sqref>
        </x14:conditionalFormatting>
        <x14:conditionalFormatting xmlns:xm="http://schemas.microsoft.com/office/excel/2006/main">
          <x14:cfRule type="dataBar" id="{90C8D06E-7870-4C6C-9ACA-23DB561435C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BC65:BC79</xm:sqref>
        </x14:conditionalFormatting>
        <x14:conditionalFormatting xmlns:xm="http://schemas.microsoft.com/office/excel/2006/main">
          <x14:cfRule type="dataBar" id="{262539AD-16AE-4EB0-8E40-B7E667E2948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BC18</xm:sqref>
        </x14:conditionalFormatting>
        <x14:conditionalFormatting xmlns:xm="http://schemas.microsoft.com/office/excel/2006/main">
          <x14:cfRule type="dataBar" id="{8F6A72D3-A008-4A85-BD0E-13138192D08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BC56:BC58</xm:sqref>
        </x14:conditionalFormatting>
        <x14:conditionalFormatting xmlns:xm="http://schemas.microsoft.com/office/excel/2006/main">
          <x14:cfRule type="dataBar" id="{80E567DE-7AAB-4B1C-8511-955DF70A6C7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BC22:BC28</xm:sqref>
        </x14:conditionalFormatting>
        <x14:conditionalFormatting xmlns:xm="http://schemas.microsoft.com/office/excel/2006/main">
          <x14:cfRule type="dataBar" id="{A32B4105-F9C2-4F49-880A-E0EE0240FFA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BC33</xm:sqref>
        </x14:conditionalFormatting>
        <x14:conditionalFormatting xmlns:xm="http://schemas.microsoft.com/office/excel/2006/main">
          <x14:cfRule type="dataBar" id="{C375729A-AEB3-4B15-9FED-1C7E4352AD0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BC31:BC32</xm:sqref>
        </x14:conditionalFormatting>
        <x14:conditionalFormatting xmlns:xm="http://schemas.microsoft.com/office/excel/2006/main">
          <x14:cfRule type="dataBar" id="{02978AE6-A8AE-4F95-8289-577FB6ACD7B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BC35:BC55</xm:sqref>
        </x14:conditionalFormatting>
        <x14:conditionalFormatting xmlns:xm="http://schemas.microsoft.com/office/excel/2006/main">
          <x14:cfRule type="dataBar" id="{0B704DA0-1EBA-4131-8FD1-973D2AF98E3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BC60:BC63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CY74"/>
  <sheetViews>
    <sheetView showGridLines="0" topLeftCell="A33" zoomScaleNormal="100" zoomScaleSheetLayoutView="100" workbookViewId="0">
      <selection activeCell="AJ40" sqref="AJ40"/>
    </sheetView>
  </sheetViews>
  <sheetFormatPr defaultRowHeight="13.5" outlineLevelRow="1" outlineLevelCol="1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6" width="11.5" style="121" customWidth="1"/>
    <col min="17" max="22" width="11.5" style="121" hidden="1" customWidth="1" outlineLevel="1"/>
    <col min="23" max="23" width="11.5" style="288" hidden="1" customWidth="1" outlineLevel="1"/>
    <col min="24" max="29" width="11.5" style="121" hidden="1" customWidth="1" outlineLevel="1"/>
    <col min="30" max="30" width="11.5" style="288" hidden="1" customWidth="1" outlineLevel="1"/>
    <col min="31" max="31" width="12.83203125" bestFit="1" customWidth="1" collapsed="1"/>
    <col min="32" max="35" width="12.83203125" style="121" customWidth="1"/>
    <col min="36" max="36" width="18.6640625" customWidth="1"/>
    <col min="37" max="41" width="18.6640625" style="121" customWidth="1"/>
    <col min="42" max="47" width="18.6640625" style="121" hidden="1" customWidth="1" outlineLevel="1"/>
    <col min="48" max="48" width="11.5" style="288" hidden="1" customWidth="1" outlineLevel="1"/>
    <col min="49" max="54" width="18.6640625" style="121" hidden="1" customWidth="1" outlineLevel="1"/>
    <col min="55" max="55" width="11.5" style="288" hidden="1" customWidth="1" outlineLevel="1"/>
    <col min="56" max="56" width="1.6640625" customWidth="1" collapsed="1"/>
    <col min="57" max="57" width="8.33203125" customWidth="1"/>
    <col min="58" max="58" width="29.6640625" hidden="1" customWidth="1"/>
    <col min="59" max="59" width="16.33203125" hidden="1" customWidth="1"/>
    <col min="60" max="60" width="12.33203125" hidden="1" customWidth="1"/>
    <col min="61" max="61" width="16.33203125" hidden="1" customWidth="1"/>
    <col min="62" max="62" width="12.1640625" hidden="1" customWidth="1"/>
    <col min="63" max="63" width="15" hidden="1" customWidth="1"/>
    <col min="64" max="64" width="11" hidden="1" customWidth="1"/>
    <col min="65" max="65" width="15" hidden="1" customWidth="1"/>
    <col min="66" max="66" width="16.33203125" hidden="1" customWidth="1"/>
    <col min="67" max="67" width="14.5" customWidth="1"/>
    <col min="68" max="68" width="10.1640625" hidden="1" customWidth="1"/>
    <col min="69" max="69" width="16.33203125" hidden="1" customWidth="1"/>
    <col min="70" max="70" width="9.83203125" bestFit="1" customWidth="1"/>
    <col min="82" max="103" width="9.33203125" hidden="1"/>
  </cols>
  <sheetData>
    <row r="4" spans="2:67" s="1" customFormat="1" ht="6.95" customHeight="1"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80"/>
      <c r="X4" s="27"/>
      <c r="Y4" s="27"/>
      <c r="Z4" s="27"/>
      <c r="AA4" s="27"/>
      <c r="AB4" s="27"/>
      <c r="AC4" s="27"/>
      <c r="AD4" s="280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80"/>
      <c r="AW4" s="27"/>
      <c r="AX4" s="27"/>
      <c r="AY4" s="27"/>
      <c r="AZ4" s="27"/>
      <c r="BA4" s="27"/>
      <c r="BB4" s="27"/>
      <c r="BC4" s="280"/>
      <c r="BD4" s="28"/>
    </row>
    <row r="5" spans="2:67" s="1" customFormat="1" ht="36.950000000000003" customHeight="1">
      <c r="B5" s="15"/>
      <c r="C5" s="485" t="s">
        <v>134</v>
      </c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515"/>
      <c r="AD5" s="515"/>
      <c r="AE5" s="515"/>
      <c r="AF5" s="515"/>
      <c r="AG5" s="515"/>
      <c r="AH5" s="515"/>
      <c r="AI5" s="515"/>
      <c r="AJ5" s="515"/>
      <c r="AK5" s="123"/>
      <c r="AL5" s="123"/>
      <c r="AM5" s="123"/>
      <c r="AN5" s="123"/>
      <c r="AO5" s="123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17"/>
    </row>
    <row r="6" spans="2:67" s="1" customFormat="1" ht="6.95" customHeight="1">
      <c r="B6" s="15"/>
      <c r="C6" s="16"/>
      <c r="D6" s="16"/>
      <c r="E6" s="16"/>
      <c r="F6" s="16"/>
      <c r="G6" s="16"/>
      <c r="H6" s="16"/>
      <c r="I6" s="16"/>
      <c r="J6" s="16"/>
      <c r="K6" s="16"/>
      <c r="L6" s="123"/>
      <c r="M6" s="123"/>
      <c r="N6" s="123"/>
      <c r="O6" s="123"/>
      <c r="P6" s="123"/>
      <c r="Q6" s="254"/>
      <c r="R6" s="254"/>
      <c r="S6" s="254"/>
      <c r="T6" s="254"/>
      <c r="U6" s="254"/>
      <c r="V6" s="254"/>
      <c r="W6" s="281"/>
      <c r="X6" s="254"/>
      <c r="Y6" s="254"/>
      <c r="Z6" s="254"/>
      <c r="AA6" s="254"/>
      <c r="AB6" s="254"/>
      <c r="AC6" s="254"/>
      <c r="AD6" s="281"/>
      <c r="AE6" s="16"/>
      <c r="AF6" s="123"/>
      <c r="AG6" s="123"/>
      <c r="AH6" s="123"/>
      <c r="AI6" s="123"/>
      <c r="AJ6" s="16"/>
      <c r="AK6" s="123"/>
      <c r="AL6" s="123"/>
      <c r="AM6" s="123"/>
      <c r="AN6" s="123"/>
      <c r="AO6" s="123"/>
      <c r="AP6" s="254"/>
      <c r="AQ6" s="254"/>
      <c r="AR6" s="254"/>
      <c r="AS6" s="254"/>
      <c r="AT6" s="254"/>
      <c r="AU6" s="254"/>
      <c r="AV6" s="281"/>
      <c r="AW6" s="254"/>
      <c r="AX6" s="254"/>
      <c r="AY6" s="254"/>
      <c r="AZ6" s="254"/>
      <c r="BA6" s="254"/>
      <c r="BB6" s="254"/>
      <c r="BC6" s="281"/>
      <c r="BD6" s="17"/>
    </row>
    <row r="7" spans="2:67" s="1" customFormat="1" ht="30" hidden="1" customHeight="1" outlineLevel="1">
      <c r="B7" s="15"/>
      <c r="C7" s="14" t="s">
        <v>3</v>
      </c>
      <c r="D7" s="16"/>
      <c r="E7" s="16"/>
      <c r="F7" s="513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6"/>
      <c r="S7" s="516"/>
      <c r="T7" s="516"/>
      <c r="U7" s="516"/>
      <c r="V7" s="516"/>
      <c r="W7" s="516"/>
      <c r="X7" s="516"/>
      <c r="Y7" s="516"/>
      <c r="Z7" s="516"/>
      <c r="AA7" s="516"/>
      <c r="AB7" s="516"/>
      <c r="AC7" s="516"/>
      <c r="AD7" s="516"/>
      <c r="AE7" s="516"/>
      <c r="AF7" s="516"/>
      <c r="AG7" s="516"/>
      <c r="AH7" s="516"/>
      <c r="AI7" s="516"/>
      <c r="AJ7" s="516"/>
      <c r="AK7" s="122"/>
      <c r="AL7" s="122"/>
      <c r="AM7" s="122"/>
      <c r="AN7" s="122"/>
      <c r="AO7" s="122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17"/>
    </row>
    <row r="8" spans="2:67" ht="30" hidden="1" customHeight="1" outlineLevel="1">
      <c r="B8" s="10"/>
      <c r="C8" s="14" t="s">
        <v>121</v>
      </c>
      <c r="D8" s="12"/>
      <c r="E8" s="12"/>
      <c r="F8" s="513" t="s">
        <v>122</v>
      </c>
      <c r="G8" s="517"/>
      <c r="H8" s="517"/>
      <c r="I8" s="517"/>
      <c r="J8" s="517"/>
      <c r="K8" s="517"/>
      <c r="L8" s="517"/>
      <c r="M8" s="517"/>
      <c r="N8" s="517"/>
      <c r="O8" s="517"/>
      <c r="P8" s="517"/>
      <c r="Q8" s="517"/>
      <c r="R8" s="517"/>
      <c r="S8" s="517"/>
      <c r="T8" s="517"/>
      <c r="U8" s="517"/>
      <c r="V8" s="517"/>
      <c r="W8" s="517"/>
      <c r="X8" s="517"/>
      <c r="Y8" s="517"/>
      <c r="Z8" s="517"/>
      <c r="AA8" s="517"/>
      <c r="AB8" s="517"/>
      <c r="AC8" s="517"/>
      <c r="AD8" s="517"/>
      <c r="AE8" s="517"/>
      <c r="AF8" s="517"/>
      <c r="AG8" s="517"/>
      <c r="AH8" s="517"/>
      <c r="AI8" s="517"/>
      <c r="AJ8" s="517"/>
      <c r="AK8" s="120"/>
      <c r="AL8" s="120"/>
      <c r="AM8" s="120"/>
      <c r="AN8" s="120"/>
      <c r="AO8" s="120"/>
      <c r="AP8" s="256"/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6"/>
      <c r="BC8" s="256"/>
      <c r="BD8" s="11"/>
    </row>
    <row r="9" spans="2:67" s="1" customFormat="1" ht="36.950000000000003" hidden="1" customHeight="1" outlineLevel="1">
      <c r="B9" s="15"/>
      <c r="C9" s="33" t="s">
        <v>123</v>
      </c>
      <c r="D9" s="16"/>
      <c r="E9" s="16"/>
      <c r="F9" s="487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515"/>
      <c r="R9" s="515"/>
      <c r="S9" s="515"/>
      <c r="T9" s="515"/>
      <c r="U9" s="515"/>
      <c r="V9" s="515"/>
      <c r="W9" s="515"/>
      <c r="X9" s="515"/>
      <c r="Y9" s="515"/>
      <c r="Z9" s="515"/>
      <c r="AA9" s="515"/>
      <c r="AB9" s="515"/>
      <c r="AC9" s="515"/>
      <c r="AD9" s="515"/>
      <c r="AE9" s="515"/>
      <c r="AF9" s="515"/>
      <c r="AG9" s="515"/>
      <c r="AH9" s="515"/>
      <c r="AI9" s="515"/>
      <c r="AJ9" s="515"/>
      <c r="AK9" s="123"/>
      <c r="AL9" s="123"/>
      <c r="AM9" s="123"/>
      <c r="AN9" s="123"/>
      <c r="AO9" s="123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17"/>
    </row>
    <row r="10" spans="2:67" s="1" customFormat="1" ht="6.95" hidden="1" customHeight="1" outlineLevel="1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23"/>
      <c r="M10" s="123"/>
      <c r="N10" s="123"/>
      <c r="O10" s="123"/>
      <c r="P10" s="123"/>
      <c r="Q10" s="254"/>
      <c r="R10" s="254"/>
      <c r="S10" s="254"/>
      <c r="T10" s="254"/>
      <c r="U10" s="254"/>
      <c r="V10" s="254"/>
      <c r="W10" s="281"/>
      <c r="X10" s="254"/>
      <c r="Y10" s="254"/>
      <c r="Z10" s="254"/>
      <c r="AA10" s="254"/>
      <c r="AB10" s="254"/>
      <c r="AC10" s="254"/>
      <c r="AD10" s="281"/>
      <c r="AE10" s="16"/>
      <c r="AF10" s="123"/>
      <c r="AG10" s="123"/>
      <c r="AH10" s="123"/>
      <c r="AI10" s="123"/>
      <c r="AJ10" s="16"/>
      <c r="AK10" s="123"/>
      <c r="AL10" s="123"/>
      <c r="AM10" s="123"/>
      <c r="AN10" s="123"/>
      <c r="AO10" s="123"/>
      <c r="AP10" s="254"/>
      <c r="AQ10" s="254"/>
      <c r="AR10" s="254"/>
      <c r="AS10" s="254"/>
      <c r="AT10" s="254"/>
      <c r="AU10" s="254"/>
      <c r="AV10" s="281"/>
      <c r="AW10" s="254"/>
      <c r="AX10" s="254"/>
      <c r="AY10" s="254"/>
      <c r="AZ10" s="254"/>
      <c r="BA10" s="254"/>
      <c r="BB10" s="254"/>
      <c r="BC10" s="281"/>
      <c r="BD10" s="17"/>
    </row>
    <row r="11" spans="2:67" s="1" customFormat="1" ht="18" hidden="1" customHeight="1" outlineLevel="1">
      <c r="B11" s="15"/>
      <c r="C11" s="14" t="s">
        <v>4</v>
      </c>
      <c r="D11" s="16"/>
      <c r="E11" s="16"/>
      <c r="F11" s="13"/>
      <c r="G11" s="16"/>
      <c r="H11" s="16"/>
      <c r="I11" s="16"/>
      <c r="J11" s="16"/>
      <c r="K11" s="14" t="s">
        <v>5</v>
      </c>
      <c r="L11" s="122"/>
      <c r="M11" s="122"/>
      <c r="N11" s="122"/>
      <c r="O11" s="122"/>
      <c r="P11" s="122"/>
      <c r="Q11" s="255" t="s">
        <v>5</v>
      </c>
      <c r="R11" s="255"/>
      <c r="S11" s="255"/>
      <c r="T11" s="255"/>
      <c r="U11" s="255"/>
      <c r="V11" s="255"/>
      <c r="W11" s="282"/>
      <c r="X11" s="255" t="s">
        <v>5</v>
      </c>
      <c r="Y11" s="255"/>
      <c r="Z11" s="255"/>
      <c r="AA11" s="255"/>
      <c r="AB11" s="255"/>
      <c r="AC11" s="255"/>
      <c r="AD11" s="282"/>
      <c r="AE11" s="16"/>
      <c r="AF11" s="123"/>
      <c r="AG11" s="123"/>
      <c r="AH11" s="123"/>
      <c r="AI11" s="123"/>
      <c r="AJ11" s="124"/>
      <c r="AK11" s="124"/>
      <c r="AL11" s="124"/>
      <c r="AM11" s="124"/>
      <c r="AN11" s="124"/>
      <c r="AO11" s="124"/>
      <c r="AP11" s="251"/>
      <c r="AQ11" s="251"/>
      <c r="AR11" s="251"/>
      <c r="AS11" s="251"/>
      <c r="AT11" s="251"/>
      <c r="AU11" s="251"/>
      <c r="AV11" s="282"/>
      <c r="AW11" s="251"/>
      <c r="AX11" s="251"/>
      <c r="AY11" s="251"/>
      <c r="AZ11" s="251"/>
      <c r="BA11" s="251"/>
      <c r="BB11" s="251"/>
      <c r="BC11" s="282"/>
      <c r="BD11" s="17"/>
    </row>
    <row r="12" spans="2:67" s="1" customFormat="1" ht="6.95" hidden="1" customHeight="1" outlineLevel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23"/>
      <c r="M12" s="123"/>
      <c r="N12" s="123"/>
      <c r="O12" s="123"/>
      <c r="P12" s="123"/>
      <c r="Q12" s="254"/>
      <c r="R12" s="254"/>
      <c r="S12" s="254"/>
      <c r="T12" s="254"/>
      <c r="U12" s="254"/>
      <c r="V12" s="254"/>
      <c r="W12" s="281"/>
      <c r="X12" s="254"/>
      <c r="Y12" s="254"/>
      <c r="Z12" s="254"/>
      <c r="AA12" s="254"/>
      <c r="AB12" s="254"/>
      <c r="AC12" s="254"/>
      <c r="AD12" s="281"/>
      <c r="AE12" s="16"/>
      <c r="AF12" s="123"/>
      <c r="AG12" s="123"/>
      <c r="AH12" s="123"/>
      <c r="AI12" s="123"/>
      <c r="AJ12" s="16"/>
      <c r="AK12" s="123"/>
      <c r="AL12" s="123"/>
      <c r="AM12" s="123"/>
      <c r="AN12" s="123"/>
      <c r="AO12" s="123"/>
      <c r="AP12" s="254"/>
      <c r="AQ12" s="254"/>
      <c r="AR12" s="254"/>
      <c r="AS12" s="254"/>
      <c r="AT12" s="254"/>
      <c r="AU12" s="254"/>
      <c r="AV12" s="281"/>
      <c r="AW12" s="254"/>
      <c r="AX12" s="254"/>
      <c r="AY12" s="254"/>
      <c r="AZ12" s="254"/>
      <c r="BA12" s="254"/>
      <c r="BB12" s="254"/>
      <c r="BC12" s="281"/>
      <c r="BD12" s="17"/>
    </row>
    <row r="13" spans="2:67" s="1" customFormat="1" ht="15" hidden="1" outlineLevel="1">
      <c r="B13" s="15"/>
      <c r="C13" s="14" t="s">
        <v>6</v>
      </c>
      <c r="D13" s="16"/>
      <c r="E13" s="16"/>
      <c r="F13" s="13"/>
      <c r="G13" s="16"/>
      <c r="H13" s="16"/>
      <c r="I13" s="16"/>
      <c r="J13" s="16"/>
      <c r="K13" s="14" t="s">
        <v>8</v>
      </c>
      <c r="L13" s="122"/>
      <c r="M13" s="122"/>
      <c r="N13" s="122"/>
      <c r="O13" s="122"/>
      <c r="P13" s="122"/>
      <c r="Q13" s="255" t="s">
        <v>8</v>
      </c>
      <c r="R13" s="255"/>
      <c r="S13" s="255"/>
      <c r="T13" s="255"/>
      <c r="U13" s="255"/>
      <c r="V13" s="255"/>
      <c r="W13" s="282"/>
      <c r="X13" s="255" t="s">
        <v>8</v>
      </c>
      <c r="Y13" s="255"/>
      <c r="Z13" s="255"/>
      <c r="AA13" s="255"/>
      <c r="AB13" s="255"/>
      <c r="AC13" s="255"/>
      <c r="AD13" s="282"/>
      <c r="AE13" s="16"/>
      <c r="AF13" s="123"/>
      <c r="AG13" s="123"/>
      <c r="AH13" s="123"/>
      <c r="AI13" s="123"/>
      <c r="AJ13" s="119"/>
      <c r="AK13" s="119"/>
      <c r="AL13" s="119"/>
      <c r="AM13" s="119"/>
      <c r="AN13" s="119"/>
      <c r="AO13" s="119"/>
      <c r="AP13" s="252"/>
      <c r="AQ13" s="252"/>
      <c r="AR13" s="252"/>
      <c r="AS13" s="252"/>
      <c r="AT13" s="252"/>
      <c r="AU13" s="252"/>
      <c r="AV13" s="282"/>
      <c r="AW13" s="252"/>
      <c r="AX13" s="252"/>
      <c r="AY13" s="252"/>
      <c r="AZ13" s="252"/>
      <c r="BA13" s="252"/>
      <c r="BB13" s="252"/>
      <c r="BC13" s="282"/>
      <c r="BD13" s="17"/>
    </row>
    <row r="14" spans="2:67" s="1" customFormat="1" ht="14.45" hidden="1" customHeight="1" outlineLevel="1">
      <c r="B14" s="15"/>
      <c r="C14" s="14" t="s">
        <v>7</v>
      </c>
      <c r="D14" s="16"/>
      <c r="E14" s="16"/>
      <c r="F14" s="13"/>
      <c r="G14" s="16"/>
      <c r="H14" s="16"/>
      <c r="I14" s="16"/>
      <c r="J14" s="16"/>
      <c r="K14" s="14" t="s">
        <v>9</v>
      </c>
      <c r="L14" s="122"/>
      <c r="M14" s="122"/>
      <c r="N14" s="122"/>
      <c r="O14" s="122"/>
      <c r="P14" s="122"/>
      <c r="Q14" s="255" t="s">
        <v>9</v>
      </c>
      <c r="R14" s="255"/>
      <c r="S14" s="255"/>
      <c r="T14" s="255"/>
      <c r="U14" s="255"/>
      <c r="V14" s="255"/>
      <c r="W14" s="282"/>
      <c r="X14" s="255" t="s">
        <v>9</v>
      </c>
      <c r="Y14" s="255"/>
      <c r="Z14" s="255"/>
      <c r="AA14" s="255"/>
      <c r="AB14" s="255"/>
      <c r="AC14" s="255"/>
      <c r="AD14" s="282"/>
      <c r="AE14" s="16"/>
      <c r="AF14" s="123"/>
      <c r="AG14" s="123"/>
      <c r="AH14" s="123"/>
      <c r="AI14" s="123"/>
      <c r="AJ14" s="119"/>
      <c r="AK14" s="119"/>
      <c r="AL14" s="119"/>
      <c r="AM14" s="119"/>
      <c r="AN14" s="119"/>
      <c r="AO14" s="119"/>
      <c r="AP14" s="252"/>
      <c r="AQ14" s="252"/>
      <c r="AR14" s="252"/>
      <c r="AS14" s="252"/>
      <c r="AT14" s="252"/>
      <c r="AU14" s="252"/>
      <c r="AV14" s="282"/>
      <c r="AW14" s="252"/>
      <c r="AX14" s="252"/>
      <c r="AY14" s="252"/>
      <c r="AZ14" s="252"/>
      <c r="BA14" s="252"/>
      <c r="BB14" s="252"/>
      <c r="BC14" s="282"/>
      <c r="BD14" s="17"/>
    </row>
    <row r="15" spans="2:67" s="1" customFormat="1" ht="17.25" customHeight="1" collapsed="1">
      <c r="B15" s="15"/>
      <c r="C15" s="16"/>
      <c r="D15" s="16"/>
      <c r="E15" s="16"/>
      <c r="F15" s="16"/>
      <c r="G15" s="16"/>
      <c r="H15" s="16"/>
      <c r="I15" s="16"/>
      <c r="J15" s="16"/>
      <c r="K15" s="512" t="s">
        <v>1408</v>
      </c>
      <c r="L15" s="512"/>
      <c r="M15" s="512"/>
      <c r="N15" s="512"/>
      <c r="O15" s="512"/>
      <c r="P15" s="512"/>
      <c r="Q15" s="497" t="s">
        <v>1409</v>
      </c>
      <c r="R15" s="497"/>
      <c r="S15" s="497"/>
      <c r="T15" s="497"/>
      <c r="U15" s="497"/>
      <c r="V15" s="497"/>
      <c r="W15" s="497"/>
      <c r="X15" s="496" t="s">
        <v>1410</v>
      </c>
      <c r="Y15" s="496"/>
      <c r="Z15" s="496"/>
      <c r="AA15" s="496"/>
      <c r="AB15" s="496"/>
      <c r="AC15" s="496"/>
      <c r="AD15" s="496"/>
      <c r="AE15" s="16"/>
      <c r="AF15" s="123"/>
      <c r="AG15" s="123"/>
      <c r="AH15" s="123"/>
      <c r="AI15" s="123"/>
      <c r="AJ15" s="512" t="s">
        <v>1408</v>
      </c>
      <c r="AK15" s="512"/>
      <c r="AL15" s="512"/>
      <c r="AM15" s="512"/>
      <c r="AN15" s="512"/>
      <c r="AO15" s="512"/>
      <c r="AP15" s="497" t="s">
        <v>1409</v>
      </c>
      <c r="AQ15" s="497"/>
      <c r="AR15" s="497"/>
      <c r="AS15" s="497"/>
      <c r="AT15" s="497"/>
      <c r="AU15" s="497"/>
      <c r="AV15" s="497"/>
      <c r="AW15" s="496" t="s">
        <v>1410</v>
      </c>
      <c r="AX15" s="496"/>
      <c r="AY15" s="496"/>
      <c r="AZ15" s="496"/>
      <c r="BA15" s="496"/>
      <c r="BB15" s="496"/>
      <c r="BC15" s="496"/>
      <c r="BD15" s="17"/>
    </row>
    <row r="16" spans="2:67" s="6" customFormat="1" ht="34.5" customHeight="1">
      <c r="B16" s="75"/>
      <c r="C16" s="76" t="s">
        <v>135</v>
      </c>
      <c r="D16" s="77" t="s">
        <v>136</v>
      </c>
      <c r="E16" s="77" t="s">
        <v>14</v>
      </c>
      <c r="F16" s="511" t="s">
        <v>137</v>
      </c>
      <c r="G16" s="511"/>
      <c r="H16" s="511"/>
      <c r="I16" s="511"/>
      <c r="J16" s="77" t="s">
        <v>138</v>
      </c>
      <c r="K16" s="125" t="s">
        <v>1089</v>
      </c>
      <c r="L16" s="125" t="s">
        <v>1090</v>
      </c>
      <c r="M16" s="125" t="s">
        <v>1091</v>
      </c>
      <c r="N16" s="125" t="s">
        <v>1092</v>
      </c>
      <c r="O16" s="125" t="s">
        <v>1093</v>
      </c>
      <c r="P16" s="125" t="s">
        <v>1106</v>
      </c>
      <c r="Q16" s="253" t="s">
        <v>1089</v>
      </c>
      <c r="R16" s="253" t="s">
        <v>1090</v>
      </c>
      <c r="S16" s="253" t="s">
        <v>1091</v>
      </c>
      <c r="T16" s="253" t="s">
        <v>1092</v>
      </c>
      <c r="U16" s="253" t="s">
        <v>1093</v>
      </c>
      <c r="V16" s="253" t="s">
        <v>1106</v>
      </c>
      <c r="W16" s="283" t="s">
        <v>883</v>
      </c>
      <c r="X16" s="253" t="s">
        <v>1089</v>
      </c>
      <c r="Y16" s="253" t="s">
        <v>1090</v>
      </c>
      <c r="Z16" s="253" t="s">
        <v>1091</v>
      </c>
      <c r="AA16" s="253" t="s">
        <v>1092</v>
      </c>
      <c r="AB16" s="253" t="s">
        <v>1093</v>
      </c>
      <c r="AC16" s="253" t="s">
        <v>1106</v>
      </c>
      <c r="AD16" s="283" t="s">
        <v>883</v>
      </c>
      <c r="AE16" s="210" t="s">
        <v>1108</v>
      </c>
      <c r="AF16" s="126" t="s">
        <v>1096</v>
      </c>
      <c r="AG16" s="126" t="s">
        <v>1098</v>
      </c>
      <c r="AH16" s="126" t="s">
        <v>1100</v>
      </c>
      <c r="AI16" s="126" t="s">
        <v>1102</v>
      </c>
      <c r="AJ16" s="125" t="s">
        <v>1094</v>
      </c>
      <c r="AK16" s="125" t="s">
        <v>1097</v>
      </c>
      <c r="AL16" s="125" t="s">
        <v>1099</v>
      </c>
      <c r="AM16" s="125" t="s">
        <v>1101</v>
      </c>
      <c r="AN16" s="125" t="s">
        <v>1103</v>
      </c>
      <c r="AO16" s="291" t="s">
        <v>1107</v>
      </c>
      <c r="AP16" s="253" t="s">
        <v>1094</v>
      </c>
      <c r="AQ16" s="253" t="s">
        <v>1097</v>
      </c>
      <c r="AR16" s="253" t="s">
        <v>1099</v>
      </c>
      <c r="AS16" s="253" t="s">
        <v>1101</v>
      </c>
      <c r="AT16" s="253" t="s">
        <v>1103</v>
      </c>
      <c r="AU16" s="253" t="s">
        <v>1107</v>
      </c>
      <c r="AV16" s="298" t="s">
        <v>883</v>
      </c>
      <c r="AW16" s="253" t="s">
        <v>1094</v>
      </c>
      <c r="AX16" s="253" t="s">
        <v>1097</v>
      </c>
      <c r="AY16" s="253" t="s">
        <v>1099</v>
      </c>
      <c r="AZ16" s="253" t="s">
        <v>1101</v>
      </c>
      <c r="BA16" s="253" t="s">
        <v>1103</v>
      </c>
      <c r="BB16" s="253" t="s">
        <v>1107</v>
      </c>
      <c r="BC16" s="298" t="s">
        <v>883</v>
      </c>
      <c r="BD16" s="78"/>
      <c r="BE16" s="6" t="s">
        <v>950</v>
      </c>
      <c r="BF16" s="39" t="s">
        <v>141</v>
      </c>
      <c r="BG16" s="40" t="s">
        <v>10</v>
      </c>
      <c r="BH16" s="40" t="s">
        <v>142</v>
      </c>
      <c r="BI16" s="40" t="s">
        <v>143</v>
      </c>
      <c r="BJ16" s="40" t="s">
        <v>144</v>
      </c>
      <c r="BK16" s="40" t="s">
        <v>145</v>
      </c>
      <c r="BL16" s="40" t="s">
        <v>146</v>
      </c>
      <c r="BM16" s="41" t="s">
        <v>147</v>
      </c>
      <c r="BO16" s="6" t="s">
        <v>136</v>
      </c>
    </row>
    <row r="17" spans="2:103" s="1" customFormat="1" ht="29.25" customHeight="1">
      <c r="B17" s="15"/>
      <c r="C17" s="43" t="s">
        <v>62</v>
      </c>
      <c r="D17" s="16"/>
      <c r="E17" s="16"/>
      <c r="F17" s="16"/>
      <c r="G17" s="16"/>
      <c r="H17" s="16"/>
      <c r="I17" s="16"/>
      <c r="J17" s="16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81"/>
      <c r="X17" s="214"/>
      <c r="Y17" s="214"/>
      <c r="Z17" s="214"/>
      <c r="AA17" s="214"/>
      <c r="AB17" s="214"/>
      <c r="AC17" s="214"/>
      <c r="AD17" s="281"/>
      <c r="AE17" s="214"/>
      <c r="AF17" s="214"/>
      <c r="AG17" s="214"/>
      <c r="AH17" s="214"/>
      <c r="AI17" s="214"/>
      <c r="AJ17" s="216">
        <f t="shared" ref="AJ17:BB17" si="0">AJ18</f>
        <v>2844.1820000000002</v>
      </c>
      <c r="AK17" s="216">
        <f t="shared" si="0"/>
        <v>2844.1820000000002</v>
      </c>
      <c r="AL17" s="216">
        <f t="shared" si="0"/>
        <v>3854.4140000000002</v>
      </c>
      <c r="AM17" s="216">
        <f t="shared" si="0"/>
        <v>3317.8849999999998</v>
      </c>
      <c r="AN17" s="216">
        <f t="shared" si="0"/>
        <v>2940.462</v>
      </c>
      <c r="AO17" s="292">
        <f t="shared" si="0"/>
        <v>15801.125000000002</v>
      </c>
      <c r="AP17" s="216">
        <f t="shared" si="0"/>
        <v>532.221</v>
      </c>
      <c r="AQ17" s="216">
        <f t="shared" si="0"/>
        <v>1299.6300000000001</v>
      </c>
      <c r="AR17" s="216">
        <f t="shared" si="0"/>
        <v>1094.296</v>
      </c>
      <c r="AS17" s="216">
        <f t="shared" si="0"/>
        <v>844.64100000000008</v>
      </c>
      <c r="AT17" s="216">
        <f t="shared" si="0"/>
        <v>1086.0700000000002</v>
      </c>
      <c r="AU17" s="216">
        <f t="shared" si="0"/>
        <v>4856.8580000000002</v>
      </c>
      <c r="AV17" s="305">
        <f>AU17/AO17</f>
        <v>0.30737419012886741</v>
      </c>
      <c r="AW17" s="216">
        <f t="shared" si="0"/>
        <v>2311.9609999999998</v>
      </c>
      <c r="AX17" s="216">
        <f t="shared" si="0"/>
        <v>1544.5519999999999</v>
      </c>
      <c r="AY17" s="216">
        <f t="shared" si="0"/>
        <v>2760.1179999999999</v>
      </c>
      <c r="AZ17" s="216">
        <f t="shared" si="0"/>
        <v>2473.2440000000001</v>
      </c>
      <c r="BA17" s="216">
        <f t="shared" si="0"/>
        <v>1854.3920000000001</v>
      </c>
      <c r="BB17" s="216">
        <f t="shared" si="0"/>
        <v>10944.267</v>
      </c>
      <c r="BC17" s="305">
        <f>BB17/AO17</f>
        <v>0.69262580987113254</v>
      </c>
      <c r="BD17" s="17"/>
      <c r="BF17" s="42"/>
      <c r="BG17" s="19"/>
      <c r="BH17" s="19"/>
      <c r="BI17" s="79">
        <f>BI18+BI39</f>
        <v>0</v>
      </c>
      <c r="BJ17" s="19"/>
      <c r="BK17" s="79">
        <f>BK18+BK39</f>
        <v>0</v>
      </c>
      <c r="BL17" s="19"/>
      <c r="BM17" s="80">
        <f>BM18+BM39</f>
        <v>0</v>
      </c>
      <c r="BP17" s="1">
        <v>1.04</v>
      </c>
      <c r="CF17" s="9" t="s">
        <v>30</v>
      </c>
      <c r="CG17" s="9" t="s">
        <v>126</v>
      </c>
      <c r="CW17" s="81">
        <f>CW18+CW39</f>
        <v>2844.1820000000002</v>
      </c>
    </row>
    <row r="18" spans="2:103" s="7" customFormat="1" ht="37.35" customHeight="1">
      <c r="B18" s="82"/>
      <c r="C18" s="83"/>
      <c r="D18" s="84" t="s">
        <v>127</v>
      </c>
      <c r="E18" s="84"/>
      <c r="F18" s="84"/>
      <c r="G18" s="84"/>
      <c r="H18" s="84"/>
      <c r="I18" s="84"/>
      <c r="J18" s="84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84"/>
      <c r="X18" s="217"/>
      <c r="Y18" s="217"/>
      <c r="Z18" s="217"/>
      <c r="AA18" s="217"/>
      <c r="AB18" s="217"/>
      <c r="AC18" s="217"/>
      <c r="AD18" s="284"/>
      <c r="AE18" s="217"/>
      <c r="AF18" s="217"/>
      <c r="AG18" s="217"/>
      <c r="AH18" s="217"/>
      <c r="AI18" s="217"/>
      <c r="AJ18" s="218">
        <f t="shared" ref="AJ18:AO18" si="1">AJ19+AJ23+AJ28+AJ37</f>
        <v>2844.1820000000002</v>
      </c>
      <c r="AK18" s="218">
        <f t="shared" si="1"/>
        <v>2844.1820000000002</v>
      </c>
      <c r="AL18" s="218">
        <f t="shared" si="1"/>
        <v>3854.4140000000002</v>
      </c>
      <c r="AM18" s="218">
        <f t="shared" si="1"/>
        <v>3317.8849999999998</v>
      </c>
      <c r="AN18" s="218">
        <f t="shared" si="1"/>
        <v>2940.462</v>
      </c>
      <c r="AO18" s="293">
        <f t="shared" si="1"/>
        <v>15801.125000000002</v>
      </c>
      <c r="AP18" s="218">
        <f t="shared" ref="AP18:AU18" si="2">AP19+AP23+AP28+AP37</f>
        <v>532.221</v>
      </c>
      <c r="AQ18" s="218">
        <f t="shared" si="2"/>
        <v>1299.6300000000001</v>
      </c>
      <c r="AR18" s="218">
        <f t="shared" si="2"/>
        <v>1094.296</v>
      </c>
      <c r="AS18" s="218">
        <f t="shared" si="2"/>
        <v>844.64100000000008</v>
      </c>
      <c r="AT18" s="218">
        <f t="shared" si="2"/>
        <v>1086.0700000000002</v>
      </c>
      <c r="AU18" s="218">
        <f t="shared" si="2"/>
        <v>4856.8580000000002</v>
      </c>
      <c r="AV18" s="299"/>
      <c r="AW18" s="218">
        <f t="shared" ref="AW18:BB18" si="3">AW19+AW23+AW28+AW37</f>
        <v>2311.9609999999998</v>
      </c>
      <c r="AX18" s="218">
        <f t="shared" si="3"/>
        <v>1544.5519999999999</v>
      </c>
      <c r="AY18" s="218">
        <f t="shared" si="3"/>
        <v>2760.1179999999999</v>
      </c>
      <c r="AZ18" s="218">
        <f t="shared" si="3"/>
        <v>2473.2440000000001</v>
      </c>
      <c r="BA18" s="218">
        <f t="shared" si="3"/>
        <v>1854.3920000000001</v>
      </c>
      <c r="BB18" s="218">
        <f t="shared" si="3"/>
        <v>10944.267</v>
      </c>
      <c r="BC18" s="299"/>
      <c r="BD18" s="85"/>
      <c r="BF18" s="86"/>
      <c r="BG18" s="83"/>
      <c r="BH18" s="83"/>
      <c r="BI18" s="87">
        <f>BI19+BI23+BI28+BI37</f>
        <v>0</v>
      </c>
      <c r="BJ18" s="83"/>
      <c r="BK18" s="87">
        <f>BK19+BK23+BK28+BK37</f>
        <v>0</v>
      </c>
      <c r="BL18" s="83"/>
      <c r="BM18" s="88">
        <f>BM19+BM23+BM28+BM37</f>
        <v>0</v>
      </c>
      <c r="CD18" s="89" t="s">
        <v>38</v>
      </c>
      <c r="CF18" s="90" t="s">
        <v>30</v>
      </c>
      <c r="CG18" s="90" t="s">
        <v>31</v>
      </c>
      <c r="CK18" s="89" t="s">
        <v>148</v>
      </c>
      <c r="CW18" s="91">
        <f>CW19+CW23+CW28+CW37</f>
        <v>2844.1820000000002</v>
      </c>
    </row>
    <row r="19" spans="2:103" s="7" customFormat="1" ht="19.899999999999999" customHeight="1">
      <c r="B19" s="82"/>
      <c r="C19" s="83"/>
      <c r="D19" s="92" t="s">
        <v>392</v>
      </c>
      <c r="E19" s="92"/>
      <c r="F19" s="92"/>
      <c r="G19" s="92"/>
      <c r="H19" s="92"/>
      <c r="I19" s="92"/>
      <c r="J19" s="92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85"/>
      <c r="X19" s="219"/>
      <c r="Y19" s="219"/>
      <c r="Z19" s="219"/>
      <c r="AA19" s="219"/>
      <c r="AB19" s="219"/>
      <c r="AC19" s="219"/>
      <c r="AD19" s="285"/>
      <c r="AE19" s="219"/>
      <c r="AF19" s="219"/>
      <c r="AG19" s="219"/>
      <c r="AH19" s="219"/>
      <c r="AI19" s="219"/>
      <c r="AJ19" s="213">
        <f t="shared" ref="AJ19:AO19" si="4">SUM(AJ20:AJ22)</f>
        <v>998.78</v>
      </c>
      <c r="AK19" s="213">
        <f t="shared" si="4"/>
        <v>998.78</v>
      </c>
      <c r="AL19" s="213">
        <f t="shared" si="4"/>
        <v>891.13100000000009</v>
      </c>
      <c r="AM19" s="213">
        <f t="shared" si="4"/>
        <v>751.61300000000006</v>
      </c>
      <c r="AN19" s="213">
        <f t="shared" si="4"/>
        <v>571.88000000000011</v>
      </c>
      <c r="AO19" s="294">
        <f t="shared" si="4"/>
        <v>4212.1840000000002</v>
      </c>
      <c r="AP19" s="213">
        <f t="shared" ref="AP19:AU19" si="5">SUM(AP20:AP22)</f>
        <v>0</v>
      </c>
      <c r="AQ19" s="213">
        <f t="shared" si="5"/>
        <v>767.40899999999999</v>
      </c>
      <c r="AR19" s="213">
        <f t="shared" si="5"/>
        <v>249.655</v>
      </c>
      <c r="AS19" s="213">
        <f t="shared" si="5"/>
        <v>0</v>
      </c>
      <c r="AT19" s="213">
        <f t="shared" si="5"/>
        <v>227.56899999999999</v>
      </c>
      <c r="AU19" s="213">
        <f t="shared" si="5"/>
        <v>1244.633</v>
      </c>
      <c r="AV19" s="300"/>
      <c r="AW19" s="213">
        <f t="shared" ref="AW19:BB19" si="6">SUM(AW20:AW22)</f>
        <v>998.78</v>
      </c>
      <c r="AX19" s="213">
        <f t="shared" si="6"/>
        <v>231.37100000000001</v>
      </c>
      <c r="AY19" s="213">
        <f t="shared" si="6"/>
        <v>641.47600000000011</v>
      </c>
      <c r="AZ19" s="213">
        <f t="shared" si="6"/>
        <v>751.61300000000006</v>
      </c>
      <c r="BA19" s="213">
        <f t="shared" si="6"/>
        <v>344.31100000000004</v>
      </c>
      <c r="BB19" s="213">
        <f t="shared" si="6"/>
        <v>2967.5509999999999</v>
      </c>
      <c r="BC19" s="300"/>
      <c r="BD19" s="85"/>
      <c r="BF19" s="86"/>
      <c r="BG19" s="83"/>
      <c r="BH19" s="83"/>
      <c r="BI19" s="87">
        <f>SUM(BI20:BI22)</f>
        <v>0</v>
      </c>
      <c r="BJ19" s="83"/>
      <c r="BK19" s="87">
        <f>SUM(BK20:BK22)</f>
        <v>0</v>
      </c>
      <c r="BL19" s="83"/>
      <c r="BM19" s="88">
        <f>SUM(BM20:BM22)</f>
        <v>0</v>
      </c>
      <c r="CD19" s="89" t="s">
        <v>38</v>
      </c>
      <c r="CF19" s="90" t="s">
        <v>30</v>
      </c>
      <c r="CG19" s="90" t="s">
        <v>38</v>
      </c>
      <c r="CK19" s="89" t="s">
        <v>148</v>
      </c>
      <c r="CW19" s="91">
        <f>SUM(CW20:CW22)</f>
        <v>998.78</v>
      </c>
    </row>
    <row r="20" spans="2:103" s="1" customFormat="1" ht="31.5" customHeight="1">
      <c r="B20" s="73"/>
      <c r="C20" s="93" t="s">
        <v>38</v>
      </c>
      <c r="D20" s="93" t="s">
        <v>149</v>
      </c>
      <c r="E20" s="94" t="s">
        <v>394</v>
      </c>
      <c r="F20" s="498" t="s">
        <v>395</v>
      </c>
      <c r="G20" s="498"/>
      <c r="H20" s="498"/>
      <c r="I20" s="498"/>
      <c r="J20" s="95" t="s">
        <v>396</v>
      </c>
      <c r="K20" s="211">
        <v>23</v>
      </c>
      <c r="L20" s="211">
        <v>23</v>
      </c>
      <c r="M20" s="211">
        <v>23.7</v>
      </c>
      <c r="N20" s="211">
        <v>19.559999999999999</v>
      </c>
      <c r="O20" s="211">
        <v>13</v>
      </c>
      <c r="P20" s="279">
        <f>SUM(K20:O20)</f>
        <v>102.26</v>
      </c>
      <c r="Q20" s="277">
        <v>0</v>
      </c>
      <c r="R20" s="211">
        <v>22.27</v>
      </c>
      <c r="S20" s="211">
        <v>6.6959999999999997</v>
      </c>
      <c r="T20" s="211">
        <v>0</v>
      </c>
      <c r="U20" s="211">
        <v>6.2510000000000003</v>
      </c>
      <c r="V20" s="290">
        <f>SUM(Q20:U20)</f>
        <v>35.216999999999999</v>
      </c>
      <c r="W20" s="289">
        <f>V20/P20</f>
        <v>0.34438685703109717</v>
      </c>
      <c r="X20" s="277">
        <f t="shared" ref="X20:AB22" si="7">K20-Q20</f>
        <v>23</v>
      </c>
      <c r="Y20" s="277">
        <f t="shared" si="7"/>
        <v>0.73000000000000043</v>
      </c>
      <c r="Z20" s="277">
        <f t="shared" si="7"/>
        <v>17.003999999999998</v>
      </c>
      <c r="AA20" s="277">
        <f t="shared" si="7"/>
        <v>19.559999999999999</v>
      </c>
      <c r="AB20" s="277">
        <f t="shared" si="7"/>
        <v>6.7489999999999997</v>
      </c>
      <c r="AC20" s="220">
        <f>SUM(X20:AB20)</f>
        <v>67.042999999999992</v>
      </c>
      <c r="AD20" s="289">
        <f>AC20/P20</f>
        <v>0.65561314296890272</v>
      </c>
      <c r="AE20" s="221">
        <v>33.700000000000003</v>
      </c>
      <c r="AF20" s="221">
        <v>33.700000000000003</v>
      </c>
      <c r="AG20" s="221">
        <v>33.700000000000003</v>
      </c>
      <c r="AH20" s="221">
        <v>33.700000000000003</v>
      </c>
      <c r="AI20" s="221">
        <v>33.700000000000003</v>
      </c>
      <c r="AJ20" s="211">
        <f>ROUND(AE20*K20,3)</f>
        <v>775.1</v>
      </c>
      <c r="AK20" s="211">
        <f>ROUND(AE20*L20,3)</f>
        <v>775.1</v>
      </c>
      <c r="AL20" s="211">
        <f>ROUND(AE20*M20,3)</f>
        <v>798.69</v>
      </c>
      <c r="AM20" s="211">
        <f>ROUND(AE20*N20,3)</f>
        <v>659.17200000000003</v>
      </c>
      <c r="AN20" s="211">
        <f>ROUND(AE20*O20,3)</f>
        <v>438.1</v>
      </c>
      <c r="AO20" s="295">
        <f>AJ20+AK20+AL20+AM20+AN20</f>
        <v>3446.1620000000003</v>
      </c>
      <c r="AP20" s="277">
        <f t="shared" ref="AP20:AP22" si="8">ROUND(Q20*AE20,3)</f>
        <v>0</v>
      </c>
      <c r="AQ20" s="277">
        <f t="shared" ref="AQ20:AQ22" si="9">ROUND(R20*AF20,3)</f>
        <v>750.49900000000002</v>
      </c>
      <c r="AR20" s="277">
        <f t="shared" ref="AR20:AR22" si="10">ROUND(S20*AG20,3)</f>
        <v>225.655</v>
      </c>
      <c r="AS20" s="277">
        <f t="shared" ref="AS20:AS22" si="11">ROUND(T20*AH20,3)</f>
        <v>0</v>
      </c>
      <c r="AT20" s="277">
        <f t="shared" ref="AT20:AT22" si="12">ROUND(U20*AI20,3)</f>
        <v>210.65899999999999</v>
      </c>
      <c r="AU20" s="211">
        <f>AP20+AQ20+AR20+AS20+AT20</f>
        <v>1186.8130000000001</v>
      </c>
      <c r="AV20" s="301">
        <f>AU20/AO20</f>
        <v>0.34438688604888568</v>
      </c>
      <c r="AW20" s="277">
        <f>AJ20-AP20</f>
        <v>775.1</v>
      </c>
      <c r="AX20" s="277">
        <f t="shared" ref="AX20:BA22" si="13">AK20-AQ20</f>
        <v>24.600999999999999</v>
      </c>
      <c r="AY20" s="277">
        <f t="shared" si="13"/>
        <v>573.03500000000008</v>
      </c>
      <c r="AZ20" s="277">
        <f t="shared" si="13"/>
        <v>659.17200000000003</v>
      </c>
      <c r="BA20" s="277">
        <f t="shared" si="13"/>
        <v>227.44100000000003</v>
      </c>
      <c r="BB20" s="211">
        <f>AW20+AX20+AY20+AZ20+BA20</f>
        <v>2259.3490000000002</v>
      </c>
      <c r="BC20" s="289">
        <f t="shared" ref="BC20:BC22" si="14">BB20/AO20</f>
        <v>0.65561311395111432</v>
      </c>
      <c r="BD20" s="74"/>
      <c r="BF20" s="98" t="s">
        <v>0</v>
      </c>
      <c r="BG20" s="18" t="s">
        <v>11</v>
      </c>
      <c r="BH20" s="16"/>
      <c r="BI20" s="99">
        <f>BH20*K20</f>
        <v>0</v>
      </c>
      <c r="BJ20" s="99">
        <v>0</v>
      </c>
      <c r="BK20" s="99">
        <f>BJ20*K20</f>
        <v>0</v>
      </c>
      <c r="BL20" s="99">
        <v>0</v>
      </c>
      <c r="BM20" s="100">
        <f>BL20*K20</f>
        <v>0</v>
      </c>
      <c r="BO20" s="228"/>
      <c r="BR20" s="228"/>
      <c r="CD20" s="9" t="s">
        <v>153</v>
      </c>
      <c r="CF20" s="9" t="s">
        <v>149</v>
      </c>
      <c r="CG20" s="9" t="s">
        <v>42</v>
      </c>
      <c r="CK20" s="9" t="s">
        <v>148</v>
      </c>
      <c r="CQ20" s="72">
        <f>IF(BG20="základná",AJ20,0)</f>
        <v>0</v>
      </c>
      <c r="CR20" s="72">
        <f>IF(BG20="znížená",AJ20,0)</f>
        <v>775.1</v>
      </c>
      <c r="CS20" s="72">
        <f>IF(BG20="zákl. prenesená",AJ20,0)</f>
        <v>0</v>
      </c>
      <c r="CT20" s="72">
        <f>IF(BG20="zníž. prenesená",AJ20,0)</f>
        <v>0</v>
      </c>
      <c r="CU20" s="72">
        <f>IF(BG20="nulová",AJ20,0)</f>
        <v>0</v>
      </c>
      <c r="CV20" s="9" t="s">
        <v>42</v>
      </c>
      <c r="CW20" s="101">
        <f>ROUND(AE20*K20,3)</f>
        <v>775.1</v>
      </c>
      <c r="CX20" s="9" t="s">
        <v>153</v>
      </c>
      <c r="CY20" s="9" t="s">
        <v>397</v>
      </c>
    </row>
    <row r="21" spans="2:103" s="1" customFormat="1" ht="31.5" customHeight="1">
      <c r="B21" s="73"/>
      <c r="C21" s="93" t="s">
        <v>42</v>
      </c>
      <c r="D21" s="93" t="s">
        <v>149</v>
      </c>
      <c r="E21" s="94" t="s">
        <v>398</v>
      </c>
      <c r="F21" s="498" t="s">
        <v>399</v>
      </c>
      <c r="G21" s="498"/>
      <c r="H21" s="498"/>
      <c r="I21" s="498"/>
      <c r="J21" s="95" t="s">
        <v>396</v>
      </c>
      <c r="K21" s="211">
        <v>3.5230000000000001</v>
      </c>
      <c r="L21" s="211">
        <v>3.5230000000000001</v>
      </c>
      <c r="M21" s="211">
        <v>5</v>
      </c>
      <c r="N21" s="211">
        <v>5</v>
      </c>
      <c r="O21" s="211">
        <v>3.5230000000000001</v>
      </c>
      <c r="P21" s="279">
        <f>SUM(K21:O21)</f>
        <v>20.568999999999999</v>
      </c>
      <c r="Q21" s="277">
        <v>0</v>
      </c>
      <c r="R21" s="211">
        <v>3.5230000000000001</v>
      </c>
      <c r="S21" s="211">
        <v>5</v>
      </c>
      <c r="T21" s="211">
        <v>0</v>
      </c>
      <c r="U21" s="211">
        <v>3.5230000000000001</v>
      </c>
      <c r="V21" s="290">
        <f>SUM(Q21:U21)</f>
        <v>12.045999999999999</v>
      </c>
      <c r="W21" s="289">
        <f t="shared" ref="W21:W22" si="15">V21/P21</f>
        <v>0.58563858233263644</v>
      </c>
      <c r="X21" s="277">
        <f t="shared" si="7"/>
        <v>3.5230000000000001</v>
      </c>
      <c r="Y21" s="277">
        <f t="shared" si="7"/>
        <v>0</v>
      </c>
      <c r="Z21" s="277">
        <f t="shared" si="7"/>
        <v>0</v>
      </c>
      <c r="AA21" s="277">
        <f t="shared" si="7"/>
        <v>5</v>
      </c>
      <c r="AB21" s="277">
        <f t="shared" si="7"/>
        <v>0</v>
      </c>
      <c r="AC21" s="220">
        <f>SUM(X21:AB21)</f>
        <v>8.5229999999999997</v>
      </c>
      <c r="AD21" s="289">
        <f t="shared" ref="AD21:AD22" si="16">AC21/P21</f>
        <v>0.41436141766736351</v>
      </c>
      <c r="AE21" s="221">
        <v>4.8</v>
      </c>
      <c r="AF21" s="221">
        <v>4.8</v>
      </c>
      <c r="AG21" s="221">
        <v>4.8</v>
      </c>
      <c r="AH21" s="221">
        <v>4.8</v>
      </c>
      <c r="AI21" s="221">
        <v>4.8</v>
      </c>
      <c r="AJ21" s="211">
        <f>ROUND(AE21*K21,3)</f>
        <v>16.91</v>
      </c>
      <c r="AK21" s="211">
        <f>ROUND(AE21*L21,3)</f>
        <v>16.91</v>
      </c>
      <c r="AL21" s="211">
        <f>ROUND(AE21*M21,3)</f>
        <v>24</v>
      </c>
      <c r="AM21" s="211">
        <f>ROUND(AE21*N21,3)</f>
        <v>24</v>
      </c>
      <c r="AN21" s="211">
        <f>ROUND(AE21*O21,3)</f>
        <v>16.91</v>
      </c>
      <c r="AO21" s="295">
        <f>AJ21+AK21+AL21+AM21+AN21</f>
        <v>98.72999999999999</v>
      </c>
      <c r="AP21" s="277">
        <f t="shared" si="8"/>
        <v>0</v>
      </c>
      <c r="AQ21" s="277">
        <f t="shared" si="9"/>
        <v>16.91</v>
      </c>
      <c r="AR21" s="277">
        <f t="shared" si="10"/>
        <v>24</v>
      </c>
      <c r="AS21" s="277">
        <f t="shared" si="11"/>
        <v>0</v>
      </c>
      <c r="AT21" s="277">
        <f t="shared" si="12"/>
        <v>16.91</v>
      </c>
      <c r="AU21" s="211">
        <f>AP21+AQ21+AR21+AS21+AT21</f>
        <v>57.819999999999993</v>
      </c>
      <c r="AV21" s="301">
        <f t="shared" ref="AV21:AV22" si="17">AU21/AO21</f>
        <v>0.58563759748809885</v>
      </c>
      <c r="AW21" s="277">
        <f t="shared" ref="AW21:AW22" si="18">AJ21-AP21</f>
        <v>16.91</v>
      </c>
      <c r="AX21" s="277">
        <f t="shared" si="13"/>
        <v>0</v>
      </c>
      <c r="AY21" s="277">
        <f t="shared" si="13"/>
        <v>0</v>
      </c>
      <c r="AZ21" s="277">
        <f t="shared" si="13"/>
        <v>24</v>
      </c>
      <c r="BA21" s="277">
        <f t="shared" si="13"/>
        <v>0</v>
      </c>
      <c r="BB21" s="211">
        <f>AW21+AX21+AY21+AZ21+BA21</f>
        <v>40.909999999999997</v>
      </c>
      <c r="BC21" s="289">
        <f t="shared" si="14"/>
        <v>0.41436240251190115</v>
      </c>
      <c r="BD21" s="74"/>
      <c r="BF21" s="98" t="s">
        <v>0</v>
      </c>
      <c r="BG21" s="18" t="s">
        <v>11</v>
      </c>
      <c r="BH21" s="16"/>
      <c r="BI21" s="99">
        <f>BH21*K21</f>
        <v>0</v>
      </c>
      <c r="BJ21" s="99">
        <v>0</v>
      </c>
      <c r="BK21" s="99">
        <f>BJ21*K21</f>
        <v>0</v>
      </c>
      <c r="BL21" s="99">
        <v>0</v>
      </c>
      <c r="BM21" s="100">
        <f>BL21*K21</f>
        <v>0</v>
      </c>
      <c r="CD21" s="9" t="s">
        <v>153</v>
      </c>
      <c r="CF21" s="9" t="s">
        <v>149</v>
      </c>
      <c r="CG21" s="9" t="s">
        <v>42</v>
      </c>
      <c r="CK21" s="9" t="s">
        <v>148</v>
      </c>
      <c r="CQ21" s="72">
        <f>IF(BG21="základná",AJ21,0)</f>
        <v>0</v>
      </c>
      <c r="CR21" s="72">
        <f>IF(BG21="znížená",AJ21,0)</f>
        <v>16.91</v>
      </c>
      <c r="CS21" s="72">
        <f>IF(BG21="zákl. prenesená",AJ21,0)</f>
        <v>0</v>
      </c>
      <c r="CT21" s="72">
        <f>IF(BG21="zníž. prenesená",AJ21,0)</f>
        <v>0</v>
      </c>
      <c r="CU21" s="72">
        <f>IF(BG21="nulová",AJ21,0)</f>
        <v>0</v>
      </c>
      <c r="CV21" s="9" t="s">
        <v>42</v>
      </c>
      <c r="CW21" s="101">
        <f>ROUND(AE21*K21,3)</f>
        <v>16.91</v>
      </c>
      <c r="CX21" s="9" t="s">
        <v>153</v>
      </c>
      <c r="CY21" s="9" t="s">
        <v>400</v>
      </c>
    </row>
    <row r="22" spans="2:103" s="1" customFormat="1" ht="44.25" customHeight="1">
      <c r="B22" s="73"/>
      <c r="C22" s="93" t="s">
        <v>105</v>
      </c>
      <c r="D22" s="93" t="s">
        <v>149</v>
      </c>
      <c r="E22" s="94" t="s">
        <v>401</v>
      </c>
      <c r="F22" s="498" t="s">
        <v>402</v>
      </c>
      <c r="G22" s="498"/>
      <c r="H22" s="498"/>
      <c r="I22" s="498"/>
      <c r="J22" s="95" t="s">
        <v>396</v>
      </c>
      <c r="K22" s="211">
        <v>23</v>
      </c>
      <c r="L22" s="211">
        <v>23</v>
      </c>
      <c r="M22" s="211">
        <v>7.6130000000000004</v>
      </c>
      <c r="N22" s="211">
        <v>7.6130000000000004</v>
      </c>
      <c r="O22" s="211">
        <v>13</v>
      </c>
      <c r="P22" s="279">
        <f>SUM(K22:O22)</f>
        <v>74.225999999999999</v>
      </c>
      <c r="Q22" s="277">
        <v>0</v>
      </c>
      <c r="R22" s="211">
        <v>0</v>
      </c>
      <c r="S22" s="211">
        <v>0</v>
      </c>
      <c r="T22" s="211">
        <v>0</v>
      </c>
      <c r="U22" s="211">
        <v>0</v>
      </c>
      <c r="V22" s="290">
        <f>SUM(Q22:U22)</f>
        <v>0</v>
      </c>
      <c r="W22" s="289">
        <f t="shared" si="15"/>
        <v>0</v>
      </c>
      <c r="X22" s="277">
        <f t="shared" si="7"/>
        <v>23</v>
      </c>
      <c r="Y22" s="277">
        <f t="shared" si="7"/>
        <v>23</v>
      </c>
      <c r="Z22" s="277">
        <f t="shared" si="7"/>
        <v>7.6130000000000004</v>
      </c>
      <c r="AA22" s="277">
        <f t="shared" si="7"/>
        <v>7.6130000000000004</v>
      </c>
      <c r="AB22" s="277">
        <f t="shared" si="7"/>
        <v>13</v>
      </c>
      <c r="AC22" s="220">
        <f>SUM(X22:AB22)</f>
        <v>74.225999999999999</v>
      </c>
      <c r="AD22" s="289">
        <f t="shared" si="16"/>
        <v>1</v>
      </c>
      <c r="AE22" s="221">
        <v>8.99</v>
      </c>
      <c r="AF22" s="221">
        <v>8.99</v>
      </c>
      <c r="AG22" s="221">
        <v>8.99</v>
      </c>
      <c r="AH22" s="221">
        <v>8.99</v>
      </c>
      <c r="AI22" s="221">
        <v>8.99</v>
      </c>
      <c r="AJ22" s="211">
        <f>ROUND(AE22*K22,3)</f>
        <v>206.77</v>
      </c>
      <c r="AK22" s="211">
        <f>ROUND(AE22*L22,3)</f>
        <v>206.77</v>
      </c>
      <c r="AL22" s="211">
        <f>ROUND(AE22*M22,3)</f>
        <v>68.441000000000003</v>
      </c>
      <c r="AM22" s="211">
        <f>ROUND(AE22*N22,3)</f>
        <v>68.441000000000003</v>
      </c>
      <c r="AN22" s="211">
        <f>ROUND(AE22*O22,3)</f>
        <v>116.87</v>
      </c>
      <c r="AO22" s="295">
        <f>AJ22+AK22+AL22+AM22+AN22</f>
        <v>667.29200000000003</v>
      </c>
      <c r="AP22" s="277">
        <f t="shared" si="8"/>
        <v>0</v>
      </c>
      <c r="AQ22" s="277">
        <f t="shared" si="9"/>
        <v>0</v>
      </c>
      <c r="AR22" s="277">
        <f t="shared" si="10"/>
        <v>0</v>
      </c>
      <c r="AS22" s="277">
        <f t="shared" si="11"/>
        <v>0</v>
      </c>
      <c r="AT22" s="277">
        <f t="shared" si="12"/>
        <v>0</v>
      </c>
      <c r="AU22" s="211">
        <f>AP22+AQ22+AR22+AS22+AT22</f>
        <v>0</v>
      </c>
      <c r="AV22" s="301">
        <f t="shared" si="17"/>
        <v>0</v>
      </c>
      <c r="AW22" s="277">
        <f t="shared" si="18"/>
        <v>206.77</v>
      </c>
      <c r="AX22" s="277">
        <f t="shared" si="13"/>
        <v>206.77</v>
      </c>
      <c r="AY22" s="277">
        <f t="shared" si="13"/>
        <v>68.441000000000003</v>
      </c>
      <c r="AZ22" s="277">
        <f t="shared" si="13"/>
        <v>68.441000000000003</v>
      </c>
      <c r="BA22" s="277">
        <f t="shared" si="13"/>
        <v>116.87</v>
      </c>
      <c r="BB22" s="211">
        <f>AW22+AX22+AY22+AZ22+BA22</f>
        <v>667.29200000000003</v>
      </c>
      <c r="BC22" s="289">
        <f t="shared" si="14"/>
        <v>1</v>
      </c>
      <c r="BD22" s="74"/>
      <c r="BF22" s="98" t="s">
        <v>0</v>
      </c>
      <c r="BG22" s="18" t="s">
        <v>11</v>
      </c>
      <c r="BH22" s="16"/>
      <c r="BI22" s="99">
        <f>BH22*K22</f>
        <v>0</v>
      </c>
      <c r="BJ22" s="99">
        <v>0</v>
      </c>
      <c r="BK22" s="99">
        <f>BJ22*K22</f>
        <v>0</v>
      </c>
      <c r="BL22" s="99">
        <v>0</v>
      </c>
      <c r="BM22" s="100">
        <f>BL22*K22</f>
        <v>0</v>
      </c>
      <c r="BQ22" s="1">
        <v>8.64</v>
      </c>
      <c r="CD22" s="9" t="s">
        <v>153</v>
      </c>
      <c r="CF22" s="9" t="s">
        <v>149</v>
      </c>
      <c r="CG22" s="9" t="s">
        <v>42</v>
      </c>
      <c r="CK22" s="9" t="s">
        <v>148</v>
      </c>
      <c r="CQ22" s="72">
        <f>IF(BG22="základná",AJ22,0)</f>
        <v>0</v>
      </c>
      <c r="CR22" s="72">
        <f>IF(BG22="znížená",AJ22,0)</f>
        <v>206.77</v>
      </c>
      <c r="CS22" s="72">
        <f>IF(BG22="zákl. prenesená",AJ22,0)</f>
        <v>0</v>
      </c>
      <c r="CT22" s="72">
        <f>IF(BG22="zníž. prenesená",AJ22,0)</f>
        <v>0</v>
      </c>
      <c r="CU22" s="72">
        <f>IF(BG22="nulová",AJ22,0)</f>
        <v>0</v>
      </c>
      <c r="CV22" s="9" t="s">
        <v>42</v>
      </c>
      <c r="CW22" s="101">
        <f>ROUND(AE22*K22,3)</f>
        <v>206.77</v>
      </c>
      <c r="CX22" s="9" t="s">
        <v>153</v>
      </c>
      <c r="CY22" s="9" t="s">
        <v>403</v>
      </c>
    </row>
    <row r="23" spans="2:103" s="7" customFormat="1" ht="29.85" customHeight="1">
      <c r="B23" s="82"/>
      <c r="C23" s="83"/>
      <c r="D23" s="92" t="s">
        <v>393</v>
      </c>
      <c r="E23" s="92"/>
      <c r="F23" s="92"/>
      <c r="G23" s="92"/>
      <c r="H23" s="92"/>
      <c r="I23" s="92"/>
      <c r="J23" s="92"/>
      <c r="K23" s="219"/>
      <c r="L23" s="219"/>
      <c r="M23" s="219"/>
      <c r="N23" s="219"/>
      <c r="O23" s="219"/>
      <c r="P23" s="222"/>
      <c r="Q23" s="219"/>
      <c r="R23" s="219"/>
      <c r="S23" s="219"/>
      <c r="T23" s="219"/>
      <c r="U23" s="219"/>
      <c r="V23" s="222"/>
      <c r="W23" s="286"/>
      <c r="X23" s="219"/>
      <c r="Y23" s="219"/>
      <c r="Z23" s="219"/>
      <c r="AA23" s="219"/>
      <c r="AB23" s="219"/>
      <c r="AC23" s="222"/>
      <c r="AD23" s="286"/>
      <c r="AE23" s="219"/>
      <c r="AF23" s="219"/>
      <c r="AG23" s="219"/>
      <c r="AH23" s="219"/>
      <c r="AI23" s="219"/>
      <c r="AJ23" s="212">
        <f t="shared" ref="AJ23:AO23" si="19">SUM(AJ24:AJ27)</f>
        <v>322.33499999999998</v>
      </c>
      <c r="AK23" s="212">
        <f t="shared" si="19"/>
        <v>322.33499999999998</v>
      </c>
      <c r="AL23" s="212">
        <f t="shared" si="19"/>
        <v>962.3660000000001</v>
      </c>
      <c r="AM23" s="212">
        <f t="shared" si="19"/>
        <v>764.40499999999997</v>
      </c>
      <c r="AN23" s="212">
        <f t="shared" si="19"/>
        <v>557.57500000000005</v>
      </c>
      <c r="AO23" s="296">
        <f t="shared" si="19"/>
        <v>2929.0160000000001</v>
      </c>
      <c r="AP23" s="212">
        <f t="shared" ref="AP23:AU23" si="20">SUM(AP24:AP27)</f>
        <v>0</v>
      </c>
      <c r="AQ23" s="212">
        <f t="shared" si="20"/>
        <v>0</v>
      </c>
      <c r="AR23" s="212">
        <f t="shared" si="20"/>
        <v>0</v>
      </c>
      <c r="AS23" s="212">
        <f t="shared" si="20"/>
        <v>0</v>
      </c>
      <c r="AT23" s="212">
        <f t="shared" si="20"/>
        <v>0</v>
      </c>
      <c r="AU23" s="212">
        <f t="shared" si="20"/>
        <v>0</v>
      </c>
      <c r="AV23" s="302"/>
      <c r="AW23" s="212">
        <f t="shared" ref="AW23:BB23" si="21">SUM(AW24:AW27)</f>
        <v>322.33499999999998</v>
      </c>
      <c r="AX23" s="212">
        <f t="shared" si="21"/>
        <v>322.33499999999998</v>
      </c>
      <c r="AY23" s="212">
        <f t="shared" si="21"/>
        <v>962.3660000000001</v>
      </c>
      <c r="AZ23" s="212">
        <f t="shared" si="21"/>
        <v>764.40499999999997</v>
      </c>
      <c r="BA23" s="212">
        <f t="shared" si="21"/>
        <v>557.57500000000005</v>
      </c>
      <c r="BB23" s="212">
        <f t="shared" si="21"/>
        <v>2929.0160000000001</v>
      </c>
      <c r="BC23" s="302"/>
      <c r="BD23" s="85"/>
      <c r="BF23" s="86"/>
      <c r="BG23" s="83"/>
      <c r="BH23" s="83"/>
      <c r="BI23" s="87">
        <f>SUM(BI24:BI27)</f>
        <v>0</v>
      </c>
      <c r="BJ23" s="83"/>
      <c r="BK23" s="87">
        <f>SUM(BK24:BK27)</f>
        <v>0</v>
      </c>
      <c r="BL23" s="83"/>
      <c r="BM23" s="88">
        <f>SUM(BM24:BM27)</f>
        <v>0</v>
      </c>
      <c r="CD23" s="89" t="s">
        <v>38</v>
      </c>
      <c r="CF23" s="90" t="s">
        <v>30</v>
      </c>
      <c r="CG23" s="90" t="s">
        <v>38</v>
      </c>
      <c r="CK23" s="89" t="s">
        <v>148</v>
      </c>
      <c r="CW23" s="91">
        <f>SUM(CW24:CW27)</f>
        <v>322.33499999999998</v>
      </c>
    </row>
    <row r="24" spans="2:103" s="1" customFormat="1" ht="31.5" customHeight="1">
      <c r="B24" s="73"/>
      <c r="C24" s="93" t="s">
        <v>153</v>
      </c>
      <c r="D24" s="93" t="s">
        <v>149</v>
      </c>
      <c r="E24" s="94" t="s">
        <v>404</v>
      </c>
      <c r="F24" s="498" t="s">
        <v>405</v>
      </c>
      <c r="G24" s="498"/>
      <c r="H24" s="498"/>
      <c r="I24" s="498"/>
      <c r="J24" s="95" t="s">
        <v>396</v>
      </c>
      <c r="K24" s="211">
        <v>1.5229999999999999</v>
      </c>
      <c r="L24" s="211">
        <v>1.5229999999999999</v>
      </c>
      <c r="M24" s="211">
        <v>5.9249999999999998</v>
      </c>
      <c r="N24" s="211">
        <v>4.5</v>
      </c>
      <c r="O24" s="211">
        <v>3.5230000000000001</v>
      </c>
      <c r="P24" s="279">
        <f>SUM(K24:O24)</f>
        <v>16.994</v>
      </c>
      <c r="Q24" s="277">
        <v>0</v>
      </c>
      <c r="R24" s="211">
        <v>0</v>
      </c>
      <c r="S24" s="211">
        <v>0</v>
      </c>
      <c r="T24" s="211">
        <v>0</v>
      </c>
      <c r="U24" s="211">
        <v>0</v>
      </c>
      <c r="V24" s="290">
        <f>SUM(Q24:U24)</f>
        <v>0</v>
      </c>
      <c r="W24" s="289">
        <f t="shared" ref="W24:W27" si="22">V24/P24</f>
        <v>0</v>
      </c>
      <c r="X24" s="277">
        <f t="shared" ref="X24:AB27" si="23">K24-Q24</f>
        <v>1.5229999999999999</v>
      </c>
      <c r="Y24" s="277">
        <f t="shared" si="23"/>
        <v>1.5229999999999999</v>
      </c>
      <c r="Z24" s="277">
        <f t="shared" si="23"/>
        <v>5.9249999999999998</v>
      </c>
      <c r="AA24" s="277">
        <f t="shared" si="23"/>
        <v>4.5</v>
      </c>
      <c r="AB24" s="277">
        <f t="shared" si="23"/>
        <v>3.5230000000000001</v>
      </c>
      <c r="AC24" s="220">
        <f>SUM(X24:AB24)</f>
        <v>16.994</v>
      </c>
      <c r="AD24" s="289">
        <f t="shared" ref="AD24:AD27" si="24">AC24/P24</f>
        <v>1</v>
      </c>
      <c r="AE24" s="221">
        <v>36.25</v>
      </c>
      <c r="AF24" s="221">
        <v>36.25</v>
      </c>
      <c r="AG24" s="221">
        <v>36.25</v>
      </c>
      <c r="AH24" s="221">
        <v>36.25</v>
      </c>
      <c r="AI24" s="221">
        <v>36.25</v>
      </c>
      <c r="AJ24" s="211">
        <f>ROUND(AE24*K24,3)</f>
        <v>55.209000000000003</v>
      </c>
      <c r="AK24" s="211">
        <f>ROUND(AE24*L24,3)</f>
        <v>55.209000000000003</v>
      </c>
      <c r="AL24" s="211">
        <f>ROUND(AE24*M24,3)</f>
        <v>214.78100000000001</v>
      </c>
      <c r="AM24" s="211">
        <f>ROUND(AE24*N24,3)</f>
        <v>163.125</v>
      </c>
      <c r="AN24" s="211">
        <f>ROUND(AE24*O24,3)</f>
        <v>127.709</v>
      </c>
      <c r="AO24" s="295">
        <f>AJ24+AK24+AL24+AM24+AN24</f>
        <v>616.03300000000002</v>
      </c>
      <c r="AP24" s="277">
        <f t="shared" ref="AP24:AP27" si="25">ROUND(Q24*AE24,3)</f>
        <v>0</v>
      </c>
      <c r="AQ24" s="277">
        <f t="shared" ref="AQ24:AQ27" si="26">ROUND(R24*AF24,3)</f>
        <v>0</v>
      </c>
      <c r="AR24" s="277">
        <f t="shared" ref="AR24:AR27" si="27">ROUND(S24*AG24,3)</f>
        <v>0</v>
      </c>
      <c r="AS24" s="277">
        <f t="shared" ref="AS24:AS27" si="28">ROUND(T24*AH24,3)</f>
        <v>0</v>
      </c>
      <c r="AT24" s="277">
        <f t="shared" ref="AT24:AT27" si="29">ROUND(U24*AI24,3)</f>
        <v>0</v>
      </c>
      <c r="AU24" s="211">
        <f>AP24+AQ24+AR24+AS24+AT24</f>
        <v>0</v>
      </c>
      <c r="AV24" s="301">
        <f t="shared" ref="AV24:AV27" si="30">AU24/AO24</f>
        <v>0</v>
      </c>
      <c r="AW24" s="277">
        <f t="shared" ref="AW24:AW27" si="31">AJ24-AP24</f>
        <v>55.209000000000003</v>
      </c>
      <c r="AX24" s="277">
        <f t="shared" ref="AX24:AX27" si="32">AK24-AQ24</f>
        <v>55.209000000000003</v>
      </c>
      <c r="AY24" s="277">
        <f t="shared" ref="AY24:AY27" si="33">AL24-AR24</f>
        <v>214.78100000000001</v>
      </c>
      <c r="AZ24" s="277">
        <f t="shared" ref="AZ24:AZ27" si="34">AM24-AS24</f>
        <v>163.125</v>
      </c>
      <c r="BA24" s="277">
        <f t="shared" ref="BA24:BA27" si="35">AN24-AT24</f>
        <v>127.709</v>
      </c>
      <c r="BB24" s="211">
        <f>AW24+AX24+AY24+AZ24+BA24</f>
        <v>616.03300000000002</v>
      </c>
      <c r="BC24" s="289">
        <f t="shared" ref="BC24:BC27" si="36">BB24/AO24</f>
        <v>1</v>
      </c>
      <c r="BD24" s="74"/>
      <c r="BF24" s="98" t="s">
        <v>0</v>
      </c>
      <c r="BG24" s="18" t="s">
        <v>11</v>
      </c>
      <c r="BH24" s="16"/>
      <c r="BI24" s="99">
        <f>BH24*K24</f>
        <v>0</v>
      </c>
      <c r="BJ24" s="99">
        <v>0</v>
      </c>
      <c r="BK24" s="99">
        <f>BJ24*K24</f>
        <v>0</v>
      </c>
      <c r="BL24" s="99">
        <v>0</v>
      </c>
      <c r="BM24" s="100">
        <f>BL24*K24</f>
        <v>0</v>
      </c>
      <c r="BQ24" s="1">
        <v>34.86</v>
      </c>
      <c r="CD24" s="9" t="s">
        <v>153</v>
      </c>
      <c r="CF24" s="9" t="s">
        <v>149</v>
      </c>
      <c r="CG24" s="9" t="s">
        <v>42</v>
      </c>
      <c r="CK24" s="9" t="s">
        <v>148</v>
      </c>
      <c r="CQ24" s="72">
        <f>IF(BG24="základná",AJ24,0)</f>
        <v>0</v>
      </c>
      <c r="CR24" s="72">
        <f>IF(BG24="znížená",AJ24,0)</f>
        <v>55.209000000000003</v>
      </c>
      <c r="CS24" s="72">
        <f>IF(BG24="zákl. prenesená",AJ24,0)</f>
        <v>0</v>
      </c>
      <c r="CT24" s="72">
        <f>IF(BG24="zníž. prenesená",AJ24,0)</f>
        <v>0</v>
      </c>
      <c r="CU24" s="72">
        <f>IF(BG24="nulová",AJ24,0)</f>
        <v>0</v>
      </c>
      <c r="CV24" s="9" t="s">
        <v>42</v>
      </c>
      <c r="CW24" s="101">
        <f>ROUND(AE24*K24,3)</f>
        <v>55.209000000000003</v>
      </c>
      <c r="CX24" s="9" t="s">
        <v>153</v>
      </c>
      <c r="CY24" s="9" t="s">
        <v>406</v>
      </c>
    </row>
    <row r="25" spans="2:103" s="1" customFormat="1" ht="22.5" customHeight="1">
      <c r="B25" s="73"/>
      <c r="C25" s="93" t="s">
        <v>156</v>
      </c>
      <c r="D25" s="93" t="s">
        <v>149</v>
      </c>
      <c r="E25" s="94" t="s">
        <v>407</v>
      </c>
      <c r="F25" s="498" t="s">
        <v>408</v>
      </c>
      <c r="G25" s="498"/>
      <c r="H25" s="498"/>
      <c r="I25" s="498"/>
      <c r="J25" s="95" t="s">
        <v>396</v>
      </c>
      <c r="K25" s="211">
        <v>1.5229999999999999</v>
      </c>
      <c r="L25" s="211">
        <v>1.5229999999999999</v>
      </c>
      <c r="M25" s="211">
        <v>5.9249999999999998</v>
      </c>
      <c r="N25" s="211">
        <v>4.5</v>
      </c>
      <c r="O25" s="211">
        <v>3.5230000000000001</v>
      </c>
      <c r="P25" s="279">
        <f>SUM(K25:O25)</f>
        <v>16.994</v>
      </c>
      <c r="Q25" s="277">
        <v>0</v>
      </c>
      <c r="R25" s="211">
        <v>0</v>
      </c>
      <c r="S25" s="211">
        <v>0</v>
      </c>
      <c r="T25" s="211">
        <v>0</v>
      </c>
      <c r="U25" s="211">
        <v>0</v>
      </c>
      <c r="V25" s="290">
        <f>SUM(Q25:U25)</f>
        <v>0</v>
      </c>
      <c r="W25" s="289">
        <f t="shared" si="22"/>
        <v>0</v>
      </c>
      <c r="X25" s="277">
        <f t="shared" si="23"/>
        <v>1.5229999999999999</v>
      </c>
      <c r="Y25" s="277">
        <f t="shared" si="23"/>
        <v>1.5229999999999999</v>
      </c>
      <c r="Z25" s="277">
        <f t="shared" si="23"/>
        <v>5.9249999999999998</v>
      </c>
      <c r="AA25" s="277">
        <f t="shared" si="23"/>
        <v>4.5</v>
      </c>
      <c r="AB25" s="277">
        <f t="shared" si="23"/>
        <v>3.5230000000000001</v>
      </c>
      <c r="AC25" s="220">
        <f>SUM(X25:AB25)</f>
        <v>16.994</v>
      </c>
      <c r="AD25" s="289">
        <f t="shared" si="24"/>
        <v>1</v>
      </c>
      <c r="AE25" s="221">
        <v>102.67</v>
      </c>
      <c r="AF25" s="221">
        <v>102.67</v>
      </c>
      <c r="AG25" s="221">
        <v>102.67</v>
      </c>
      <c r="AH25" s="221">
        <v>102.67</v>
      </c>
      <c r="AI25" s="221">
        <v>102.67</v>
      </c>
      <c r="AJ25" s="211">
        <f>ROUND(AE25*K25,3)</f>
        <v>156.36600000000001</v>
      </c>
      <c r="AK25" s="211">
        <f>ROUND(AE25*L25,3)</f>
        <v>156.36600000000001</v>
      </c>
      <c r="AL25" s="211">
        <f>ROUND(AE25*M25,3)</f>
        <v>608.32000000000005</v>
      </c>
      <c r="AM25" s="211">
        <f>ROUND(AE25*N25,3)</f>
        <v>462.01499999999999</v>
      </c>
      <c r="AN25" s="211">
        <f>ROUND(AE25*O25,3)</f>
        <v>361.70600000000002</v>
      </c>
      <c r="AO25" s="295">
        <f>AJ25+AK25+AL25+AM25+AN25</f>
        <v>1744.7730000000001</v>
      </c>
      <c r="AP25" s="277">
        <f t="shared" si="25"/>
        <v>0</v>
      </c>
      <c r="AQ25" s="277">
        <f t="shared" si="26"/>
        <v>0</v>
      </c>
      <c r="AR25" s="277">
        <f t="shared" si="27"/>
        <v>0</v>
      </c>
      <c r="AS25" s="277">
        <f t="shared" si="28"/>
        <v>0</v>
      </c>
      <c r="AT25" s="277">
        <f t="shared" si="29"/>
        <v>0</v>
      </c>
      <c r="AU25" s="211">
        <f>AP25+AQ25+AR25+AS25+AT25</f>
        <v>0</v>
      </c>
      <c r="AV25" s="301">
        <f t="shared" si="30"/>
        <v>0</v>
      </c>
      <c r="AW25" s="277">
        <f t="shared" si="31"/>
        <v>156.36600000000001</v>
      </c>
      <c r="AX25" s="277">
        <f t="shared" si="32"/>
        <v>156.36600000000001</v>
      </c>
      <c r="AY25" s="277">
        <f t="shared" si="33"/>
        <v>608.32000000000005</v>
      </c>
      <c r="AZ25" s="277">
        <f t="shared" si="34"/>
        <v>462.01499999999999</v>
      </c>
      <c r="BA25" s="277">
        <f t="shared" si="35"/>
        <v>361.70600000000002</v>
      </c>
      <c r="BB25" s="211">
        <f>AW25+AX25+AY25+AZ25+BA25</f>
        <v>1744.7730000000001</v>
      </c>
      <c r="BC25" s="289">
        <f t="shared" si="36"/>
        <v>1</v>
      </c>
      <c r="BD25" s="74"/>
      <c r="BF25" s="98" t="s">
        <v>0</v>
      </c>
      <c r="BG25" s="18" t="s">
        <v>11</v>
      </c>
      <c r="BH25" s="16"/>
      <c r="BI25" s="99">
        <f>BH25*K25</f>
        <v>0</v>
      </c>
      <c r="BJ25" s="99">
        <v>0</v>
      </c>
      <c r="BK25" s="99">
        <f>BJ25*K25</f>
        <v>0</v>
      </c>
      <c r="BL25" s="99">
        <v>0</v>
      </c>
      <c r="BM25" s="100">
        <f>BL25*K25</f>
        <v>0</v>
      </c>
      <c r="BQ25" s="1">
        <v>98.72</v>
      </c>
      <c r="CD25" s="9" t="s">
        <v>153</v>
      </c>
      <c r="CF25" s="9" t="s">
        <v>149</v>
      </c>
      <c r="CG25" s="9" t="s">
        <v>42</v>
      </c>
      <c r="CK25" s="9" t="s">
        <v>148</v>
      </c>
      <c r="CQ25" s="72">
        <f>IF(BG25="základná",AJ25,0)</f>
        <v>0</v>
      </c>
      <c r="CR25" s="72">
        <f>IF(BG25="znížená",AJ25,0)</f>
        <v>156.36600000000001</v>
      </c>
      <c r="CS25" s="72">
        <f>IF(BG25="zákl. prenesená",AJ25,0)</f>
        <v>0</v>
      </c>
      <c r="CT25" s="72">
        <f>IF(BG25="zníž. prenesená",AJ25,0)</f>
        <v>0</v>
      </c>
      <c r="CU25" s="72">
        <f>IF(BG25="nulová",AJ25,0)</f>
        <v>0</v>
      </c>
      <c r="CV25" s="9" t="s">
        <v>42</v>
      </c>
      <c r="CW25" s="101">
        <f>ROUND(AE25*K25,3)</f>
        <v>156.36600000000001</v>
      </c>
      <c r="CX25" s="9" t="s">
        <v>153</v>
      </c>
      <c r="CY25" s="9" t="s">
        <v>409</v>
      </c>
    </row>
    <row r="26" spans="2:103" s="1" customFormat="1" ht="31.5" customHeight="1">
      <c r="B26" s="73"/>
      <c r="C26" s="93" t="s">
        <v>159</v>
      </c>
      <c r="D26" s="93" t="s">
        <v>149</v>
      </c>
      <c r="E26" s="94" t="s">
        <v>410</v>
      </c>
      <c r="F26" s="498" t="s">
        <v>411</v>
      </c>
      <c r="G26" s="498"/>
      <c r="H26" s="498"/>
      <c r="I26" s="498"/>
      <c r="J26" s="95" t="s">
        <v>168</v>
      </c>
      <c r="K26" s="211">
        <v>39</v>
      </c>
      <c r="L26" s="211">
        <v>39</v>
      </c>
      <c r="M26" s="211">
        <v>47.88</v>
      </c>
      <c r="N26" s="211">
        <v>47.88</v>
      </c>
      <c r="O26" s="211">
        <v>24</v>
      </c>
      <c r="P26" s="279">
        <f>SUM(K26:O26)</f>
        <v>197.76</v>
      </c>
      <c r="Q26" s="277">
        <v>0</v>
      </c>
      <c r="R26" s="211">
        <v>0</v>
      </c>
      <c r="S26" s="211">
        <v>0</v>
      </c>
      <c r="T26" s="211">
        <v>0</v>
      </c>
      <c r="U26" s="211">
        <v>0</v>
      </c>
      <c r="V26" s="290">
        <f>SUM(Q26:U26)</f>
        <v>0</v>
      </c>
      <c r="W26" s="289">
        <f t="shared" si="22"/>
        <v>0</v>
      </c>
      <c r="X26" s="277">
        <f t="shared" si="23"/>
        <v>39</v>
      </c>
      <c r="Y26" s="277">
        <f t="shared" si="23"/>
        <v>39</v>
      </c>
      <c r="Z26" s="277">
        <f t="shared" si="23"/>
        <v>47.88</v>
      </c>
      <c r="AA26" s="277">
        <f t="shared" si="23"/>
        <v>47.88</v>
      </c>
      <c r="AB26" s="277">
        <f t="shared" si="23"/>
        <v>24</v>
      </c>
      <c r="AC26" s="220">
        <f>SUM(X26:AB26)</f>
        <v>197.76</v>
      </c>
      <c r="AD26" s="289">
        <f t="shared" si="24"/>
        <v>1</v>
      </c>
      <c r="AE26" s="221">
        <v>1.29</v>
      </c>
      <c r="AF26" s="221">
        <v>1.29</v>
      </c>
      <c r="AG26" s="221">
        <v>1.29</v>
      </c>
      <c r="AH26" s="221">
        <v>1.29</v>
      </c>
      <c r="AI26" s="221">
        <v>1.29</v>
      </c>
      <c r="AJ26" s="211">
        <f>ROUND(AE26*K26,3)</f>
        <v>50.31</v>
      </c>
      <c r="AK26" s="211">
        <f>ROUND(AE26*L26,3)</f>
        <v>50.31</v>
      </c>
      <c r="AL26" s="211">
        <f>ROUND(AE26*M26,3)</f>
        <v>61.765000000000001</v>
      </c>
      <c r="AM26" s="211">
        <f>ROUND(AE26*N26,3)</f>
        <v>61.765000000000001</v>
      </c>
      <c r="AN26" s="211">
        <f>ROUND(AE26*O26,3)</f>
        <v>30.96</v>
      </c>
      <c r="AO26" s="295">
        <f>AJ26+AK26+AL26+AM26+AN26</f>
        <v>255.10999999999999</v>
      </c>
      <c r="AP26" s="277">
        <f t="shared" si="25"/>
        <v>0</v>
      </c>
      <c r="AQ26" s="277">
        <f t="shared" si="26"/>
        <v>0</v>
      </c>
      <c r="AR26" s="277">
        <f t="shared" si="27"/>
        <v>0</v>
      </c>
      <c r="AS26" s="277">
        <f t="shared" si="28"/>
        <v>0</v>
      </c>
      <c r="AT26" s="277">
        <f t="shared" si="29"/>
        <v>0</v>
      </c>
      <c r="AU26" s="211">
        <f>AP26+AQ26+AR26+AS26+AT26</f>
        <v>0</v>
      </c>
      <c r="AV26" s="301">
        <f t="shared" si="30"/>
        <v>0</v>
      </c>
      <c r="AW26" s="277">
        <f t="shared" si="31"/>
        <v>50.31</v>
      </c>
      <c r="AX26" s="277">
        <f t="shared" si="32"/>
        <v>50.31</v>
      </c>
      <c r="AY26" s="277">
        <f t="shared" si="33"/>
        <v>61.765000000000001</v>
      </c>
      <c r="AZ26" s="277">
        <f t="shared" si="34"/>
        <v>61.765000000000001</v>
      </c>
      <c r="BA26" s="277">
        <f t="shared" si="35"/>
        <v>30.96</v>
      </c>
      <c r="BB26" s="211">
        <f>AW26+AX26+AY26+AZ26+BA26</f>
        <v>255.10999999999999</v>
      </c>
      <c r="BC26" s="289">
        <f t="shared" si="36"/>
        <v>1</v>
      </c>
      <c r="BD26" s="74"/>
      <c r="BF26" s="98" t="s">
        <v>0</v>
      </c>
      <c r="BG26" s="18" t="s">
        <v>11</v>
      </c>
      <c r="BH26" s="16"/>
      <c r="BI26" s="99">
        <f>BH26*K26</f>
        <v>0</v>
      </c>
      <c r="BJ26" s="99">
        <v>0</v>
      </c>
      <c r="BK26" s="99">
        <f>BJ26*K26</f>
        <v>0</v>
      </c>
      <c r="BL26" s="99">
        <v>0</v>
      </c>
      <c r="BM26" s="100">
        <f>BL26*K26</f>
        <v>0</v>
      </c>
      <c r="BQ26" s="1">
        <v>1.24</v>
      </c>
      <c r="CD26" s="9" t="s">
        <v>153</v>
      </c>
      <c r="CF26" s="9" t="s">
        <v>149</v>
      </c>
      <c r="CG26" s="9" t="s">
        <v>42</v>
      </c>
      <c r="CK26" s="9" t="s">
        <v>148</v>
      </c>
      <c r="CQ26" s="72">
        <f>IF(BG26="základná",AJ26,0)</f>
        <v>0</v>
      </c>
      <c r="CR26" s="72">
        <f>IF(BG26="znížená",AJ26,0)</f>
        <v>50.31</v>
      </c>
      <c r="CS26" s="72">
        <f>IF(BG26="zákl. prenesená",AJ26,0)</f>
        <v>0</v>
      </c>
      <c r="CT26" s="72">
        <f>IF(BG26="zníž. prenesená",AJ26,0)</f>
        <v>0</v>
      </c>
      <c r="CU26" s="72">
        <f>IF(BG26="nulová",AJ26,0)</f>
        <v>0</v>
      </c>
      <c r="CV26" s="9" t="s">
        <v>42</v>
      </c>
      <c r="CW26" s="101">
        <f>ROUND(AE26*K26,3)</f>
        <v>50.31</v>
      </c>
      <c r="CX26" s="9" t="s">
        <v>153</v>
      </c>
      <c r="CY26" s="9" t="s">
        <v>412</v>
      </c>
    </row>
    <row r="27" spans="2:103" s="1" customFormat="1" ht="31.5" customHeight="1">
      <c r="B27" s="73"/>
      <c r="C27" s="102" t="s">
        <v>162</v>
      </c>
      <c r="D27" s="102" t="s">
        <v>171</v>
      </c>
      <c r="E27" s="103" t="s">
        <v>203</v>
      </c>
      <c r="F27" s="499" t="s">
        <v>204</v>
      </c>
      <c r="G27" s="499"/>
      <c r="H27" s="499"/>
      <c r="I27" s="499"/>
      <c r="J27" s="104" t="s">
        <v>168</v>
      </c>
      <c r="K27" s="223">
        <v>39</v>
      </c>
      <c r="L27" s="223">
        <v>39</v>
      </c>
      <c r="M27" s="223">
        <v>50</v>
      </c>
      <c r="N27" s="223">
        <v>50</v>
      </c>
      <c r="O27" s="223">
        <v>24</v>
      </c>
      <c r="P27" s="279">
        <f>SUM(K27:O27)</f>
        <v>202</v>
      </c>
      <c r="Q27" s="278">
        <v>0</v>
      </c>
      <c r="R27" s="223">
        <v>0</v>
      </c>
      <c r="S27" s="223">
        <v>0</v>
      </c>
      <c r="T27" s="223">
        <v>0</v>
      </c>
      <c r="U27" s="223">
        <v>0</v>
      </c>
      <c r="V27" s="290">
        <f>SUM(Q27:U27)</f>
        <v>0</v>
      </c>
      <c r="W27" s="289">
        <f t="shared" si="22"/>
        <v>0</v>
      </c>
      <c r="X27" s="278">
        <f t="shared" si="23"/>
        <v>39</v>
      </c>
      <c r="Y27" s="278">
        <f t="shared" si="23"/>
        <v>39</v>
      </c>
      <c r="Z27" s="278">
        <f t="shared" si="23"/>
        <v>50</v>
      </c>
      <c r="AA27" s="278">
        <f t="shared" si="23"/>
        <v>50</v>
      </c>
      <c r="AB27" s="278">
        <f t="shared" si="23"/>
        <v>24</v>
      </c>
      <c r="AC27" s="220">
        <f>SUM(X27:AB27)</f>
        <v>202</v>
      </c>
      <c r="AD27" s="289">
        <f t="shared" si="24"/>
        <v>1</v>
      </c>
      <c r="AE27" s="224">
        <v>1.55</v>
      </c>
      <c r="AF27" s="224">
        <v>1.55</v>
      </c>
      <c r="AG27" s="224">
        <v>1.55</v>
      </c>
      <c r="AH27" s="224">
        <v>1.55</v>
      </c>
      <c r="AI27" s="224">
        <v>1.55</v>
      </c>
      <c r="AJ27" s="223">
        <f>ROUND(AE27*K27,3)</f>
        <v>60.45</v>
      </c>
      <c r="AK27" s="223">
        <f>ROUND(AE27*L27,3)</f>
        <v>60.45</v>
      </c>
      <c r="AL27" s="223">
        <f>ROUND(AE27*M27,3)</f>
        <v>77.5</v>
      </c>
      <c r="AM27" s="223">
        <f>ROUND(AE27*N27,3)</f>
        <v>77.5</v>
      </c>
      <c r="AN27" s="223">
        <f>ROUND(AE27*O27,3)</f>
        <v>37.200000000000003</v>
      </c>
      <c r="AO27" s="297">
        <f>AJ27+AK27+AL27+AM27+AN27</f>
        <v>313.09999999999997</v>
      </c>
      <c r="AP27" s="277">
        <f t="shared" si="25"/>
        <v>0</v>
      </c>
      <c r="AQ27" s="277">
        <f t="shared" si="26"/>
        <v>0</v>
      </c>
      <c r="AR27" s="277">
        <f t="shared" si="27"/>
        <v>0</v>
      </c>
      <c r="AS27" s="277">
        <f t="shared" si="28"/>
        <v>0</v>
      </c>
      <c r="AT27" s="277">
        <f t="shared" si="29"/>
        <v>0</v>
      </c>
      <c r="AU27" s="223">
        <f>AP27+AQ27+AR27+AS27+AT27</f>
        <v>0</v>
      </c>
      <c r="AV27" s="301">
        <f t="shared" si="30"/>
        <v>0</v>
      </c>
      <c r="AW27" s="277">
        <f t="shared" si="31"/>
        <v>60.45</v>
      </c>
      <c r="AX27" s="277">
        <f t="shared" si="32"/>
        <v>60.45</v>
      </c>
      <c r="AY27" s="277">
        <f t="shared" si="33"/>
        <v>77.5</v>
      </c>
      <c r="AZ27" s="277">
        <f t="shared" si="34"/>
        <v>77.5</v>
      </c>
      <c r="BA27" s="277">
        <f t="shared" si="35"/>
        <v>37.200000000000003</v>
      </c>
      <c r="BB27" s="223">
        <f>AW27+AX27+AY27+AZ27+BA27</f>
        <v>313.09999999999997</v>
      </c>
      <c r="BC27" s="289">
        <f t="shared" si="36"/>
        <v>1</v>
      </c>
      <c r="BD27" s="74"/>
      <c r="BE27" s="1" t="s">
        <v>951</v>
      </c>
      <c r="BF27" s="98" t="s">
        <v>0</v>
      </c>
      <c r="BG27" s="18" t="s">
        <v>11</v>
      </c>
      <c r="BH27" s="16"/>
      <c r="BI27" s="99">
        <f>BH27*K27</f>
        <v>0</v>
      </c>
      <c r="BJ27" s="99">
        <v>0</v>
      </c>
      <c r="BK27" s="99">
        <f>BJ27*K27</f>
        <v>0</v>
      </c>
      <c r="BL27" s="99">
        <v>0</v>
      </c>
      <c r="BM27" s="100">
        <f>BL27*K27</f>
        <v>0</v>
      </c>
      <c r="BO27" s="1" t="s">
        <v>952</v>
      </c>
      <c r="BQ27" s="1">
        <v>1.49</v>
      </c>
      <c r="CD27" s="9" t="s">
        <v>165</v>
      </c>
      <c r="CF27" s="9" t="s">
        <v>171</v>
      </c>
      <c r="CG27" s="9" t="s">
        <v>42</v>
      </c>
      <c r="CK27" s="9" t="s">
        <v>148</v>
      </c>
      <c r="CQ27" s="72">
        <f>IF(BG27="základná",AJ27,0)</f>
        <v>0</v>
      </c>
      <c r="CR27" s="72">
        <f>IF(BG27="znížená",AJ27,0)</f>
        <v>60.45</v>
      </c>
      <c r="CS27" s="72">
        <f>IF(BG27="zákl. prenesená",AJ27,0)</f>
        <v>0</v>
      </c>
      <c r="CT27" s="72">
        <f>IF(BG27="zníž. prenesená",AJ27,0)</f>
        <v>0</v>
      </c>
      <c r="CU27" s="72">
        <f>IF(BG27="nulová",AJ27,0)</f>
        <v>0</v>
      </c>
      <c r="CV27" s="9" t="s">
        <v>42</v>
      </c>
      <c r="CW27" s="101">
        <f>ROUND(AE27*K27,3)</f>
        <v>60.45</v>
      </c>
      <c r="CX27" s="9" t="s">
        <v>153</v>
      </c>
      <c r="CY27" s="9" t="s">
        <v>413</v>
      </c>
    </row>
    <row r="28" spans="2:103" s="7" customFormat="1" ht="29.85" customHeight="1">
      <c r="B28" s="82"/>
      <c r="C28" s="83"/>
      <c r="D28" s="92" t="s">
        <v>128</v>
      </c>
      <c r="E28" s="92"/>
      <c r="F28" s="92"/>
      <c r="G28" s="92"/>
      <c r="H28" s="92"/>
      <c r="I28" s="92"/>
      <c r="J28" s="92"/>
      <c r="K28" s="219"/>
      <c r="L28" s="219"/>
      <c r="M28" s="219"/>
      <c r="N28" s="219"/>
      <c r="O28" s="219"/>
      <c r="P28" s="222"/>
      <c r="Q28" s="219"/>
      <c r="R28" s="219"/>
      <c r="S28" s="219"/>
      <c r="T28" s="219"/>
      <c r="U28" s="219"/>
      <c r="V28" s="222"/>
      <c r="W28" s="286"/>
      <c r="X28" s="219"/>
      <c r="Y28" s="219"/>
      <c r="Z28" s="219"/>
      <c r="AA28" s="219"/>
      <c r="AB28" s="219"/>
      <c r="AC28" s="222"/>
      <c r="AD28" s="286"/>
      <c r="AE28" s="219"/>
      <c r="AF28" s="219"/>
      <c r="AG28" s="219"/>
      <c r="AH28" s="219"/>
      <c r="AI28" s="219"/>
      <c r="AJ28" s="212">
        <f t="shared" ref="AJ28:AO28" si="37">SUM(AJ29:AJ36)</f>
        <v>1411.3870000000002</v>
      </c>
      <c r="AK28" s="212">
        <f t="shared" si="37"/>
        <v>1411.3870000000002</v>
      </c>
      <c r="AL28" s="212">
        <f t="shared" si="37"/>
        <v>1889.2370000000001</v>
      </c>
      <c r="AM28" s="212">
        <f t="shared" si="37"/>
        <v>1690.1869999999999</v>
      </c>
      <c r="AN28" s="212">
        <f t="shared" si="37"/>
        <v>1699.3270000000002</v>
      </c>
      <c r="AO28" s="296">
        <f t="shared" si="37"/>
        <v>8101.5250000000015</v>
      </c>
      <c r="AP28" s="212">
        <f t="shared" ref="AP28:AU28" si="38">SUM(AP29:AP36)</f>
        <v>532.221</v>
      </c>
      <c r="AQ28" s="212">
        <f t="shared" si="38"/>
        <v>532.221</v>
      </c>
      <c r="AR28" s="212">
        <f t="shared" si="38"/>
        <v>844.64100000000008</v>
      </c>
      <c r="AS28" s="212">
        <f t="shared" si="38"/>
        <v>844.64100000000008</v>
      </c>
      <c r="AT28" s="212">
        <f t="shared" si="38"/>
        <v>858.50100000000009</v>
      </c>
      <c r="AU28" s="212">
        <f t="shared" si="38"/>
        <v>3612.2250000000004</v>
      </c>
      <c r="AV28" s="302"/>
      <c r="AW28" s="212">
        <f t="shared" ref="AW28:BB28" si="39">SUM(AW29:AW36)</f>
        <v>879.16599999999994</v>
      </c>
      <c r="AX28" s="212">
        <f t="shared" si="39"/>
        <v>879.16599999999994</v>
      </c>
      <c r="AY28" s="212">
        <f t="shared" si="39"/>
        <v>1044.596</v>
      </c>
      <c r="AZ28" s="212">
        <f t="shared" si="39"/>
        <v>845.54600000000005</v>
      </c>
      <c r="BA28" s="212">
        <f t="shared" si="39"/>
        <v>840.82600000000002</v>
      </c>
      <c r="BB28" s="212">
        <f t="shared" si="39"/>
        <v>4489.3</v>
      </c>
      <c r="BC28" s="302"/>
      <c r="BD28" s="85"/>
      <c r="BF28" s="86"/>
      <c r="BG28" s="83"/>
      <c r="BH28" s="83"/>
      <c r="BI28" s="87">
        <f>SUM(BI29:BI36)</f>
        <v>0</v>
      </c>
      <c r="BJ28" s="83"/>
      <c r="BK28" s="87">
        <f>SUM(BK29:BK36)</f>
        <v>0</v>
      </c>
      <c r="BL28" s="83"/>
      <c r="BM28" s="88">
        <f>SUM(BM29:BM36)</f>
        <v>0</v>
      </c>
      <c r="CD28" s="89" t="s">
        <v>38</v>
      </c>
      <c r="CF28" s="90" t="s">
        <v>30</v>
      </c>
      <c r="CG28" s="90" t="s">
        <v>38</v>
      </c>
      <c r="CK28" s="89" t="s">
        <v>148</v>
      </c>
      <c r="CW28" s="91">
        <f>SUM(CW29:CW36)</f>
        <v>1411.3870000000002</v>
      </c>
    </row>
    <row r="29" spans="2:103" s="1" customFormat="1" ht="31.5" customHeight="1">
      <c r="B29" s="73"/>
      <c r="C29" s="93" t="s">
        <v>165</v>
      </c>
      <c r="D29" s="93" t="s">
        <v>149</v>
      </c>
      <c r="E29" s="94" t="s">
        <v>414</v>
      </c>
      <c r="F29" s="498" t="s">
        <v>415</v>
      </c>
      <c r="G29" s="498"/>
      <c r="H29" s="498"/>
      <c r="I29" s="498"/>
      <c r="J29" s="95" t="s">
        <v>198</v>
      </c>
      <c r="K29" s="211">
        <v>65</v>
      </c>
      <c r="L29" s="211">
        <v>65</v>
      </c>
      <c r="M29" s="211">
        <v>75</v>
      </c>
      <c r="N29" s="211">
        <v>60</v>
      </c>
      <c r="O29" s="211">
        <v>58</v>
      </c>
      <c r="P29" s="279">
        <f t="shared" ref="P29:P36" si="40">SUM(K29:O29)</f>
        <v>323</v>
      </c>
      <c r="Q29" s="277">
        <v>0</v>
      </c>
      <c r="R29" s="277">
        <v>0</v>
      </c>
      <c r="S29" s="277">
        <v>0</v>
      </c>
      <c r="T29" s="277">
        <v>0</v>
      </c>
      <c r="U29" s="277">
        <v>0</v>
      </c>
      <c r="V29" s="290">
        <f t="shared" ref="V29:V36" si="41">SUM(Q29:U29)</f>
        <v>0</v>
      </c>
      <c r="W29" s="289">
        <f t="shared" ref="W29:W36" si="42">V29/P29</f>
        <v>0</v>
      </c>
      <c r="X29" s="277">
        <f t="shared" ref="X29:AB36" si="43">K29-Q29</f>
        <v>65</v>
      </c>
      <c r="Y29" s="277">
        <f t="shared" si="43"/>
        <v>65</v>
      </c>
      <c r="Z29" s="277">
        <f t="shared" si="43"/>
        <v>75</v>
      </c>
      <c r="AA29" s="277">
        <f t="shared" si="43"/>
        <v>60</v>
      </c>
      <c r="AB29" s="277">
        <f t="shared" si="43"/>
        <v>58</v>
      </c>
      <c r="AC29" s="220">
        <f t="shared" ref="AC29:AC36" si="44">SUM(X29:AB29)</f>
        <v>323</v>
      </c>
      <c r="AD29" s="289">
        <f t="shared" ref="AD29:AD36" si="45">AC29/P29</f>
        <v>1</v>
      </c>
      <c r="AE29" s="221">
        <v>7.22</v>
      </c>
      <c r="AF29" s="221">
        <v>7.22</v>
      </c>
      <c r="AG29" s="221">
        <v>7.22</v>
      </c>
      <c r="AH29" s="221">
        <v>7.22</v>
      </c>
      <c r="AI29" s="221">
        <v>7.22</v>
      </c>
      <c r="AJ29" s="211">
        <f t="shared" ref="AJ29:AJ36" si="46">ROUND(AE29*K29,3)</f>
        <v>469.3</v>
      </c>
      <c r="AK29" s="211">
        <f t="shared" ref="AK29:AK36" si="47">ROUND(AE29*L29,3)</f>
        <v>469.3</v>
      </c>
      <c r="AL29" s="211">
        <f t="shared" ref="AL29:AL36" si="48">ROUND(AE29*M29,3)</f>
        <v>541.5</v>
      </c>
      <c r="AM29" s="211">
        <f t="shared" ref="AM29:AM36" si="49">ROUND(AE29*N29,3)</f>
        <v>433.2</v>
      </c>
      <c r="AN29" s="211">
        <f t="shared" ref="AN29:AN36" si="50">ROUND(AE29*O29,3)</f>
        <v>418.76</v>
      </c>
      <c r="AO29" s="295">
        <f t="shared" ref="AO29:AO36" si="51">AJ29+AK29+AL29+AM29+AN29</f>
        <v>2332.06</v>
      </c>
      <c r="AP29" s="277">
        <f t="shared" ref="AP29:AP30" si="52">ROUND(Q29*AE29,3)</f>
        <v>0</v>
      </c>
      <c r="AQ29" s="277">
        <f t="shared" ref="AQ29:AQ36" si="53">ROUND(R29*AF29,3)</f>
        <v>0</v>
      </c>
      <c r="AR29" s="277">
        <f t="shared" ref="AR29:AR36" si="54">ROUND(S29*AG29,3)</f>
        <v>0</v>
      </c>
      <c r="AS29" s="277">
        <f t="shared" ref="AS29:AS36" si="55">ROUND(T29*AH29,3)</f>
        <v>0</v>
      </c>
      <c r="AT29" s="277">
        <f t="shared" ref="AT29:AT36" si="56">ROUND(U29*AI29,3)</f>
        <v>0</v>
      </c>
      <c r="AU29" s="211">
        <f t="shared" ref="AU29:AU36" si="57">AP29+AQ29+AR29+AS29+AT29</f>
        <v>0</v>
      </c>
      <c r="AV29" s="301">
        <f t="shared" ref="AV29:AV36" si="58">AU29/AO29</f>
        <v>0</v>
      </c>
      <c r="AW29" s="277">
        <f t="shared" ref="AW29:AW36" si="59">AJ29-AP29</f>
        <v>469.3</v>
      </c>
      <c r="AX29" s="277">
        <f t="shared" ref="AX29:AX36" si="60">AK29-AQ29</f>
        <v>469.3</v>
      </c>
      <c r="AY29" s="277">
        <f t="shared" ref="AY29:AY36" si="61">AL29-AR29</f>
        <v>541.5</v>
      </c>
      <c r="AZ29" s="277">
        <f t="shared" ref="AZ29:AZ36" si="62">AM29-AS29</f>
        <v>433.2</v>
      </c>
      <c r="BA29" s="277">
        <f t="shared" ref="BA29:BA36" si="63">AN29-AT29</f>
        <v>418.76</v>
      </c>
      <c r="BB29" s="211">
        <f t="shared" ref="BB29:BB36" si="64">AW29+AX29+AY29+AZ29+BA29</f>
        <v>2332.06</v>
      </c>
      <c r="BC29" s="289">
        <f t="shared" ref="BC29:BC36" si="65">BB29/AO29</f>
        <v>1</v>
      </c>
      <c r="BD29" s="74"/>
      <c r="BF29" s="98" t="s">
        <v>0</v>
      </c>
      <c r="BG29" s="18" t="s">
        <v>11</v>
      </c>
      <c r="BH29" s="16"/>
      <c r="BI29" s="99">
        <f t="shared" ref="BI29:BI36" si="66">BH29*K29</f>
        <v>0</v>
      </c>
      <c r="BJ29" s="99">
        <v>0</v>
      </c>
      <c r="BK29" s="99">
        <f t="shared" ref="BK29:BK36" si="67">BJ29*K29</f>
        <v>0</v>
      </c>
      <c r="BL29" s="99">
        <v>0</v>
      </c>
      <c r="BM29" s="100">
        <f t="shared" ref="BM29:BM36" si="68">BL29*K29</f>
        <v>0</v>
      </c>
      <c r="BQ29" s="1">
        <v>6.94</v>
      </c>
      <c r="CD29" s="9" t="s">
        <v>153</v>
      </c>
      <c r="CF29" s="9" t="s">
        <v>149</v>
      </c>
      <c r="CG29" s="9" t="s">
        <v>42</v>
      </c>
      <c r="CK29" s="9" t="s">
        <v>148</v>
      </c>
      <c r="CQ29" s="72">
        <f t="shared" ref="CQ29:CQ36" si="69">IF(BG29="základná",AJ29,0)</f>
        <v>0</v>
      </c>
      <c r="CR29" s="72">
        <f t="shared" ref="CR29:CR36" si="70">IF(BG29="znížená",AJ29,0)</f>
        <v>469.3</v>
      </c>
      <c r="CS29" s="72">
        <f t="shared" ref="CS29:CS36" si="71">IF(BG29="zákl. prenesená",AJ29,0)</f>
        <v>0</v>
      </c>
      <c r="CT29" s="72">
        <f t="shared" ref="CT29:CT36" si="72">IF(BG29="zníž. prenesená",AJ29,0)</f>
        <v>0</v>
      </c>
      <c r="CU29" s="72">
        <f t="shared" ref="CU29:CU36" si="73">IF(BG29="nulová",AJ29,0)</f>
        <v>0</v>
      </c>
      <c r="CV29" s="9" t="s">
        <v>42</v>
      </c>
      <c r="CW29" s="101">
        <f t="shared" ref="CW29:CW36" si="74">ROUND(AE29*K29,3)</f>
        <v>469.3</v>
      </c>
      <c r="CX29" s="9" t="s">
        <v>153</v>
      </c>
      <c r="CY29" s="9" t="s">
        <v>416</v>
      </c>
    </row>
    <row r="30" spans="2:103" s="1" customFormat="1" ht="22.5" customHeight="1">
      <c r="B30" s="73"/>
      <c r="C30" s="102" t="s">
        <v>170</v>
      </c>
      <c r="D30" s="102" t="s">
        <v>171</v>
      </c>
      <c r="E30" s="103" t="s">
        <v>417</v>
      </c>
      <c r="F30" s="499" t="s">
        <v>418</v>
      </c>
      <c r="G30" s="499"/>
      <c r="H30" s="499"/>
      <c r="I30" s="499"/>
      <c r="J30" s="104" t="s">
        <v>184</v>
      </c>
      <c r="K30" s="223">
        <v>65</v>
      </c>
      <c r="L30" s="223">
        <v>65</v>
      </c>
      <c r="M30" s="223">
        <v>75</v>
      </c>
      <c r="N30" s="223">
        <v>60</v>
      </c>
      <c r="O30" s="223">
        <v>58</v>
      </c>
      <c r="P30" s="279">
        <f t="shared" si="40"/>
        <v>323</v>
      </c>
      <c r="Q30" s="278">
        <v>0</v>
      </c>
      <c r="R30" s="223">
        <v>0</v>
      </c>
      <c r="S30" s="223">
        <v>0</v>
      </c>
      <c r="T30" s="223">
        <v>0</v>
      </c>
      <c r="U30" s="223">
        <v>0</v>
      </c>
      <c r="V30" s="290">
        <f t="shared" si="41"/>
        <v>0</v>
      </c>
      <c r="W30" s="289">
        <f t="shared" si="42"/>
        <v>0</v>
      </c>
      <c r="X30" s="278">
        <f t="shared" si="43"/>
        <v>65</v>
      </c>
      <c r="Y30" s="278">
        <f t="shared" si="43"/>
        <v>65</v>
      </c>
      <c r="Z30" s="278">
        <f t="shared" si="43"/>
        <v>75</v>
      </c>
      <c r="AA30" s="278">
        <f t="shared" si="43"/>
        <v>60</v>
      </c>
      <c r="AB30" s="278">
        <f t="shared" si="43"/>
        <v>58</v>
      </c>
      <c r="AC30" s="220">
        <f t="shared" si="44"/>
        <v>323</v>
      </c>
      <c r="AD30" s="289">
        <f t="shared" si="45"/>
        <v>1</v>
      </c>
      <c r="AE30" s="224">
        <v>6.05</v>
      </c>
      <c r="AF30" s="224">
        <v>6.05</v>
      </c>
      <c r="AG30" s="224">
        <v>6.05</v>
      </c>
      <c r="AH30" s="224">
        <v>6.05</v>
      </c>
      <c r="AI30" s="224">
        <v>6.05</v>
      </c>
      <c r="AJ30" s="223">
        <f t="shared" si="46"/>
        <v>393.25</v>
      </c>
      <c r="AK30" s="223">
        <f t="shared" si="47"/>
        <v>393.25</v>
      </c>
      <c r="AL30" s="223">
        <f t="shared" si="48"/>
        <v>453.75</v>
      </c>
      <c r="AM30" s="223">
        <f t="shared" si="49"/>
        <v>363</v>
      </c>
      <c r="AN30" s="223">
        <f t="shared" si="50"/>
        <v>350.9</v>
      </c>
      <c r="AO30" s="297">
        <f t="shared" si="51"/>
        <v>1954.15</v>
      </c>
      <c r="AP30" s="277">
        <f t="shared" si="52"/>
        <v>0</v>
      </c>
      <c r="AQ30" s="277">
        <f t="shared" si="53"/>
        <v>0</v>
      </c>
      <c r="AR30" s="277">
        <f t="shared" si="54"/>
        <v>0</v>
      </c>
      <c r="AS30" s="277">
        <f t="shared" si="55"/>
        <v>0</v>
      </c>
      <c r="AT30" s="277">
        <f t="shared" si="56"/>
        <v>0</v>
      </c>
      <c r="AU30" s="223">
        <f t="shared" si="57"/>
        <v>0</v>
      </c>
      <c r="AV30" s="301">
        <f t="shared" si="58"/>
        <v>0</v>
      </c>
      <c r="AW30" s="277">
        <f t="shared" si="59"/>
        <v>393.25</v>
      </c>
      <c r="AX30" s="277">
        <f t="shared" si="60"/>
        <v>393.25</v>
      </c>
      <c r="AY30" s="277">
        <f t="shared" si="61"/>
        <v>453.75</v>
      </c>
      <c r="AZ30" s="277">
        <f t="shared" si="62"/>
        <v>363</v>
      </c>
      <c r="BA30" s="277">
        <f t="shared" si="63"/>
        <v>350.9</v>
      </c>
      <c r="BB30" s="223">
        <f t="shared" si="64"/>
        <v>1954.15</v>
      </c>
      <c r="BC30" s="289">
        <f t="shared" si="65"/>
        <v>1</v>
      </c>
      <c r="BD30" s="74"/>
      <c r="BE30" s="1" t="s">
        <v>955</v>
      </c>
      <c r="BF30" s="98" t="s">
        <v>0</v>
      </c>
      <c r="BG30" s="18" t="s">
        <v>11</v>
      </c>
      <c r="BH30" s="16"/>
      <c r="BI30" s="99">
        <f t="shared" si="66"/>
        <v>0</v>
      </c>
      <c r="BJ30" s="99">
        <v>0</v>
      </c>
      <c r="BK30" s="99">
        <f t="shared" si="67"/>
        <v>0</v>
      </c>
      <c r="BL30" s="99">
        <v>0</v>
      </c>
      <c r="BM30" s="100">
        <f t="shared" si="68"/>
        <v>0</v>
      </c>
      <c r="BO30" s="113" t="s">
        <v>984</v>
      </c>
      <c r="BQ30" s="1">
        <v>5.82</v>
      </c>
      <c r="CD30" s="9" t="s">
        <v>165</v>
      </c>
      <c r="CF30" s="9" t="s">
        <v>171</v>
      </c>
      <c r="CG30" s="9" t="s">
        <v>42</v>
      </c>
      <c r="CK30" s="9" t="s">
        <v>148</v>
      </c>
      <c r="CQ30" s="72">
        <f t="shared" si="69"/>
        <v>0</v>
      </c>
      <c r="CR30" s="72">
        <f t="shared" si="70"/>
        <v>393.25</v>
      </c>
      <c r="CS30" s="72">
        <f t="shared" si="71"/>
        <v>0</v>
      </c>
      <c r="CT30" s="72">
        <f t="shared" si="72"/>
        <v>0</v>
      </c>
      <c r="CU30" s="72">
        <f t="shared" si="73"/>
        <v>0</v>
      </c>
      <c r="CV30" s="9" t="s">
        <v>42</v>
      </c>
      <c r="CW30" s="101">
        <f t="shared" si="74"/>
        <v>393.25</v>
      </c>
      <c r="CX30" s="9" t="s">
        <v>153</v>
      </c>
      <c r="CY30" s="9" t="s">
        <v>419</v>
      </c>
    </row>
    <row r="31" spans="2:103" s="1" customFormat="1" ht="44.25" customHeight="1">
      <c r="B31" s="73"/>
      <c r="C31" s="93" t="s">
        <v>175</v>
      </c>
      <c r="D31" s="93" t="s">
        <v>149</v>
      </c>
      <c r="E31" s="94" t="s">
        <v>420</v>
      </c>
      <c r="F31" s="498" t="s">
        <v>421</v>
      </c>
      <c r="G31" s="498"/>
      <c r="H31" s="498"/>
      <c r="I31" s="498"/>
      <c r="J31" s="95" t="s">
        <v>396</v>
      </c>
      <c r="K31" s="211">
        <v>1.5229999999999999</v>
      </c>
      <c r="L31" s="211">
        <v>1.5229999999999999</v>
      </c>
      <c r="M31" s="211">
        <v>4.5229999999999997</v>
      </c>
      <c r="N31" s="211">
        <v>4.5229999999999997</v>
      </c>
      <c r="O31" s="211">
        <v>5.5229999999999997</v>
      </c>
      <c r="P31" s="279">
        <f t="shared" si="40"/>
        <v>17.614999999999998</v>
      </c>
      <c r="Q31" s="211">
        <v>1.5229999999999999</v>
      </c>
      <c r="R31" s="211">
        <v>1.5229999999999999</v>
      </c>
      <c r="S31" s="211">
        <v>4.5229999999999997</v>
      </c>
      <c r="T31" s="211">
        <v>4.5229999999999997</v>
      </c>
      <c r="U31" s="211">
        <v>5.5229999999999997</v>
      </c>
      <c r="V31" s="290">
        <f t="shared" si="41"/>
        <v>17.614999999999998</v>
      </c>
      <c r="W31" s="289">
        <f t="shared" si="42"/>
        <v>1</v>
      </c>
      <c r="X31" s="277">
        <f t="shared" si="43"/>
        <v>0</v>
      </c>
      <c r="Y31" s="277">
        <f t="shared" si="43"/>
        <v>0</v>
      </c>
      <c r="Z31" s="277">
        <f t="shared" si="43"/>
        <v>0</v>
      </c>
      <c r="AA31" s="277">
        <f t="shared" si="43"/>
        <v>0</v>
      </c>
      <c r="AB31" s="277">
        <f t="shared" si="43"/>
        <v>0</v>
      </c>
      <c r="AC31" s="220">
        <f t="shared" si="44"/>
        <v>0</v>
      </c>
      <c r="AD31" s="289">
        <f t="shared" si="45"/>
        <v>0</v>
      </c>
      <c r="AE31" s="221">
        <v>81.569999999999993</v>
      </c>
      <c r="AF31" s="221">
        <v>81.569999999999993</v>
      </c>
      <c r="AG31" s="221">
        <v>81.569999999999993</v>
      </c>
      <c r="AH31" s="221">
        <v>81.569999999999993</v>
      </c>
      <c r="AI31" s="221">
        <v>81.569999999999993</v>
      </c>
      <c r="AJ31" s="211">
        <f t="shared" si="46"/>
        <v>124.23099999999999</v>
      </c>
      <c r="AK31" s="211">
        <f t="shared" si="47"/>
        <v>124.23099999999999</v>
      </c>
      <c r="AL31" s="211">
        <f t="shared" si="48"/>
        <v>368.94099999999997</v>
      </c>
      <c r="AM31" s="211">
        <f t="shared" si="49"/>
        <v>368.94099999999997</v>
      </c>
      <c r="AN31" s="211">
        <f t="shared" si="50"/>
        <v>450.51100000000002</v>
      </c>
      <c r="AO31" s="295">
        <f t="shared" si="51"/>
        <v>1436.855</v>
      </c>
      <c r="AP31" s="277">
        <f>ROUND(Q31*AE31,3)</f>
        <v>124.23099999999999</v>
      </c>
      <c r="AQ31" s="277">
        <f t="shared" si="53"/>
        <v>124.23099999999999</v>
      </c>
      <c r="AR31" s="277">
        <f t="shared" si="54"/>
        <v>368.94099999999997</v>
      </c>
      <c r="AS31" s="277">
        <f t="shared" si="55"/>
        <v>368.94099999999997</v>
      </c>
      <c r="AT31" s="277">
        <f t="shared" si="56"/>
        <v>450.51100000000002</v>
      </c>
      <c r="AU31" s="211">
        <f t="shared" si="57"/>
        <v>1436.855</v>
      </c>
      <c r="AV31" s="301">
        <f t="shared" si="58"/>
        <v>1</v>
      </c>
      <c r="AW31" s="277">
        <f t="shared" si="59"/>
        <v>0</v>
      </c>
      <c r="AX31" s="277">
        <f t="shared" si="60"/>
        <v>0</v>
      </c>
      <c r="AY31" s="277">
        <f t="shared" si="61"/>
        <v>0</v>
      </c>
      <c r="AZ31" s="277">
        <f t="shared" si="62"/>
        <v>0</v>
      </c>
      <c r="BA31" s="277">
        <f t="shared" si="63"/>
        <v>0</v>
      </c>
      <c r="BB31" s="211">
        <f t="shared" si="64"/>
        <v>0</v>
      </c>
      <c r="BC31" s="289">
        <f t="shared" si="65"/>
        <v>0</v>
      </c>
      <c r="BD31" s="74"/>
      <c r="BF31" s="98" t="s">
        <v>0</v>
      </c>
      <c r="BG31" s="18" t="s">
        <v>11</v>
      </c>
      <c r="BH31" s="16"/>
      <c r="BI31" s="99">
        <f t="shared" si="66"/>
        <v>0</v>
      </c>
      <c r="BJ31" s="99">
        <v>0</v>
      </c>
      <c r="BK31" s="99">
        <f t="shared" si="67"/>
        <v>0</v>
      </c>
      <c r="BL31" s="99">
        <v>0</v>
      </c>
      <c r="BM31" s="100">
        <f t="shared" si="68"/>
        <v>0</v>
      </c>
      <c r="BQ31" s="1">
        <v>78.430000000000007</v>
      </c>
      <c r="CD31" s="9" t="s">
        <v>153</v>
      </c>
      <c r="CF31" s="9" t="s">
        <v>149</v>
      </c>
      <c r="CG31" s="9" t="s">
        <v>42</v>
      </c>
      <c r="CK31" s="9" t="s">
        <v>148</v>
      </c>
      <c r="CQ31" s="72">
        <f t="shared" si="69"/>
        <v>0</v>
      </c>
      <c r="CR31" s="72">
        <f t="shared" si="70"/>
        <v>124.23099999999999</v>
      </c>
      <c r="CS31" s="72">
        <f t="shared" si="71"/>
        <v>0</v>
      </c>
      <c r="CT31" s="72">
        <f t="shared" si="72"/>
        <v>0</v>
      </c>
      <c r="CU31" s="72">
        <f t="shared" si="73"/>
        <v>0</v>
      </c>
      <c r="CV31" s="9" t="s">
        <v>42</v>
      </c>
      <c r="CW31" s="101">
        <f t="shared" si="74"/>
        <v>124.23099999999999</v>
      </c>
      <c r="CX31" s="9" t="s">
        <v>153</v>
      </c>
      <c r="CY31" s="9" t="s">
        <v>422</v>
      </c>
    </row>
    <row r="32" spans="2:103" s="1" customFormat="1" ht="31.5" customHeight="1">
      <c r="B32" s="73"/>
      <c r="C32" s="93" t="s">
        <v>178</v>
      </c>
      <c r="D32" s="93" t="s">
        <v>149</v>
      </c>
      <c r="E32" s="94" t="s">
        <v>423</v>
      </c>
      <c r="F32" s="498" t="s">
        <v>424</v>
      </c>
      <c r="G32" s="498"/>
      <c r="H32" s="498"/>
      <c r="I32" s="498"/>
      <c r="J32" s="95" t="s">
        <v>396</v>
      </c>
      <c r="K32" s="211">
        <v>1.5229999999999999</v>
      </c>
      <c r="L32" s="211">
        <v>1.5229999999999999</v>
      </c>
      <c r="M32" s="211">
        <v>4.5229999999999997</v>
      </c>
      <c r="N32" s="211">
        <v>4.5229999999999997</v>
      </c>
      <c r="O32" s="211">
        <v>6.5229999999999997</v>
      </c>
      <c r="P32" s="279">
        <f t="shared" si="40"/>
        <v>18.614999999999998</v>
      </c>
      <c r="Q32" s="277">
        <v>0</v>
      </c>
      <c r="R32" s="277">
        <v>0</v>
      </c>
      <c r="S32" s="277">
        <v>0</v>
      </c>
      <c r="T32" s="277">
        <v>0</v>
      </c>
      <c r="U32" s="277">
        <v>0</v>
      </c>
      <c r="V32" s="290">
        <f t="shared" si="41"/>
        <v>0</v>
      </c>
      <c r="W32" s="289">
        <f t="shared" si="42"/>
        <v>0</v>
      </c>
      <c r="X32" s="277">
        <f t="shared" si="43"/>
        <v>1.5229999999999999</v>
      </c>
      <c r="Y32" s="277">
        <f t="shared" si="43"/>
        <v>1.5229999999999999</v>
      </c>
      <c r="Z32" s="277">
        <f t="shared" si="43"/>
        <v>4.5229999999999997</v>
      </c>
      <c r="AA32" s="277">
        <f t="shared" si="43"/>
        <v>4.5229999999999997</v>
      </c>
      <c r="AB32" s="277">
        <f t="shared" si="43"/>
        <v>6.5229999999999997</v>
      </c>
      <c r="AC32" s="220">
        <f t="shared" si="44"/>
        <v>18.614999999999998</v>
      </c>
      <c r="AD32" s="289">
        <f t="shared" si="45"/>
        <v>1</v>
      </c>
      <c r="AE32" s="221">
        <v>10.91</v>
      </c>
      <c r="AF32" s="221">
        <v>10.91</v>
      </c>
      <c r="AG32" s="221">
        <v>10.91</v>
      </c>
      <c r="AH32" s="221">
        <v>10.91</v>
      </c>
      <c r="AI32" s="221">
        <v>10.91</v>
      </c>
      <c r="AJ32" s="211">
        <f t="shared" si="46"/>
        <v>16.616</v>
      </c>
      <c r="AK32" s="211">
        <f t="shared" si="47"/>
        <v>16.616</v>
      </c>
      <c r="AL32" s="211">
        <f t="shared" si="48"/>
        <v>49.345999999999997</v>
      </c>
      <c r="AM32" s="211">
        <f t="shared" si="49"/>
        <v>49.345999999999997</v>
      </c>
      <c r="AN32" s="211">
        <f t="shared" si="50"/>
        <v>71.165999999999997</v>
      </c>
      <c r="AO32" s="295">
        <f t="shared" si="51"/>
        <v>203.09</v>
      </c>
      <c r="AP32" s="277">
        <f t="shared" ref="AP32:AP36" si="75">ROUND(Q32*AE32,3)</f>
        <v>0</v>
      </c>
      <c r="AQ32" s="277">
        <f t="shared" si="53"/>
        <v>0</v>
      </c>
      <c r="AR32" s="277">
        <f t="shared" si="54"/>
        <v>0</v>
      </c>
      <c r="AS32" s="277">
        <f t="shared" si="55"/>
        <v>0</v>
      </c>
      <c r="AT32" s="277">
        <f t="shared" si="56"/>
        <v>0</v>
      </c>
      <c r="AU32" s="211">
        <f t="shared" si="57"/>
        <v>0</v>
      </c>
      <c r="AV32" s="301">
        <f t="shared" si="58"/>
        <v>0</v>
      </c>
      <c r="AW32" s="277">
        <f t="shared" si="59"/>
        <v>16.616</v>
      </c>
      <c r="AX32" s="277">
        <f t="shared" si="60"/>
        <v>16.616</v>
      </c>
      <c r="AY32" s="277">
        <f t="shared" si="61"/>
        <v>49.345999999999997</v>
      </c>
      <c r="AZ32" s="277">
        <f t="shared" si="62"/>
        <v>49.345999999999997</v>
      </c>
      <c r="BA32" s="277">
        <f t="shared" si="63"/>
        <v>71.165999999999997</v>
      </c>
      <c r="BB32" s="211">
        <f t="shared" si="64"/>
        <v>203.09</v>
      </c>
      <c r="BC32" s="289">
        <f t="shared" si="65"/>
        <v>1</v>
      </c>
      <c r="BD32" s="74"/>
      <c r="BF32" s="98" t="s">
        <v>0</v>
      </c>
      <c r="BG32" s="18" t="s">
        <v>11</v>
      </c>
      <c r="BH32" s="16"/>
      <c r="BI32" s="99">
        <f t="shared" si="66"/>
        <v>0</v>
      </c>
      <c r="BJ32" s="99">
        <v>0</v>
      </c>
      <c r="BK32" s="99">
        <f t="shared" si="67"/>
        <v>0</v>
      </c>
      <c r="BL32" s="99">
        <v>0</v>
      </c>
      <c r="BM32" s="100">
        <f t="shared" si="68"/>
        <v>0</v>
      </c>
      <c r="BQ32" s="1">
        <v>10.49</v>
      </c>
      <c r="CD32" s="9" t="s">
        <v>153</v>
      </c>
      <c r="CF32" s="9" t="s">
        <v>149</v>
      </c>
      <c r="CG32" s="9" t="s">
        <v>42</v>
      </c>
      <c r="CK32" s="9" t="s">
        <v>148</v>
      </c>
      <c r="CQ32" s="72">
        <f t="shared" si="69"/>
        <v>0</v>
      </c>
      <c r="CR32" s="72">
        <f t="shared" si="70"/>
        <v>16.616</v>
      </c>
      <c r="CS32" s="72">
        <f t="shared" si="71"/>
        <v>0</v>
      </c>
      <c r="CT32" s="72">
        <f t="shared" si="72"/>
        <v>0</v>
      </c>
      <c r="CU32" s="72">
        <f t="shared" si="73"/>
        <v>0</v>
      </c>
      <c r="CV32" s="9" t="s">
        <v>42</v>
      </c>
      <c r="CW32" s="101">
        <f t="shared" si="74"/>
        <v>16.616</v>
      </c>
      <c r="CX32" s="9" t="s">
        <v>153</v>
      </c>
      <c r="CY32" s="9" t="s">
        <v>425</v>
      </c>
    </row>
    <row r="33" spans="2:103" s="1" customFormat="1" ht="31.5" customHeight="1">
      <c r="B33" s="73"/>
      <c r="C33" s="93" t="s">
        <v>181</v>
      </c>
      <c r="D33" s="93" t="s">
        <v>149</v>
      </c>
      <c r="E33" s="94" t="s">
        <v>150</v>
      </c>
      <c r="F33" s="498" t="s">
        <v>151</v>
      </c>
      <c r="G33" s="498"/>
      <c r="H33" s="498"/>
      <c r="I33" s="498"/>
      <c r="J33" s="95" t="s">
        <v>152</v>
      </c>
      <c r="K33" s="211">
        <v>5.4829999999999997</v>
      </c>
      <c r="L33" s="211">
        <v>5.4829999999999997</v>
      </c>
      <c r="M33" s="211">
        <v>8.4830000000000005</v>
      </c>
      <c r="N33" s="211">
        <v>8.4830000000000005</v>
      </c>
      <c r="O33" s="211">
        <v>5.4829999999999997</v>
      </c>
      <c r="P33" s="279">
        <f t="shared" si="40"/>
        <v>33.414999999999999</v>
      </c>
      <c r="Q33" s="277">
        <v>5.4829999999999997</v>
      </c>
      <c r="R33" s="277">
        <v>5.4829999999999997</v>
      </c>
      <c r="S33" s="277">
        <v>8.4830000000000005</v>
      </c>
      <c r="T33" s="277">
        <v>8.4830000000000005</v>
      </c>
      <c r="U33" s="211">
        <v>5.4829999999999997</v>
      </c>
      <c r="V33" s="290">
        <f t="shared" si="41"/>
        <v>33.414999999999999</v>
      </c>
      <c r="W33" s="289">
        <f t="shared" si="42"/>
        <v>1</v>
      </c>
      <c r="X33" s="277">
        <f t="shared" si="43"/>
        <v>0</v>
      </c>
      <c r="Y33" s="277">
        <f t="shared" si="43"/>
        <v>0</v>
      </c>
      <c r="Z33" s="277">
        <f t="shared" si="43"/>
        <v>0</v>
      </c>
      <c r="AA33" s="277">
        <f t="shared" si="43"/>
        <v>0</v>
      </c>
      <c r="AB33" s="277">
        <f t="shared" si="43"/>
        <v>0</v>
      </c>
      <c r="AC33" s="220">
        <f t="shared" si="44"/>
        <v>0</v>
      </c>
      <c r="AD33" s="289">
        <f t="shared" si="45"/>
        <v>0</v>
      </c>
      <c r="AE33" s="221">
        <v>10.36</v>
      </c>
      <c r="AF33" s="221">
        <v>10.36</v>
      </c>
      <c r="AG33" s="221">
        <v>10.36</v>
      </c>
      <c r="AH33" s="221">
        <v>10.36</v>
      </c>
      <c r="AI33" s="221">
        <v>10.36</v>
      </c>
      <c r="AJ33" s="211">
        <f t="shared" si="46"/>
        <v>56.804000000000002</v>
      </c>
      <c r="AK33" s="211">
        <f t="shared" si="47"/>
        <v>56.804000000000002</v>
      </c>
      <c r="AL33" s="211">
        <f t="shared" si="48"/>
        <v>87.884</v>
      </c>
      <c r="AM33" s="211">
        <f t="shared" si="49"/>
        <v>87.884</v>
      </c>
      <c r="AN33" s="211">
        <f t="shared" si="50"/>
        <v>56.804000000000002</v>
      </c>
      <c r="AO33" s="295">
        <f t="shared" si="51"/>
        <v>346.18000000000006</v>
      </c>
      <c r="AP33" s="277">
        <f t="shared" si="75"/>
        <v>56.804000000000002</v>
      </c>
      <c r="AQ33" s="277">
        <f t="shared" si="53"/>
        <v>56.804000000000002</v>
      </c>
      <c r="AR33" s="277">
        <f t="shared" si="54"/>
        <v>87.884</v>
      </c>
      <c r="AS33" s="277">
        <f t="shared" si="55"/>
        <v>87.884</v>
      </c>
      <c r="AT33" s="277">
        <f t="shared" si="56"/>
        <v>56.804000000000002</v>
      </c>
      <c r="AU33" s="211">
        <f t="shared" si="57"/>
        <v>346.18000000000006</v>
      </c>
      <c r="AV33" s="301">
        <f t="shared" si="58"/>
        <v>1</v>
      </c>
      <c r="AW33" s="277">
        <f t="shared" si="59"/>
        <v>0</v>
      </c>
      <c r="AX33" s="277">
        <f t="shared" si="60"/>
        <v>0</v>
      </c>
      <c r="AY33" s="277">
        <f t="shared" si="61"/>
        <v>0</v>
      </c>
      <c r="AZ33" s="277">
        <f t="shared" si="62"/>
        <v>0</v>
      </c>
      <c r="BA33" s="277">
        <f t="shared" si="63"/>
        <v>0</v>
      </c>
      <c r="BB33" s="211">
        <f t="shared" si="64"/>
        <v>0</v>
      </c>
      <c r="BC33" s="289">
        <f t="shared" si="65"/>
        <v>0</v>
      </c>
      <c r="BD33" s="74"/>
      <c r="BF33" s="98" t="s">
        <v>0</v>
      </c>
      <c r="BG33" s="18" t="s">
        <v>11</v>
      </c>
      <c r="BH33" s="16"/>
      <c r="BI33" s="99">
        <f t="shared" si="66"/>
        <v>0</v>
      </c>
      <c r="BJ33" s="99">
        <v>0</v>
      </c>
      <c r="BK33" s="99">
        <f t="shared" si="67"/>
        <v>0</v>
      </c>
      <c r="BL33" s="99">
        <v>0</v>
      </c>
      <c r="BM33" s="100">
        <f t="shared" si="68"/>
        <v>0</v>
      </c>
      <c r="BQ33" s="1">
        <v>9.9600000000000009</v>
      </c>
      <c r="CD33" s="9" t="s">
        <v>153</v>
      </c>
      <c r="CF33" s="9" t="s">
        <v>149</v>
      </c>
      <c r="CG33" s="9" t="s">
        <v>42</v>
      </c>
      <c r="CK33" s="9" t="s">
        <v>148</v>
      </c>
      <c r="CQ33" s="72">
        <f t="shared" si="69"/>
        <v>0</v>
      </c>
      <c r="CR33" s="72">
        <f t="shared" si="70"/>
        <v>56.804000000000002</v>
      </c>
      <c r="CS33" s="72">
        <f t="shared" si="71"/>
        <v>0</v>
      </c>
      <c r="CT33" s="72">
        <f t="shared" si="72"/>
        <v>0</v>
      </c>
      <c r="CU33" s="72">
        <f t="shared" si="73"/>
        <v>0</v>
      </c>
      <c r="CV33" s="9" t="s">
        <v>42</v>
      </c>
      <c r="CW33" s="101">
        <f t="shared" si="74"/>
        <v>56.804000000000002</v>
      </c>
      <c r="CX33" s="9" t="s">
        <v>153</v>
      </c>
      <c r="CY33" s="9" t="s">
        <v>426</v>
      </c>
    </row>
    <row r="34" spans="2:103" s="1" customFormat="1" ht="31.5" customHeight="1">
      <c r="B34" s="73"/>
      <c r="C34" s="93" t="s">
        <v>185</v>
      </c>
      <c r="D34" s="93" t="s">
        <v>149</v>
      </c>
      <c r="E34" s="94" t="s">
        <v>154</v>
      </c>
      <c r="F34" s="498" t="s">
        <v>155</v>
      </c>
      <c r="G34" s="498"/>
      <c r="H34" s="498"/>
      <c r="I34" s="498"/>
      <c r="J34" s="95" t="s">
        <v>152</v>
      </c>
      <c r="K34" s="211">
        <v>5.4829999999999997</v>
      </c>
      <c r="L34" s="211">
        <v>5.4829999999999997</v>
      </c>
      <c r="M34" s="211">
        <v>8.4830000000000005</v>
      </c>
      <c r="N34" s="211">
        <v>8.4830000000000005</v>
      </c>
      <c r="O34" s="211">
        <v>5.4829999999999997</v>
      </c>
      <c r="P34" s="279">
        <f t="shared" si="40"/>
        <v>33.414999999999999</v>
      </c>
      <c r="Q34" s="277">
        <v>5.4829999999999997</v>
      </c>
      <c r="R34" s="277">
        <v>5.4829999999999997</v>
      </c>
      <c r="S34" s="277">
        <v>8.4830000000000005</v>
      </c>
      <c r="T34" s="277">
        <v>8.4830000000000005</v>
      </c>
      <c r="U34" s="211">
        <v>5.4829999999999997</v>
      </c>
      <c r="V34" s="290">
        <f t="shared" si="41"/>
        <v>33.414999999999999</v>
      </c>
      <c r="W34" s="289">
        <f t="shared" si="42"/>
        <v>1</v>
      </c>
      <c r="X34" s="277">
        <f t="shared" si="43"/>
        <v>0</v>
      </c>
      <c r="Y34" s="277">
        <f t="shared" si="43"/>
        <v>0</v>
      </c>
      <c r="Z34" s="277">
        <f t="shared" si="43"/>
        <v>0</v>
      </c>
      <c r="AA34" s="277">
        <f t="shared" si="43"/>
        <v>0</v>
      </c>
      <c r="AB34" s="277">
        <f t="shared" si="43"/>
        <v>0</v>
      </c>
      <c r="AC34" s="220">
        <f t="shared" si="44"/>
        <v>0</v>
      </c>
      <c r="AD34" s="289">
        <f t="shared" si="45"/>
        <v>0</v>
      </c>
      <c r="AE34" s="221">
        <v>12.21</v>
      </c>
      <c r="AF34" s="221">
        <v>12.21</v>
      </c>
      <c r="AG34" s="221">
        <v>12.21</v>
      </c>
      <c r="AH34" s="221">
        <v>12.21</v>
      </c>
      <c r="AI34" s="221">
        <v>12.21</v>
      </c>
      <c r="AJ34" s="211">
        <f t="shared" si="46"/>
        <v>66.947000000000003</v>
      </c>
      <c r="AK34" s="211">
        <f t="shared" si="47"/>
        <v>66.947000000000003</v>
      </c>
      <c r="AL34" s="211">
        <f t="shared" si="48"/>
        <v>103.577</v>
      </c>
      <c r="AM34" s="211">
        <f t="shared" si="49"/>
        <v>103.577</v>
      </c>
      <c r="AN34" s="211">
        <f t="shared" si="50"/>
        <v>66.947000000000003</v>
      </c>
      <c r="AO34" s="295">
        <f t="shared" si="51"/>
        <v>407.995</v>
      </c>
      <c r="AP34" s="277">
        <f t="shared" si="75"/>
        <v>66.947000000000003</v>
      </c>
      <c r="AQ34" s="277">
        <f t="shared" si="53"/>
        <v>66.947000000000003</v>
      </c>
      <c r="AR34" s="277">
        <f t="shared" si="54"/>
        <v>103.577</v>
      </c>
      <c r="AS34" s="277">
        <f t="shared" si="55"/>
        <v>103.577</v>
      </c>
      <c r="AT34" s="277">
        <f t="shared" si="56"/>
        <v>66.947000000000003</v>
      </c>
      <c r="AU34" s="211">
        <f t="shared" si="57"/>
        <v>407.995</v>
      </c>
      <c r="AV34" s="301">
        <f t="shared" si="58"/>
        <v>1</v>
      </c>
      <c r="AW34" s="277">
        <f t="shared" si="59"/>
        <v>0</v>
      </c>
      <c r="AX34" s="277">
        <f t="shared" si="60"/>
        <v>0</v>
      </c>
      <c r="AY34" s="277">
        <f t="shared" si="61"/>
        <v>0</v>
      </c>
      <c r="AZ34" s="277">
        <f t="shared" si="62"/>
        <v>0</v>
      </c>
      <c r="BA34" s="277">
        <f t="shared" si="63"/>
        <v>0</v>
      </c>
      <c r="BB34" s="211">
        <f t="shared" si="64"/>
        <v>0</v>
      </c>
      <c r="BC34" s="289">
        <f t="shared" si="65"/>
        <v>0</v>
      </c>
      <c r="BD34" s="74"/>
      <c r="BF34" s="98" t="s">
        <v>0</v>
      </c>
      <c r="BG34" s="18" t="s">
        <v>11</v>
      </c>
      <c r="BH34" s="16"/>
      <c r="BI34" s="99">
        <f t="shared" si="66"/>
        <v>0</v>
      </c>
      <c r="BJ34" s="99">
        <v>0</v>
      </c>
      <c r="BK34" s="99">
        <f t="shared" si="67"/>
        <v>0</v>
      </c>
      <c r="BL34" s="99">
        <v>0</v>
      </c>
      <c r="BM34" s="100">
        <f t="shared" si="68"/>
        <v>0</v>
      </c>
      <c r="BQ34" s="1">
        <v>11.74</v>
      </c>
      <c r="CD34" s="9" t="s">
        <v>153</v>
      </c>
      <c r="CF34" s="9" t="s">
        <v>149</v>
      </c>
      <c r="CG34" s="9" t="s">
        <v>42</v>
      </c>
      <c r="CK34" s="9" t="s">
        <v>148</v>
      </c>
      <c r="CQ34" s="72">
        <f t="shared" si="69"/>
        <v>0</v>
      </c>
      <c r="CR34" s="72">
        <f t="shared" si="70"/>
        <v>66.947000000000003</v>
      </c>
      <c r="CS34" s="72">
        <f t="shared" si="71"/>
        <v>0</v>
      </c>
      <c r="CT34" s="72">
        <f t="shared" si="72"/>
        <v>0</v>
      </c>
      <c r="CU34" s="72">
        <f t="shared" si="73"/>
        <v>0</v>
      </c>
      <c r="CV34" s="9" t="s">
        <v>42</v>
      </c>
      <c r="CW34" s="101">
        <f t="shared" si="74"/>
        <v>66.947000000000003</v>
      </c>
      <c r="CX34" s="9" t="s">
        <v>153</v>
      </c>
      <c r="CY34" s="9" t="s">
        <v>427</v>
      </c>
    </row>
    <row r="35" spans="2:103" s="1" customFormat="1" ht="31.5" customHeight="1">
      <c r="B35" s="73"/>
      <c r="C35" s="93" t="s">
        <v>188</v>
      </c>
      <c r="D35" s="93" t="s">
        <v>149</v>
      </c>
      <c r="E35" s="94" t="s">
        <v>157</v>
      </c>
      <c r="F35" s="498" t="s">
        <v>158</v>
      </c>
      <c r="G35" s="498"/>
      <c r="H35" s="498"/>
      <c r="I35" s="498"/>
      <c r="J35" s="95" t="s">
        <v>152</v>
      </c>
      <c r="K35" s="211">
        <v>49.347000000000001</v>
      </c>
      <c r="L35" s="211">
        <v>49.347000000000001</v>
      </c>
      <c r="M35" s="211">
        <v>49.347000000000001</v>
      </c>
      <c r="N35" s="211">
        <v>49.347000000000001</v>
      </c>
      <c r="O35" s="211">
        <v>49.347000000000001</v>
      </c>
      <c r="P35" s="279">
        <f t="shared" si="40"/>
        <v>246.73500000000001</v>
      </c>
      <c r="Q35" s="277">
        <v>49.347000000000001</v>
      </c>
      <c r="R35" s="277">
        <v>49.347000000000001</v>
      </c>
      <c r="S35" s="277">
        <v>49.347000000000001</v>
      </c>
      <c r="T35" s="277">
        <v>49.347000000000001</v>
      </c>
      <c r="U35" s="211">
        <v>49.347000000000001</v>
      </c>
      <c r="V35" s="290">
        <f t="shared" si="41"/>
        <v>246.73500000000001</v>
      </c>
      <c r="W35" s="289">
        <f t="shared" si="42"/>
        <v>1</v>
      </c>
      <c r="X35" s="277">
        <f t="shared" si="43"/>
        <v>0</v>
      </c>
      <c r="Y35" s="277">
        <f t="shared" si="43"/>
        <v>0</v>
      </c>
      <c r="Z35" s="277">
        <f t="shared" si="43"/>
        <v>0</v>
      </c>
      <c r="AA35" s="277">
        <f t="shared" si="43"/>
        <v>0</v>
      </c>
      <c r="AB35" s="277">
        <f t="shared" si="43"/>
        <v>0</v>
      </c>
      <c r="AC35" s="220">
        <f t="shared" si="44"/>
        <v>0</v>
      </c>
      <c r="AD35" s="289">
        <f t="shared" si="45"/>
        <v>0</v>
      </c>
      <c r="AE35" s="221">
        <v>0.51</v>
      </c>
      <c r="AF35" s="221">
        <v>0.51</v>
      </c>
      <c r="AG35" s="221">
        <v>0.51</v>
      </c>
      <c r="AH35" s="221">
        <v>0.51</v>
      </c>
      <c r="AI35" s="221">
        <v>0.51</v>
      </c>
      <c r="AJ35" s="211">
        <f t="shared" si="46"/>
        <v>25.167000000000002</v>
      </c>
      <c r="AK35" s="211">
        <f t="shared" si="47"/>
        <v>25.167000000000002</v>
      </c>
      <c r="AL35" s="211">
        <f t="shared" si="48"/>
        <v>25.167000000000002</v>
      </c>
      <c r="AM35" s="211">
        <f t="shared" si="49"/>
        <v>25.167000000000002</v>
      </c>
      <c r="AN35" s="211">
        <f t="shared" si="50"/>
        <v>25.167000000000002</v>
      </c>
      <c r="AO35" s="295">
        <f t="shared" si="51"/>
        <v>125.83500000000001</v>
      </c>
      <c r="AP35" s="277">
        <f t="shared" si="75"/>
        <v>25.167000000000002</v>
      </c>
      <c r="AQ35" s="277">
        <f t="shared" si="53"/>
        <v>25.167000000000002</v>
      </c>
      <c r="AR35" s="277">
        <f t="shared" si="54"/>
        <v>25.167000000000002</v>
      </c>
      <c r="AS35" s="277">
        <f t="shared" si="55"/>
        <v>25.167000000000002</v>
      </c>
      <c r="AT35" s="277">
        <f t="shared" si="56"/>
        <v>25.167000000000002</v>
      </c>
      <c r="AU35" s="211">
        <f t="shared" si="57"/>
        <v>125.83500000000001</v>
      </c>
      <c r="AV35" s="301">
        <f t="shared" si="58"/>
        <v>1</v>
      </c>
      <c r="AW35" s="277">
        <f t="shared" si="59"/>
        <v>0</v>
      </c>
      <c r="AX35" s="277">
        <f t="shared" si="60"/>
        <v>0</v>
      </c>
      <c r="AY35" s="277">
        <f t="shared" si="61"/>
        <v>0</v>
      </c>
      <c r="AZ35" s="277">
        <f t="shared" si="62"/>
        <v>0</v>
      </c>
      <c r="BA35" s="277">
        <f t="shared" si="63"/>
        <v>0</v>
      </c>
      <c r="BB35" s="211">
        <f t="shared" si="64"/>
        <v>0</v>
      </c>
      <c r="BC35" s="289">
        <f t="shared" si="65"/>
        <v>0</v>
      </c>
      <c r="BD35" s="74"/>
      <c r="BF35" s="98" t="s">
        <v>0</v>
      </c>
      <c r="BG35" s="18" t="s">
        <v>11</v>
      </c>
      <c r="BH35" s="16"/>
      <c r="BI35" s="99">
        <f t="shared" si="66"/>
        <v>0</v>
      </c>
      <c r="BJ35" s="99">
        <v>0</v>
      </c>
      <c r="BK35" s="99">
        <f t="shared" si="67"/>
        <v>0</v>
      </c>
      <c r="BL35" s="99">
        <v>0</v>
      </c>
      <c r="BM35" s="100">
        <f t="shared" si="68"/>
        <v>0</v>
      </c>
      <c r="BQ35" s="1">
        <v>0.49</v>
      </c>
      <c r="CD35" s="9" t="s">
        <v>153</v>
      </c>
      <c r="CF35" s="9" t="s">
        <v>149</v>
      </c>
      <c r="CG35" s="9" t="s">
        <v>42</v>
      </c>
      <c r="CK35" s="9" t="s">
        <v>148</v>
      </c>
      <c r="CQ35" s="72">
        <f t="shared" si="69"/>
        <v>0</v>
      </c>
      <c r="CR35" s="72">
        <f t="shared" si="70"/>
        <v>25.167000000000002</v>
      </c>
      <c r="CS35" s="72">
        <f t="shared" si="71"/>
        <v>0</v>
      </c>
      <c r="CT35" s="72">
        <f t="shared" si="72"/>
        <v>0</v>
      </c>
      <c r="CU35" s="72">
        <f t="shared" si="73"/>
        <v>0</v>
      </c>
      <c r="CV35" s="9" t="s">
        <v>42</v>
      </c>
      <c r="CW35" s="101">
        <f t="shared" si="74"/>
        <v>25.167000000000002</v>
      </c>
      <c r="CX35" s="9" t="s">
        <v>153</v>
      </c>
      <c r="CY35" s="9" t="s">
        <v>428</v>
      </c>
    </row>
    <row r="36" spans="2:103" s="1" customFormat="1" ht="31.5" customHeight="1">
      <c r="B36" s="73"/>
      <c r="C36" s="93" t="s">
        <v>191</v>
      </c>
      <c r="D36" s="93" t="s">
        <v>149</v>
      </c>
      <c r="E36" s="94" t="s">
        <v>160</v>
      </c>
      <c r="F36" s="498" t="s">
        <v>161</v>
      </c>
      <c r="G36" s="498"/>
      <c r="H36" s="498"/>
      <c r="I36" s="498"/>
      <c r="J36" s="95" t="s">
        <v>152</v>
      </c>
      <c r="K36" s="211">
        <v>5.4829999999999997</v>
      </c>
      <c r="L36" s="211">
        <v>5.4829999999999997</v>
      </c>
      <c r="M36" s="211">
        <v>5.4829999999999997</v>
      </c>
      <c r="N36" s="211">
        <v>5.4829999999999997</v>
      </c>
      <c r="O36" s="211">
        <v>5.4829999999999997</v>
      </c>
      <c r="P36" s="279">
        <f t="shared" si="40"/>
        <v>27.414999999999999</v>
      </c>
      <c r="Q36" s="277">
        <v>5.4829999999999997</v>
      </c>
      <c r="R36" s="277">
        <v>5.4829999999999997</v>
      </c>
      <c r="S36" s="277">
        <v>5.4829999999999997</v>
      </c>
      <c r="T36" s="277">
        <v>5.4829999999999997</v>
      </c>
      <c r="U36" s="211">
        <v>5.4829999999999997</v>
      </c>
      <c r="V36" s="290">
        <f t="shared" si="41"/>
        <v>27.414999999999999</v>
      </c>
      <c r="W36" s="289">
        <f t="shared" si="42"/>
        <v>1</v>
      </c>
      <c r="X36" s="277">
        <f t="shared" si="43"/>
        <v>0</v>
      </c>
      <c r="Y36" s="277">
        <f t="shared" si="43"/>
        <v>0</v>
      </c>
      <c r="Z36" s="277">
        <f t="shared" si="43"/>
        <v>0</v>
      </c>
      <c r="AA36" s="277">
        <f t="shared" si="43"/>
        <v>0</v>
      </c>
      <c r="AB36" s="277">
        <f t="shared" si="43"/>
        <v>0</v>
      </c>
      <c r="AC36" s="220">
        <f t="shared" si="44"/>
        <v>0</v>
      </c>
      <c r="AD36" s="289">
        <f t="shared" si="45"/>
        <v>0</v>
      </c>
      <c r="AE36" s="221">
        <v>47.25</v>
      </c>
      <c r="AF36" s="221">
        <v>47.25</v>
      </c>
      <c r="AG36" s="221">
        <v>47.25</v>
      </c>
      <c r="AH36" s="221">
        <v>47.25</v>
      </c>
      <c r="AI36" s="221">
        <v>47.25</v>
      </c>
      <c r="AJ36" s="211">
        <f t="shared" si="46"/>
        <v>259.072</v>
      </c>
      <c r="AK36" s="211">
        <f t="shared" si="47"/>
        <v>259.072</v>
      </c>
      <c r="AL36" s="211">
        <f t="shared" si="48"/>
        <v>259.072</v>
      </c>
      <c r="AM36" s="211">
        <f t="shared" si="49"/>
        <v>259.072</v>
      </c>
      <c r="AN36" s="211">
        <f t="shared" si="50"/>
        <v>259.072</v>
      </c>
      <c r="AO36" s="295">
        <f t="shared" si="51"/>
        <v>1295.3600000000001</v>
      </c>
      <c r="AP36" s="277">
        <f t="shared" si="75"/>
        <v>259.072</v>
      </c>
      <c r="AQ36" s="277">
        <f t="shared" si="53"/>
        <v>259.072</v>
      </c>
      <c r="AR36" s="277">
        <f t="shared" si="54"/>
        <v>259.072</v>
      </c>
      <c r="AS36" s="277">
        <f t="shared" si="55"/>
        <v>259.072</v>
      </c>
      <c r="AT36" s="277">
        <f t="shared" si="56"/>
        <v>259.072</v>
      </c>
      <c r="AU36" s="211">
        <f t="shared" si="57"/>
        <v>1295.3600000000001</v>
      </c>
      <c r="AV36" s="301">
        <f t="shared" si="58"/>
        <v>1</v>
      </c>
      <c r="AW36" s="277">
        <f t="shared" si="59"/>
        <v>0</v>
      </c>
      <c r="AX36" s="277">
        <f t="shared" si="60"/>
        <v>0</v>
      </c>
      <c r="AY36" s="277">
        <f t="shared" si="61"/>
        <v>0</v>
      </c>
      <c r="AZ36" s="277">
        <f t="shared" si="62"/>
        <v>0</v>
      </c>
      <c r="BA36" s="277">
        <f t="shared" si="63"/>
        <v>0</v>
      </c>
      <c r="BB36" s="211">
        <f t="shared" si="64"/>
        <v>0</v>
      </c>
      <c r="BC36" s="289">
        <f t="shared" si="65"/>
        <v>0</v>
      </c>
      <c r="BD36" s="74"/>
      <c r="BF36" s="98" t="s">
        <v>0</v>
      </c>
      <c r="BG36" s="18" t="s">
        <v>11</v>
      </c>
      <c r="BH36" s="16"/>
      <c r="BI36" s="99">
        <f t="shared" si="66"/>
        <v>0</v>
      </c>
      <c r="BJ36" s="99">
        <v>0</v>
      </c>
      <c r="BK36" s="99">
        <f t="shared" si="67"/>
        <v>0</v>
      </c>
      <c r="BL36" s="99">
        <v>0</v>
      </c>
      <c r="BM36" s="100">
        <f t="shared" si="68"/>
        <v>0</v>
      </c>
      <c r="BQ36" s="1">
        <v>45.43</v>
      </c>
      <c r="CD36" s="9" t="s">
        <v>153</v>
      </c>
      <c r="CF36" s="9" t="s">
        <v>149</v>
      </c>
      <c r="CG36" s="9" t="s">
        <v>42</v>
      </c>
      <c r="CK36" s="9" t="s">
        <v>148</v>
      </c>
      <c r="CQ36" s="72">
        <f t="shared" si="69"/>
        <v>0</v>
      </c>
      <c r="CR36" s="72">
        <f t="shared" si="70"/>
        <v>259.072</v>
      </c>
      <c r="CS36" s="72">
        <f t="shared" si="71"/>
        <v>0</v>
      </c>
      <c r="CT36" s="72">
        <f t="shared" si="72"/>
        <v>0</v>
      </c>
      <c r="CU36" s="72">
        <f t="shared" si="73"/>
        <v>0</v>
      </c>
      <c r="CV36" s="9" t="s">
        <v>42</v>
      </c>
      <c r="CW36" s="101">
        <f t="shared" si="74"/>
        <v>259.072</v>
      </c>
      <c r="CX36" s="9" t="s">
        <v>153</v>
      </c>
      <c r="CY36" s="9" t="s">
        <v>429</v>
      </c>
    </row>
    <row r="37" spans="2:103" s="7" customFormat="1" ht="29.85" customHeight="1">
      <c r="B37" s="82"/>
      <c r="C37" s="83"/>
      <c r="D37" s="92" t="s">
        <v>129</v>
      </c>
      <c r="E37" s="92"/>
      <c r="F37" s="92"/>
      <c r="G37" s="92"/>
      <c r="H37" s="92"/>
      <c r="I37" s="92"/>
      <c r="J37" s="92"/>
      <c r="K37" s="219"/>
      <c r="L37" s="219"/>
      <c r="M37" s="219"/>
      <c r="N37" s="219"/>
      <c r="O37" s="219"/>
      <c r="P37" s="222"/>
      <c r="Q37" s="219"/>
      <c r="R37" s="219"/>
      <c r="S37" s="219"/>
      <c r="T37" s="219"/>
      <c r="U37" s="219"/>
      <c r="V37" s="222"/>
      <c r="W37" s="286"/>
      <c r="X37" s="219"/>
      <c r="Y37" s="219"/>
      <c r="Z37" s="219"/>
      <c r="AA37" s="219"/>
      <c r="AB37" s="219"/>
      <c r="AC37" s="222"/>
      <c r="AD37" s="286"/>
      <c r="AE37" s="219"/>
      <c r="AF37" s="219"/>
      <c r="AG37" s="219"/>
      <c r="AH37" s="219"/>
      <c r="AI37" s="219"/>
      <c r="AJ37" s="212">
        <f t="shared" ref="AJ37:BB37" si="76">SUM(AJ38)</f>
        <v>111.68</v>
      </c>
      <c r="AK37" s="212">
        <f t="shared" si="76"/>
        <v>111.68</v>
      </c>
      <c r="AL37" s="212">
        <f t="shared" si="76"/>
        <v>111.68</v>
      </c>
      <c r="AM37" s="212">
        <f t="shared" si="76"/>
        <v>111.68</v>
      </c>
      <c r="AN37" s="212">
        <f t="shared" si="76"/>
        <v>111.68</v>
      </c>
      <c r="AO37" s="296">
        <f t="shared" si="76"/>
        <v>558.40000000000009</v>
      </c>
      <c r="AP37" s="212">
        <f t="shared" si="76"/>
        <v>0</v>
      </c>
      <c r="AQ37" s="212">
        <f t="shared" si="76"/>
        <v>0</v>
      </c>
      <c r="AR37" s="212">
        <f t="shared" si="76"/>
        <v>0</v>
      </c>
      <c r="AS37" s="212">
        <f t="shared" si="76"/>
        <v>0</v>
      </c>
      <c r="AT37" s="212">
        <f t="shared" si="76"/>
        <v>0</v>
      </c>
      <c r="AU37" s="212">
        <f t="shared" si="76"/>
        <v>0</v>
      </c>
      <c r="AV37" s="302"/>
      <c r="AW37" s="212">
        <f t="shared" si="76"/>
        <v>111.68</v>
      </c>
      <c r="AX37" s="212">
        <f t="shared" si="76"/>
        <v>111.68</v>
      </c>
      <c r="AY37" s="212">
        <f t="shared" si="76"/>
        <v>111.68</v>
      </c>
      <c r="AZ37" s="212">
        <f t="shared" si="76"/>
        <v>111.68</v>
      </c>
      <c r="BA37" s="212">
        <f t="shared" si="76"/>
        <v>111.68</v>
      </c>
      <c r="BB37" s="212">
        <f t="shared" si="76"/>
        <v>558.40000000000009</v>
      </c>
      <c r="BC37" s="302"/>
      <c r="BD37" s="85"/>
      <c r="BF37" s="86"/>
      <c r="BG37" s="83"/>
      <c r="BH37" s="83"/>
      <c r="BI37" s="87">
        <f>BI38</f>
        <v>0</v>
      </c>
      <c r="BJ37" s="83"/>
      <c r="BK37" s="87">
        <f>BK38</f>
        <v>0</v>
      </c>
      <c r="BL37" s="83"/>
      <c r="BM37" s="88">
        <f>BM38</f>
        <v>0</v>
      </c>
      <c r="CD37" s="89" t="s">
        <v>38</v>
      </c>
      <c r="CF37" s="90" t="s">
        <v>30</v>
      </c>
      <c r="CG37" s="90" t="s">
        <v>38</v>
      </c>
      <c r="CK37" s="89" t="s">
        <v>148</v>
      </c>
      <c r="CW37" s="91">
        <f>CW38</f>
        <v>111.68</v>
      </c>
    </row>
    <row r="38" spans="2:103" s="1" customFormat="1" ht="31.5" customHeight="1">
      <c r="B38" s="73"/>
      <c r="C38" s="93" t="s">
        <v>169</v>
      </c>
      <c r="D38" s="93" t="s">
        <v>149</v>
      </c>
      <c r="E38" s="94" t="s">
        <v>163</v>
      </c>
      <c r="F38" s="498" t="s">
        <v>164</v>
      </c>
      <c r="G38" s="498"/>
      <c r="H38" s="498"/>
      <c r="I38" s="498"/>
      <c r="J38" s="95" t="s">
        <v>152</v>
      </c>
      <c r="K38" s="211">
        <v>11.003</v>
      </c>
      <c r="L38" s="211">
        <v>11.003</v>
      </c>
      <c r="M38" s="211">
        <v>11.003</v>
      </c>
      <c r="N38" s="211">
        <v>11.003</v>
      </c>
      <c r="O38" s="211">
        <v>11.003</v>
      </c>
      <c r="P38" s="279">
        <f>SUM(K38:O38)</f>
        <v>55.015000000000001</v>
      </c>
      <c r="Q38" s="277">
        <v>0</v>
      </c>
      <c r="R38" s="277">
        <v>0</v>
      </c>
      <c r="S38" s="277">
        <v>0</v>
      </c>
      <c r="T38" s="277">
        <v>0</v>
      </c>
      <c r="U38" s="277">
        <v>0</v>
      </c>
      <c r="V38" s="290">
        <f>SUM(Q38:U38)</f>
        <v>0</v>
      </c>
      <c r="W38" s="289">
        <f>V38/P38</f>
        <v>0</v>
      </c>
      <c r="X38" s="277">
        <f>K38-Q38</f>
        <v>11.003</v>
      </c>
      <c r="Y38" s="277">
        <f>L38-R38</f>
        <v>11.003</v>
      </c>
      <c r="Z38" s="277">
        <f>M38-S38</f>
        <v>11.003</v>
      </c>
      <c r="AA38" s="277">
        <f>N38-T38</f>
        <v>11.003</v>
      </c>
      <c r="AB38" s="277">
        <f>O38-U38</f>
        <v>11.003</v>
      </c>
      <c r="AC38" s="220">
        <f>SUM(X38:AB38)</f>
        <v>55.015000000000001</v>
      </c>
      <c r="AD38" s="289">
        <f>AC38/P38</f>
        <v>1</v>
      </c>
      <c r="AE38" s="221">
        <v>10.15</v>
      </c>
      <c r="AF38" s="221">
        <v>10.15</v>
      </c>
      <c r="AG38" s="221">
        <v>10.15</v>
      </c>
      <c r="AH38" s="221">
        <v>10.15</v>
      </c>
      <c r="AI38" s="221">
        <v>10.15</v>
      </c>
      <c r="AJ38" s="211">
        <f>ROUND(AE38*K38,3)</f>
        <v>111.68</v>
      </c>
      <c r="AK38" s="211">
        <f>ROUND(AE38*L38,3)</f>
        <v>111.68</v>
      </c>
      <c r="AL38" s="211">
        <f>ROUND(AE38*M38,3)</f>
        <v>111.68</v>
      </c>
      <c r="AM38" s="211">
        <f>ROUND(AE38*N38,3)</f>
        <v>111.68</v>
      </c>
      <c r="AN38" s="211">
        <f>ROUND(AE38*O38,3)</f>
        <v>111.68</v>
      </c>
      <c r="AO38" s="295">
        <f>AJ38+AK38+AL38+AM38+AN38</f>
        <v>558.40000000000009</v>
      </c>
      <c r="AP38" s="277">
        <f t="shared" ref="AP38:AT38" si="77">ROUND(Q38*AE38,3)</f>
        <v>0</v>
      </c>
      <c r="AQ38" s="277">
        <f t="shared" si="77"/>
        <v>0</v>
      </c>
      <c r="AR38" s="277">
        <f t="shared" si="77"/>
        <v>0</v>
      </c>
      <c r="AS38" s="277">
        <f t="shared" si="77"/>
        <v>0</v>
      </c>
      <c r="AT38" s="277">
        <f t="shared" si="77"/>
        <v>0</v>
      </c>
      <c r="AU38" s="211">
        <f>AP38+AQ38+AR38+AS38+AT38</f>
        <v>0</v>
      </c>
      <c r="AV38" s="301">
        <f>AU38/AO38</f>
        <v>0</v>
      </c>
      <c r="AW38" s="277">
        <f t="shared" ref="AW38:BA38" si="78">AJ38-AP38</f>
        <v>111.68</v>
      </c>
      <c r="AX38" s="277">
        <f t="shared" si="78"/>
        <v>111.68</v>
      </c>
      <c r="AY38" s="277">
        <f t="shared" si="78"/>
        <v>111.68</v>
      </c>
      <c r="AZ38" s="277">
        <f t="shared" si="78"/>
        <v>111.68</v>
      </c>
      <c r="BA38" s="277">
        <f t="shared" si="78"/>
        <v>111.68</v>
      </c>
      <c r="BB38" s="211">
        <f>AW38+AX38+AY38+AZ38+BA38</f>
        <v>558.40000000000009</v>
      </c>
      <c r="BC38" s="289">
        <f>BB38/AO38</f>
        <v>1</v>
      </c>
      <c r="BD38" s="74"/>
      <c r="BF38" s="98" t="s">
        <v>0</v>
      </c>
      <c r="BG38" s="18" t="s">
        <v>11</v>
      </c>
      <c r="BH38" s="16"/>
      <c r="BI38" s="99">
        <f>BH38*K38</f>
        <v>0</v>
      </c>
      <c r="BJ38" s="99">
        <v>0</v>
      </c>
      <c r="BK38" s="99">
        <f>BJ38*K38</f>
        <v>0</v>
      </c>
      <c r="BL38" s="99">
        <v>0</v>
      </c>
      <c r="BM38" s="100">
        <f>BL38*K38</f>
        <v>0</v>
      </c>
      <c r="BQ38" s="1">
        <v>9.76</v>
      </c>
      <c r="CD38" s="9" t="s">
        <v>153</v>
      </c>
      <c r="CF38" s="9" t="s">
        <v>149</v>
      </c>
      <c r="CG38" s="9" t="s">
        <v>42</v>
      </c>
      <c r="CK38" s="9" t="s">
        <v>148</v>
      </c>
      <c r="CQ38" s="72">
        <f>IF(BG38="základná",AJ38,0)</f>
        <v>0</v>
      </c>
      <c r="CR38" s="72">
        <f>IF(BG38="znížená",AJ38,0)</f>
        <v>111.68</v>
      </c>
      <c r="CS38" s="72">
        <f>IF(BG38="zákl. prenesená",AJ38,0)</f>
        <v>0</v>
      </c>
      <c r="CT38" s="72">
        <f>IF(BG38="zníž. prenesená",AJ38,0)</f>
        <v>0</v>
      </c>
      <c r="CU38" s="72">
        <f>IF(BG38="nulová",AJ38,0)</f>
        <v>0</v>
      </c>
      <c r="CV38" s="9" t="s">
        <v>42</v>
      </c>
      <c r="CW38" s="101">
        <f>ROUND(AE38*K38,3)</f>
        <v>111.68</v>
      </c>
      <c r="CX38" s="9" t="s">
        <v>153</v>
      </c>
      <c r="CY38" s="9" t="s">
        <v>430</v>
      </c>
    </row>
    <row r="39" spans="2:103" s="1" customFormat="1" ht="39" customHeight="1">
      <c r="B39" s="15"/>
      <c r="C39" s="436"/>
      <c r="D39" s="441" t="s">
        <v>243</v>
      </c>
      <c r="E39" s="442"/>
      <c r="F39" s="442"/>
      <c r="G39" s="442"/>
      <c r="H39" s="442"/>
      <c r="I39" s="442"/>
      <c r="J39" s="442"/>
      <c r="K39" s="443"/>
      <c r="L39" s="443"/>
      <c r="M39" s="443"/>
      <c r="N39" s="443"/>
      <c r="O39" s="443"/>
      <c r="P39" s="443"/>
      <c r="Q39" s="443"/>
      <c r="R39" s="443"/>
      <c r="S39" s="443"/>
      <c r="T39" s="443"/>
      <c r="U39" s="443"/>
      <c r="V39" s="443"/>
      <c r="W39" s="444"/>
      <c r="X39" s="443"/>
      <c r="Y39" s="443"/>
      <c r="Z39" s="443"/>
      <c r="AA39" s="443"/>
      <c r="AB39" s="443"/>
      <c r="AC39" s="443"/>
      <c r="AD39" s="444"/>
      <c r="AE39" s="443"/>
      <c r="AF39" s="443"/>
      <c r="AG39" s="443"/>
      <c r="AH39" s="443"/>
      <c r="AI39" s="443"/>
      <c r="AJ39" s="445">
        <f t="shared" ref="AJ39:AO39" si="79">AJ42+AJ51+AJ57+AJ72</f>
        <v>5762.8639999999996</v>
      </c>
      <c r="AK39" s="445">
        <f t="shared" si="79"/>
        <v>5689.6040000000003</v>
      </c>
      <c r="AL39" s="445">
        <f t="shared" si="79"/>
        <v>6291.3489999999993</v>
      </c>
      <c r="AM39" s="445">
        <f t="shared" si="79"/>
        <v>23357.444</v>
      </c>
      <c r="AN39" s="445">
        <f t="shared" si="79"/>
        <v>2316.7839999999997</v>
      </c>
      <c r="AO39" s="446">
        <f t="shared" si="79"/>
        <v>43418.044999999998</v>
      </c>
      <c r="AP39" s="445">
        <f t="shared" ref="AP39:AU39" si="80">AP42+AP51+AP57+AP72</f>
        <v>1749.8820000000001</v>
      </c>
      <c r="AQ39" s="445">
        <f t="shared" si="80"/>
        <v>3155.9929999999995</v>
      </c>
      <c r="AR39" s="445">
        <f t="shared" si="80"/>
        <v>2066.0789999999997</v>
      </c>
      <c r="AS39" s="445">
        <f t="shared" si="80"/>
        <v>1475.4590000000001</v>
      </c>
      <c r="AT39" s="445">
        <f t="shared" si="80"/>
        <v>851.71500000000003</v>
      </c>
      <c r="AU39" s="445">
        <f t="shared" si="80"/>
        <v>9299.1280000000006</v>
      </c>
      <c r="AV39" s="447">
        <f t="shared" ref="AV39:AV50" si="81">AU39/AO39</f>
        <v>0.21417657105473084</v>
      </c>
      <c r="AW39" s="445">
        <f t="shared" ref="AW39:BB39" si="82">AW42+AW51+AW57+AW72</f>
        <v>4012.982</v>
      </c>
      <c r="AX39" s="445">
        <f t="shared" si="82"/>
        <v>2533.6109999999999</v>
      </c>
      <c r="AY39" s="445">
        <f t="shared" si="82"/>
        <v>4225.2700000000004</v>
      </c>
      <c r="AZ39" s="445">
        <f t="shared" si="82"/>
        <v>21881.985000000001</v>
      </c>
      <c r="BA39" s="445">
        <f t="shared" si="82"/>
        <v>1465.069</v>
      </c>
      <c r="BB39" s="445">
        <f t="shared" si="82"/>
        <v>34118.917000000001</v>
      </c>
      <c r="BC39" s="447">
        <f>BB39/AO39</f>
        <v>0.78582342894526924</v>
      </c>
      <c r="BD39" s="17"/>
      <c r="BF39" s="106"/>
      <c r="BG39" s="21"/>
      <c r="BH39" s="21"/>
      <c r="BI39" s="21"/>
      <c r="BJ39" s="21"/>
      <c r="BK39" s="21"/>
      <c r="BL39" s="21"/>
      <c r="BM39" s="22"/>
      <c r="CF39" s="9" t="s">
        <v>30</v>
      </c>
      <c r="CG39" s="9" t="s">
        <v>31</v>
      </c>
      <c r="CK39" s="9" t="s">
        <v>244</v>
      </c>
      <c r="CW39" s="101">
        <v>0</v>
      </c>
    </row>
    <row r="40" spans="2:103" s="1" customFormat="1" ht="39" hidden="1" customHeight="1" outlineLevel="1">
      <c r="B40" s="15"/>
      <c r="C40" s="436"/>
      <c r="D40" s="441" t="s">
        <v>1435</v>
      </c>
      <c r="E40" s="442"/>
      <c r="F40" s="442"/>
      <c r="G40" s="442"/>
      <c r="H40" s="442"/>
      <c r="I40" s="442"/>
      <c r="J40" s="442"/>
      <c r="K40" s="443"/>
      <c r="L40" s="443"/>
      <c r="M40" s="443"/>
      <c r="N40" s="443"/>
      <c r="O40" s="443"/>
      <c r="P40" s="443"/>
      <c r="Q40" s="443"/>
      <c r="R40" s="443"/>
      <c r="S40" s="443"/>
      <c r="T40" s="443"/>
      <c r="U40" s="443"/>
      <c r="V40" s="443"/>
      <c r="W40" s="444"/>
      <c r="X40" s="443"/>
      <c r="Y40" s="443"/>
      <c r="Z40" s="443"/>
      <c r="AA40" s="443"/>
      <c r="AB40" s="443"/>
      <c r="AC40" s="443"/>
      <c r="AD40" s="444"/>
      <c r="AE40" s="443"/>
      <c r="AF40" s="443"/>
      <c r="AG40" s="443"/>
      <c r="AH40" s="443"/>
      <c r="AI40" s="443"/>
      <c r="AJ40" s="476">
        <f>SUMIF(AJ43:AJ50,"&lt;0")+SUMIF(AJ52:AJ56,"&lt;0")+SUMIF(AJ58:AJ71,"&lt;0")+SUMIF(AJ73,"&lt;0")</f>
        <v>-398.51</v>
      </c>
      <c r="AK40" s="476">
        <f>SUMIF(AK43:AK50,"&lt;0")+SUMIF(AK52:AK56,"&lt;0")+SUMIF(AK58:AK71,"&lt;0")+SUMIF(AK73,"&lt;0")</f>
        <v>-398.51</v>
      </c>
      <c r="AL40" s="476">
        <f>SUMIF(AL43:AL50,"&lt;0")+SUMIF(AL52:AL56,"&lt;0")+SUMIF(AL58:AL71,"&lt;0")+SUMIF(AL73,"&lt;0")</f>
        <v>-978.84799999999996</v>
      </c>
      <c r="AM40" s="476">
        <f>SUMIF(AM43:AM50,"&lt;0")+SUMIF(AM52:AM56,"&lt;0")+SUMIF(AM58:AM71,"&lt;0")+SUMIF(AM73,"&lt;0")</f>
        <v>-830.9559999999999</v>
      </c>
      <c r="AN40" s="476">
        <f>SUMIF(AN43:AN50,"&lt;0")+SUMIF(AN52:AN56,"&lt;0")+SUMIF(AN58:AN71,"&lt;0")+SUMIF(AN73,"&lt;0")</f>
        <v>-1295.421</v>
      </c>
      <c r="AO40" s="481"/>
      <c r="AP40" s="480"/>
      <c r="AQ40" s="480"/>
      <c r="AR40" s="480"/>
      <c r="AS40" s="480"/>
      <c r="AT40" s="480"/>
      <c r="AU40" s="480"/>
      <c r="AV40" s="482"/>
      <c r="AW40" s="480"/>
      <c r="AX40" s="480"/>
      <c r="AY40" s="480"/>
      <c r="AZ40" s="480"/>
      <c r="BA40" s="480"/>
      <c r="BB40" s="480"/>
      <c r="BC40" s="482"/>
      <c r="BD40" s="17"/>
      <c r="BF40" s="479"/>
      <c r="BG40" s="464"/>
      <c r="BH40" s="464"/>
      <c r="BI40" s="464"/>
      <c r="BJ40" s="464"/>
      <c r="BK40" s="464"/>
      <c r="BL40" s="464"/>
      <c r="BM40" s="37"/>
      <c r="CF40" s="9"/>
      <c r="CG40" s="9"/>
      <c r="CK40" s="9"/>
      <c r="CW40" s="101"/>
    </row>
    <row r="41" spans="2:103" s="1" customFormat="1" ht="39" hidden="1" customHeight="1" outlineLevel="1">
      <c r="B41" s="15"/>
      <c r="C41" s="436"/>
      <c r="D41" s="441" t="s">
        <v>1436</v>
      </c>
      <c r="E41" s="442"/>
      <c r="F41" s="442"/>
      <c r="G41" s="442"/>
      <c r="H41" s="442"/>
      <c r="I41" s="442"/>
      <c r="J41" s="442"/>
      <c r="K41" s="443"/>
      <c r="L41" s="443"/>
      <c r="M41" s="443"/>
      <c r="N41" s="443"/>
      <c r="O41" s="443"/>
      <c r="P41" s="443"/>
      <c r="Q41" s="443"/>
      <c r="R41" s="443"/>
      <c r="S41" s="443"/>
      <c r="T41" s="443"/>
      <c r="U41" s="443"/>
      <c r="V41" s="443"/>
      <c r="W41" s="444"/>
      <c r="X41" s="443"/>
      <c r="Y41" s="443"/>
      <c r="Z41" s="443"/>
      <c r="AA41" s="443"/>
      <c r="AB41" s="443"/>
      <c r="AC41" s="443"/>
      <c r="AD41" s="444"/>
      <c r="AE41" s="443"/>
      <c r="AF41" s="443"/>
      <c r="AG41" s="443"/>
      <c r="AH41" s="443"/>
      <c r="AI41" s="443"/>
      <c r="AJ41" s="476">
        <f>SUMIF(AJ43:AJ50,"&gt;0")+SUMIF(AJ52:AJ56,"&gt;0")+SUMIF(AJ58:AJ71,"&gt;0")+SUMIF(AJ73,"&gt;0")</f>
        <v>6161.3740000000007</v>
      </c>
      <c r="AK41" s="476">
        <f>SUMIF(AK43:AK50,"&gt;0")+SUMIF(AK52:AK56,"&gt;0")+SUMIF(AK58:AK71,"&gt;0")+SUMIF(AK73,"&gt;0")</f>
        <v>6088.1140000000005</v>
      </c>
      <c r="AL41" s="476">
        <f>SUMIF(AL43:AL50,"&gt;0")+SUMIF(AL52:AL56,"&gt;0")+SUMIF(AL58:AL71,"&gt;0")+SUMIF(AL73,"&gt;0")</f>
        <v>7270.1969999999992</v>
      </c>
      <c r="AM41" s="476">
        <f>SUMIF(AM43:AM50,"&gt;0")+SUMIF(AM52:AM56,"&gt;0")+SUMIF(AM58:AM71,"&gt;0")+SUMIF(AM73,"&gt;0")</f>
        <v>24188.399999999998</v>
      </c>
      <c r="AN41" s="476">
        <f>SUMIF(AN43:AN50,"&gt;0")+SUMIF(AN52:AN56,"&gt;0")+SUMIF(AN58:AN71,"&gt;0")+SUMIF(AN73,"&gt;0")</f>
        <v>3612.2049999999999</v>
      </c>
      <c r="AO41" s="481"/>
      <c r="AP41" s="480"/>
      <c r="AQ41" s="480"/>
      <c r="AR41" s="480"/>
      <c r="AS41" s="480"/>
      <c r="AT41" s="480"/>
      <c r="AU41" s="480"/>
      <c r="AV41" s="482"/>
      <c r="AW41" s="480"/>
      <c r="AX41" s="480"/>
      <c r="AY41" s="480"/>
      <c r="AZ41" s="480"/>
      <c r="BA41" s="480"/>
      <c r="BB41" s="480"/>
      <c r="BC41" s="482"/>
      <c r="BD41" s="17"/>
      <c r="BF41" s="479"/>
      <c r="BG41" s="464"/>
      <c r="BH41" s="464"/>
      <c r="BI41" s="464"/>
      <c r="BJ41" s="464"/>
      <c r="BK41" s="464"/>
      <c r="BL41" s="464"/>
      <c r="BM41" s="37"/>
      <c r="CF41" s="9"/>
      <c r="CG41" s="9"/>
      <c r="CK41" s="9"/>
      <c r="CW41" s="101"/>
    </row>
    <row r="42" spans="2:103" s="7" customFormat="1" ht="19.899999999999999" customHeight="1" collapsed="1">
      <c r="B42" s="82"/>
      <c r="C42" s="83"/>
      <c r="D42" s="92" t="s">
        <v>392</v>
      </c>
      <c r="E42" s="92"/>
      <c r="F42" s="92"/>
      <c r="G42" s="92"/>
      <c r="H42" s="92"/>
      <c r="I42" s="92"/>
      <c r="J42" s="92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85"/>
      <c r="X42" s="219"/>
      <c r="Y42" s="219"/>
      <c r="Z42" s="219"/>
      <c r="AA42" s="219"/>
      <c r="AB42" s="219"/>
      <c r="AC42" s="219"/>
      <c r="AD42" s="285"/>
      <c r="AE42" s="219"/>
      <c r="AF42" s="219"/>
      <c r="AG42" s="219"/>
      <c r="AH42" s="219"/>
      <c r="AI42" s="219"/>
      <c r="AJ42" s="213">
        <f t="shared" ref="AJ42:AO42" si="83">SUM(AJ43:AJ50)</f>
        <v>296.97500000000002</v>
      </c>
      <c r="AK42" s="213">
        <f t="shared" si="83"/>
        <v>296.97500000000002</v>
      </c>
      <c r="AL42" s="213">
        <f t="shared" si="83"/>
        <v>857.04399999999987</v>
      </c>
      <c r="AM42" s="213">
        <f t="shared" si="83"/>
        <v>6726.2920000000004</v>
      </c>
      <c r="AN42" s="213">
        <f t="shared" si="83"/>
        <v>41.414999999999985</v>
      </c>
      <c r="AO42" s="294">
        <f t="shared" si="83"/>
        <v>8218.7009999999991</v>
      </c>
      <c r="AP42" s="213">
        <f t="shared" ref="AP42:AU42" si="84">SUM(AP43:AP50)</f>
        <v>0</v>
      </c>
      <c r="AQ42" s="213">
        <f t="shared" si="84"/>
        <v>249.50600000000003</v>
      </c>
      <c r="AR42" s="213">
        <f t="shared" si="84"/>
        <v>56.103999999999999</v>
      </c>
      <c r="AS42" s="213">
        <f t="shared" si="84"/>
        <v>0</v>
      </c>
      <c r="AT42" s="213">
        <f t="shared" si="84"/>
        <v>57.870000000000005</v>
      </c>
      <c r="AU42" s="213">
        <f t="shared" si="84"/>
        <v>363.48</v>
      </c>
      <c r="AV42" s="304"/>
      <c r="AW42" s="213">
        <f t="shared" ref="AW42:BB42" si="85">SUM(AW43:AW50)</f>
        <v>296.97500000000002</v>
      </c>
      <c r="AX42" s="213">
        <f t="shared" si="85"/>
        <v>47.46899999999998</v>
      </c>
      <c r="AY42" s="213">
        <f t="shared" si="85"/>
        <v>800.93999999999983</v>
      </c>
      <c r="AZ42" s="213">
        <f t="shared" si="85"/>
        <v>6726.2920000000004</v>
      </c>
      <c r="BA42" s="213">
        <f t="shared" si="85"/>
        <v>-16.455000000000013</v>
      </c>
      <c r="BB42" s="213">
        <f t="shared" si="85"/>
        <v>7855.2209999999995</v>
      </c>
      <c r="BC42" s="300"/>
      <c r="BD42" s="85"/>
      <c r="BF42" s="86"/>
      <c r="BG42" s="83"/>
      <c r="BH42" s="83"/>
      <c r="BI42" s="87">
        <f>SUM(BI44:BI45)</f>
        <v>0</v>
      </c>
      <c r="BJ42" s="83"/>
      <c r="BK42" s="87">
        <f>SUM(BK44:BK45)</f>
        <v>0</v>
      </c>
      <c r="BL42" s="83"/>
      <c r="BM42" s="88">
        <f>SUM(BM44:BM45)</f>
        <v>0</v>
      </c>
      <c r="CD42" s="89" t="s">
        <v>38</v>
      </c>
      <c r="CF42" s="90" t="s">
        <v>30</v>
      </c>
      <c r="CG42" s="90" t="s">
        <v>38</v>
      </c>
      <c r="CK42" s="89" t="s">
        <v>148</v>
      </c>
      <c r="CW42" s="91">
        <f>SUM(CW44:CW45)</f>
        <v>119.53399999999999</v>
      </c>
    </row>
    <row r="43" spans="2:103" s="1" customFormat="1" ht="31.5" customHeight="1">
      <c r="B43" s="73"/>
      <c r="C43" s="93"/>
      <c r="D43" s="93" t="s">
        <v>149</v>
      </c>
      <c r="E43" s="94" t="s">
        <v>394</v>
      </c>
      <c r="F43" s="498" t="s">
        <v>395</v>
      </c>
      <c r="G43" s="498"/>
      <c r="H43" s="498"/>
      <c r="I43" s="498"/>
      <c r="J43" s="95" t="s">
        <v>396</v>
      </c>
      <c r="K43" s="211">
        <f>(19.2+15.8+8.05+2.6+10.55+13.2+3.6-2.4)*0.6*0.6-K20</f>
        <v>2.4159999999999933</v>
      </c>
      <c r="L43" s="211">
        <f>(19.2+15.8+8.05+2.6+10.55+13.2+3.6-2.4)*0.6*0.6-L20</f>
        <v>2.4159999999999933</v>
      </c>
      <c r="M43" s="211">
        <f>27.45-M20</f>
        <v>3.75</v>
      </c>
      <c r="N43" s="211">
        <f>(26.72+3.55+5.75+8.22)*1.6*1.6-N20</f>
        <v>93.694399999999987</v>
      </c>
      <c r="O43" s="211">
        <f>(O20-6.251)*-1</f>
        <v>-6.7489999999999997</v>
      </c>
      <c r="P43" s="279">
        <f t="shared" ref="P43:P50" si="86">SUM(K43:O43)</f>
        <v>95.527399999999972</v>
      </c>
      <c r="Q43" s="277">
        <v>0</v>
      </c>
      <c r="R43" s="277">
        <v>0</v>
      </c>
      <c r="S43" s="277">
        <v>0</v>
      </c>
      <c r="T43" s="277">
        <v>0</v>
      </c>
      <c r="U43" s="277">
        <v>0</v>
      </c>
      <c r="V43" s="290">
        <f t="shared" ref="V43:V50" si="87">SUM(Q43:U43)</f>
        <v>0</v>
      </c>
      <c r="W43" s="289">
        <f t="shared" ref="W43:W50" si="88">V43/P43</f>
        <v>0</v>
      </c>
      <c r="X43" s="277">
        <f t="shared" ref="X43:AB50" si="89">K43-Q43</f>
        <v>2.4159999999999933</v>
      </c>
      <c r="Y43" s="277">
        <f t="shared" si="89"/>
        <v>2.4159999999999933</v>
      </c>
      <c r="Z43" s="277">
        <f t="shared" si="89"/>
        <v>3.75</v>
      </c>
      <c r="AA43" s="277">
        <f t="shared" si="89"/>
        <v>93.694399999999987</v>
      </c>
      <c r="AB43" s="277">
        <f t="shared" si="89"/>
        <v>-6.7489999999999997</v>
      </c>
      <c r="AC43" s="220">
        <f t="shared" ref="AC43:AC50" si="90">SUM(X43:AB43)</f>
        <v>95.527399999999972</v>
      </c>
      <c r="AD43" s="289">
        <f t="shared" ref="AD43:AD50" si="91">AC43/P43</f>
        <v>1</v>
      </c>
      <c r="AE43" s="221">
        <v>33.700000000000003</v>
      </c>
      <c r="AF43" s="221">
        <v>33.700000000000003</v>
      </c>
      <c r="AG43" s="221">
        <v>33.700000000000003</v>
      </c>
      <c r="AH43" s="221">
        <v>33.700000000000003</v>
      </c>
      <c r="AI43" s="221">
        <v>33.700000000000003</v>
      </c>
      <c r="AJ43" s="211">
        <f t="shared" ref="AJ43:AJ50" si="92">ROUND(AE43*K43,3)</f>
        <v>81.418999999999997</v>
      </c>
      <c r="AK43" s="211">
        <f t="shared" ref="AK43:AK50" si="93">ROUND(AE43*L43,3)</f>
        <v>81.418999999999997</v>
      </c>
      <c r="AL43" s="211">
        <f t="shared" ref="AL43:AL50" si="94">ROUND(AE43*M43,3)</f>
        <v>126.375</v>
      </c>
      <c r="AM43" s="211">
        <f t="shared" ref="AM43:AM50" si="95">ROUND(AE43*N43,3)</f>
        <v>3157.5010000000002</v>
      </c>
      <c r="AN43" s="211">
        <f t="shared" ref="AN43:AN50" si="96">ROUND(AE43*O43,3)</f>
        <v>-227.441</v>
      </c>
      <c r="AO43" s="295">
        <f t="shared" ref="AO43:AO50" si="97">AJ43+AK43+AL43+AM43+AN43</f>
        <v>3219.2730000000001</v>
      </c>
      <c r="AP43" s="277">
        <f t="shared" ref="AP43:AP50" si="98">ROUND(Q43*AE43,3)</f>
        <v>0</v>
      </c>
      <c r="AQ43" s="277">
        <f t="shared" ref="AQ43:AQ50" si="99">ROUND(R43*AF43,3)</f>
        <v>0</v>
      </c>
      <c r="AR43" s="277">
        <f t="shared" ref="AR43:AR50" si="100">ROUND(S43*AG43,3)</f>
        <v>0</v>
      </c>
      <c r="AS43" s="277">
        <f t="shared" ref="AS43:AS50" si="101">ROUND(T43*AH43,3)</f>
        <v>0</v>
      </c>
      <c r="AT43" s="277">
        <f t="shared" ref="AT43:AT50" si="102">ROUND(U43*AI43,3)</f>
        <v>0</v>
      </c>
      <c r="AU43" s="211">
        <f t="shared" ref="AU43:AU50" si="103">AP43+AQ43+AR43+AS43+AT43</f>
        <v>0</v>
      </c>
      <c r="AV43" s="301">
        <f t="shared" si="81"/>
        <v>0</v>
      </c>
      <c r="AW43" s="277">
        <f t="shared" ref="AW43:AW50" si="104">AJ43-AP43</f>
        <v>81.418999999999997</v>
      </c>
      <c r="AX43" s="277">
        <f t="shared" ref="AX43:AX50" si="105">AK43-AQ43</f>
        <v>81.418999999999997</v>
      </c>
      <c r="AY43" s="277">
        <f t="shared" ref="AY43:AY50" si="106">AL43-AR43</f>
        <v>126.375</v>
      </c>
      <c r="AZ43" s="277">
        <f t="shared" ref="AZ43:AZ50" si="107">AM43-AS43</f>
        <v>3157.5010000000002</v>
      </c>
      <c r="BA43" s="277">
        <f t="shared" ref="BA43:BA50" si="108">AN43-AT43</f>
        <v>-227.441</v>
      </c>
      <c r="BB43" s="211">
        <f t="shared" ref="BB43:BB50" si="109">AW43+AX43+AY43+AZ43+BA43</f>
        <v>3219.2730000000001</v>
      </c>
      <c r="BC43" s="289">
        <f t="shared" ref="BC43:BC50" si="110">BB43/AO43</f>
        <v>1</v>
      </c>
      <c r="BD43" s="74"/>
      <c r="BF43" s="98" t="s">
        <v>0</v>
      </c>
      <c r="BG43" s="18" t="s">
        <v>11</v>
      </c>
      <c r="BH43" s="205"/>
      <c r="BI43" s="99">
        <f t="shared" ref="BI43:BI50" si="111">BH43*K43</f>
        <v>0</v>
      </c>
      <c r="BJ43" s="99">
        <v>0</v>
      </c>
      <c r="BK43" s="99">
        <f t="shared" ref="BK43:BK50" si="112">BJ43*K43</f>
        <v>0</v>
      </c>
      <c r="BL43" s="99">
        <v>0</v>
      </c>
      <c r="BM43" s="100">
        <f t="shared" ref="BM43:BM50" si="113">BL43*K43</f>
        <v>0</v>
      </c>
      <c r="CD43" s="9" t="s">
        <v>153</v>
      </c>
      <c r="CF43" s="9" t="s">
        <v>149</v>
      </c>
      <c r="CG43" s="9" t="s">
        <v>42</v>
      </c>
      <c r="CK43" s="9" t="s">
        <v>148</v>
      </c>
      <c r="CQ43" s="72">
        <f t="shared" ref="CQ43:CQ50" si="114">IF(BG43="základná",AJ43,0)</f>
        <v>0</v>
      </c>
      <c r="CR43" s="72">
        <f t="shared" ref="CR43:CR50" si="115">IF(BG43="znížená",AJ43,0)</f>
        <v>81.418999999999997</v>
      </c>
      <c r="CS43" s="72">
        <f t="shared" ref="CS43:CS50" si="116">IF(BG43="zákl. prenesená",AJ43,0)</f>
        <v>0</v>
      </c>
      <c r="CT43" s="72">
        <f t="shared" ref="CT43:CT50" si="117">IF(BG43="zníž. prenesená",AJ43,0)</f>
        <v>0</v>
      </c>
      <c r="CU43" s="72">
        <f t="shared" ref="CU43:CU50" si="118">IF(BG43="nulová",AJ43,0)</f>
        <v>0</v>
      </c>
      <c r="CV43" s="9" t="s">
        <v>42</v>
      </c>
      <c r="CW43" s="101">
        <f t="shared" ref="CW43:CW50" si="119">ROUND(AE43*K43,3)</f>
        <v>81.418999999999997</v>
      </c>
      <c r="CX43" s="9" t="s">
        <v>153</v>
      </c>
      <c r="CY43" s="9" t="s">
        <v>397</v>
      </c>
    </row>
    <row r="44" spans="2:103" s="1" customFormat="1" ht="31.5" customHeight="1">
      <c r="B44" s="73"/>
      <c r="C44" s="93"/>
      <c r="D44" s="93" t="s">
        <v>149</v>
      </c>
      <c r="E44" s="94" t="s">
        <v>398</v>
      </c>
      <c r="F44" s="498" t="s">
        <v>399</v>
      </c>
      <c r="G44" s="498"/>
      <c r="H44" s="498"/>
      <c r="I44" s="498"/>
      <c r="J44" s="95" t="s">
        <v>396</v>
      </c>
      <c r="K44" s="211">
        <f>23-K21</f>
        <v>19.477</v>
      </c>
      <c r="L44" s="211">
        <f>23-L21</f>
        <v>19.477</v>
      </c>
      <c r="M44" s="211">
        <f>27.45-M21</f>
        <v>22.45</v>
      </c>
      <c r="N44" s="211">
        <f>(26.72+3.55+5.75+8.22)*1.6*1.6-N21</f>
        <v>108.25439999999999</v>
      </c>
      <c r="O44" s="211">
        <f>6.251-O21</f>
        <v>2.7280000000000002</v>
      </c>
      <c r="P44" s="279">
        <f t="shared" si="86"/>
        <v>172.38639999999998</v>
      </c>
      <c r="Q44" s="277">
        <v>0</v>
      </c>
      <c r="R44" s="277">
        <f>22.27-R21</f>
        <v>18.747</v>
      </c>
      <c r="S44" s="277">
        <f>6.696-S21</f>
        <v>1.6959999999999997</v>
      </c>
      <c r="T44" s="277">
        <v>0</v>
      </c>
      <c r="U44" s="277">
        <f>6.251-U21</f>
        <v>2.7280000000000002</v>
      </c>
      <c r="V44" s="290">
        <f t="shared" si="87"/>
        <v>23.170999999999999</v>
      </c>
      <c r="W44" s="289">
        <f t="shared" si="88"/>
        <v>0.13441315556215572</v>
      </c>
      <c r="X44" s="277">
        <f t="shared" si="89"/>
        <v>19.477</v>
      </c>
      <c r="Y44" s="277">
        <f t="shared" si="89"/>
        <v>0.73000000000000043</v>
      </c>
      <c r="Z44" s="277">
        <f t="shared" si="89"/>
        <v>20.753999999999998</v>
      </c>
      <c r="AA44" s="277">
        <f t="shared" si="89"/>
        <v>108.25439999999999</v>
      </c>
      <c r="AB44" s="277">
        <f t="shared" si="89"/>
        <v>0</v>
      </c>
      <c r="AC44" s="220">
        <f t="shared" si="90"/>
        <v>149.21539999999999</v>
      </c>
      <c r="AD44" s="289">
        <f t="shared" si="91"/>
        <v>0.86558684443784428</v>
      </c>
      <c r="AE44" s="221">
        <v>4.8</v>
      </c>
      <c r="AF44" s="221">
        <v>4.8</v>
      </c>
      <c r="AG44" s="221">
        <v>4.8</v>
      </c>
      <c r="AH44" s="221">
        <v>4.8</v>
      </c>
      <c r="AI44" s="221">
        <v>4.8</v>
      </c>
      <c r="AJ44" s="211">
        <f t="shared" si="92"/>
        <v>93.49</v>
      </c>
      <c r="AK44" s="211">
        <f t="shared" si="93"/>
        <v>93.49</v>
      </c>
      <c r="AL44" s="211">
        <f t="shared" si="94"/>
        <v>107.76</v>
      </c>
      <c r="AM44" s="211">
        <f t="shared" si="95"/>
        <v>519.62099999999998</v>
      </c>
      <c r="AN44" s="211">
        <f t="shared" si="96"/>
        <v>13.093999999999999</v>
      </c>
      <c r="AO44" s="295">
        <f t="shared" si="97"/>
        <v>827.45500000000004</v>
      </c>
      <c r="AP44" s="277">
        <f t="shared" si="98"/>
        <v>0</v>
      </c>
      <c r="AQ44" s="277">
        <f t="shared" si="99"/>
        <v>89.986000000000004</v>
      </c>
      <c r="AR44" s="277">
        <f t="shared" si="100"/>
        <v>8.141</v>
      </c>
      <c r="AS44" s="277">
        <f t="shared" si="101"/>
        <v>0</v>
      </c>
      <c r="AT44" s="277">
        <f t="shared" si="102"/>
        <v>13.093999999999999</v>
      </c>
      <c r="AU44" s="211">
        <f t="shared" si="103"/>
        <v>111.221</v>
      </c>
      <c r="AV44" s="301">
        <f t="shared" si="81"/>
        <v>0.13441335178348068</v>
      </c>
      <c r="AW44" s="277">
        <f t="shared" si="104"/>
        <v>93.49</v>
      </c>
      <c r="AX44" s="277">
        <f t="shared" si="105"/>
        <v>3.5039999999999907</v>
      </c>
      <c r="AY44" s="277">
        <f t="shared" si="106"/>
        <v>99.619</v>
      </c>
      <c r="AZ44" s="277">
        <f t="shared" si="107"/>
        <v>519.62099999999998</v>
      </c>
      <c r="BA44" s="277">
        <f t="shared" si="108"/>
        <v>0</v>
      </c>
      <c r="BB44" s="211">
        <f t="shared" si="109"/>
        <v>716.23399999999992</v>
      </c>
      <c r="BC44" s="289">
        <f t="shared" si="110"/>
        <v>0.86558664821651921</v>
      </c>
      <c r="BD44" s="74"/>
      <c r="BF44" s="98" t="s">
        <v>0</v>
      </c>
      <c r="BG44" s="18" t="s">
        <v>11</v>
      </c>
      <c r="BH44" s="205"/>
      <c r="BI44" s="99">
        <f t="shared" si="111"/>
        <v>0</v>
      </c>
      <c r="BJ44" s="99">
        <v>0</v>
      </c>
      <c r="BK44" s="99">
        <f t="shared" si="112"/>
        <v>0</v>
      </c>
      <c r="BL44" s="99">
        <v>0</v>
      </c>
      <c r="BM44" s="100">
        <f t="shared" si="113"/>
        <v>0</v>
      </c>
      <c r="CD44" s="9" t="s">
        <v>153</v>
      </c>
      <c r="CF44" s="9" t="s">
        <v>149</v>
      </c>
      <c r="CG44" s="9" t="s">
        <v>42</v>
      </c>
      <c r="CK44" s="9" t="s">
        <v>148</v>
      </c>
      <c r="CQ44" s="72">
        <f t="shared" si="114"/>
        <v>0</v>
      </c>
      <c r="CR44" s="72">
        <f t="shared" si="115"/>
        <v>93.49</v>
      </c>
      <c r="CS44" s="72">
        <f t="shared" si="116"/>
        <v>0</v>
      </c>
      <c r="CT44" s="72">
        <f t="shared" si="117"/>
        <v>0</v>
      </c>
      <c r="CU44" s="72">
        <f t="shared" si="118"/>
        <v>0</v>
      </c>
      <c r="CV44" s="9" t="s">
        <v>42</v>
      </c>
      <c r="CW44" s="101">
        <f t="shared" si="119"/>
        <v>93.49</v>
      </c>
      <c r="CX44" s="9" t="s">
        <v>153</v>
      </c>
      <c r="CY44" s="9" t="s">
        <v>400</v>
      </c>
    </row>
    <row r="45" spans="2:103" s="1" customFormat="1" ht="35.25" customHeight="1">
      <c r="B45" s="73"/>
      <c r="C45" s="215" t="s">
        <v>1351</v>
      </c>
      <c r="D45" s="93" t="s">
        <v>149</v>
      </c>
      <c r="E45" s="94" t="s">
        <v>1348</v>
      </c>
      <c r="F45" s="500" t="s">
        <v>1347</v>
      </c>
      <c r="G45" s="501"/>
      <c r="H45" s="501"/>
      <c r="I45" s="502"/>
      <c r="J45" s="95" t="s">
        <v>396</v>
      </c>
      <c r="K45" s="211">
        <f>((19.2+15.8+8.05+2.6+10.55+13.2+3.6-2.4)*0.6*0.6-K50)*1.2</f>
        <v>2.899199999999992</v>
      </c>
      <c r="L45" s="211">
        <f>((19.2+15.8+8.05+2.6+10.55+13.2+3.6-2.4)*0.6*0.6-L50)*1.2</f>
        <v>2.899199999999992</v>
      </c>
      <c r="M45" s="211">
        <v>19.878</v>
      </c>
      <c r="N45" s="211">
        <f>((26.72+3.55+5.75+8.22)*1.6*1.6-N50)*1.2</f>
        <v>97.681919999999977</v>
      </c>
      <c r="O45" s="211">
        <f>((14.9+7.1+10.265+10.265)*0.6*0.6-O50)*1.2</f>
        <v>11.227919999999999</v>
      </c>
      <c r="P45" s="279">
        <f t="shared" si="86"/>
        <v>134.58623999999998</v>
      </c>
      <c r="Q45" s="277">
        <v>0</v>
      </c>
      <c r="R45" s="277">
        <v>0</v>
      </c>
      <c r="S45" s="277">
        <v>0</v>
      </c>
      <c r="T45" s="277">
        <v>0</v>
      </c>
      <c r="U45" s="277">
        <v>0</v>
      </c>
      <c r="V45" s="290">
        <f t="shared" si="87"/>
        <v>0</v>
      </c>
      <c r="W45" s="289">
        <f t="shared" si="88"/>
        <v>0</v>
      </c>
      <c r="X45" s="277">
        <f t="shared" si="89"/>
        <v>2.899199999999992</v>
      </c>
      <c r="Y45" s="277">
        <f t="shared" si="89"/>
        <v>2.899199999999992</v>
      </c>
      <c r="Z45" s="277">
        <f t="shared" si="89"/>
        <v>19.878</v>
      </c>
      <c r="AA45" s="277">
        <f t="shared" si="89"/>
        <v>97.681919999999977</v>
      </c>
      <c r="AB45" s="277">
        <f t="shared" si="89"/>
        <v>11.227919999999999</v>
      </c>
      <c r="AC45" s="220">
        <f t="shared" si="90"/>
        <v>134.58623999999998</v>
      </c>
      <c r="AD45" s="289">
        <f t="shared" si="91"/>
        <v>1</v>
      </c>
      <c r="AE45" s="221">
        <v>8.9830000000000005</v>
      </c>
      <c r="AF45" s="221">
        <v>8.99</v>
      </c>
      <c r="AG45" s="221">
        <v>8.99</v>
      </c>
      <c r="AH45" s="221">
        <v>8.99</v>
      </c>
      <c r="AI45" s="221">
        <v>8.99</v>
      </c>
      <c r="AJ45" s="211">
        <f t="shared" si="92"/>
        <v>26.044</v>
      </c>
      <c r="AK45" s="211">
        <f t="shared" si="93"/>
        <v>26.044</v>
      </c>
      <c r="AL45" s="211">
        <f t="shared" si="94"/>
        <v>178.56399999999999</v>
      </c>
      <c r="AM45" s="211">
        <f t="shared" si="95"/>
        <v>877.47699999999998</v>
      </c>
      <c r="AN45" s="211">
        <f t="shared" si="96"/>
        <v>100.86</v>
      </c>
      <c r="AO45" s="295">
        <f t="shared" si="97"/>
        <v>1208.9889999999998</v>
      </c>
      <c r="AP45" s="277">
        <f t="shared" si="98"/>
        <v>0</v>
      </c>
      <c r="AQ45" s="277">
        <f t="shared" si="99"/>
        <v>0</v>
      </c>
      <c r="AR45" s="277">
        <f t="shared" si="100"/>
        <v>0</v>
      </c>
      <c r="AS45" s="277">
        <f t="shared" si="101"/>
        <v>0</v>
      </c>
      <c r="AT45" s="277">
        <f t="shared" si="102"/>
        <v>0</v>
      </c>
      <c r="AU45" s="211">
        <f t="shared" si="103"/>
        <v>0</v>
      </c>
      <c r="AV45" s="301">
        <f t="shared" si="81"/>
        <v>0</v>
      </c>
      <c r="AW45" s="277">
        <f t="shared" si="104"/>
        <v>26.044</v>
      </c>
      <c r="AX45" s="277">
        <f t="shared" si="105"/>
        <v>26.044</v>
      </c>
      <c r="AY45" s="277">
        <f t="shared" si="106"/>
        <v>178.56399999999999</v>
      </c>
      <c r="AZ45" s="277">
        <f t="shared" si="107"/>
        <v>877.47699999999998</v>
      </c>
      <c r="BA45" s="277">
        <f t="shared" si="108"/>
        <v>100.86</v>
      </c>
      <c r="BB45" s="211">
        <f t="shared" si="109"/>
        <v>1208.9889999999998</v>
      </c>
      <c r="BC45" s="289">
        <f t="shared" si="110"/>
        <v>1</v>
      </c>
      <c r="BD45" s="74"/>
      <c r="BF45" s="98" t="s">
        <v>0</v>
      </c>
      <c r="BG45" s="18" t="s">
        <v>11</v>
      </c>
      <c r="BH45" s="205"/>
      <c r="BI45" s="99">
        <f t="shared" si="111"/>
        <v>0</v>
      </c>
      <c r="BJ45" s="99">
        <v>0</v>
      </c>
      <c r="BK45" s="99">
        <f t="shared" si="112"/>
        <v>0</v>
      </c>
      <c r="BL45" s="99">
        <v>0</v>
      </c>
      <c r="BM45" s="100">
        <f t="shared" si="113"/>
        <v>0</v>
      </c>
      <c r="CD45" s="9" t="s">
        <v>153</v>
      </c>
      <c r="CF45" s="9" t="s">
        <v>149</v>
      </c>
      <c r="CG45" s="9" t="s">
        <v>42</v>
      </c>
      <c r="CK45" s="9" t="s">
        <v>148</v>
      </c>
      <c r="CQ45" s="72">
        <f t="shared" si="114"/>
        <v>0</v>
      </c>
      <c r="CR45" s="72">
        <f t="shared" si="115"/>
        <v>26.044</v>
      </c>
      <c r="CS45" s="72">
        <f t="shared" si="116"/>
        <v>0</v>
      </c>
      <c r="CT45" s="72">
        <f t="shared" si="117"/>
        <v>0</v>
      </c>
      <c r="CU45" s="72">
        <f t="shared" si="118"/>
        <v>0</v>
      </c>
      <c r="CV45" s="9" t="s">
        <v>42</v>
      </c>
      <c r="CW45" s="101">
        <f t="shared" si="119"/>
        <v>26.044</v>
      </c>
      <c r="CX45" s="9" t="s">
        <v>153</v>
      </c>
      <c r="CY45" s="9" t="s">
        <v>403</v>
      </c>
    </row>
    <row r="46" spans="2:103" s="1" customFormat="1" ht="35.25" customHeight="1">
      <c r="B46" s="73"/>
      <c r="C46" s="215" t="s">
        <v>1351</v>
      </c>
      <c r="D46" s="93" t="s">
        <v>149</v>
      </c>
      <c r="E46" s="94" t="s">
        <v>1349</v>
      </c>
      <c r="F46" s="500" t="s">
        <v>1350</v>
      </c>
      <c r="G46" s="501"/>
      <c r="H46" s="501"/>
      <c r="I46" s="502"/>
      <c r="J46" s="95" t="s">
        <v>396</v>
      </c>
      <c r="K46" s="211">
        <f>K45*10</f>
        <v>28.991999999999919</v>
      </c>
      <c r="L46" s="211">
        <f>L45*10</f>
        <v>28.991999999999919</v>
      </c>
      <c r="M46" s="211">
        <f>M45*10</f>
        <v>198.78</v>
      </c>
      <c r="N46" s="211">
        <f>N45*10</f>
        <v>976.8191999999998</v>
      </c>
      <c r="O46" s="211">
        <f>O45*8</f>
        <v>89.823359999999994</v>
      </c>
      <c r="P46" s="279">
        <f t="shared" si="86"/>
        <v>1323.4065599999997</v>
      </c>
      <c r="Q46" s="277">
        <v>0</v>
      </c>
      <c r="R46" s="277">
        <v>0</v>
      </c>
      <c r="S46" s="277">
        <v>0</v>
      </c>
      <c r="T46" s="277">
        <v>0</v>
      </c>
      <c r="U46" s="277">
        <v>0</v>
      </c>
      <c r="V46" s="290">
        <f t="shared" si="87"/>
        <v>0</v>
      </c>
      <c r="W46" s="289">
        <f t="shared" si="88"/>
        <v>0</v>
      </c>
      <c r="X46" s="277">
        <f t="shared" si="89"/>
        <v>28.991999999999919</v>
      </c>
      <c r="Y46" s="277">
        <f t="shared" si="89"/>
        <v>28.991999999999919</v>
      </c>
      <c r="Z46" s="277">
        <f t="shared" si="89"/>
        <v>198.78</v>
      </c>
      <c r="AA46" s="277">
        <f t="shared" si="89"/>
        <v>976.8191999999998</v>
      </c>
      <c r="AB46" s="277">
        <f t="shared" si="89"/>
        <v>89.823359999999994</v>
      </c>
      <c r="AC46" s="220">
        <f t="shared" si="90"/>
        <v>1323.4065599999997</v>
      </c>
      <c r="AD46" s="289">
        <f t="shared" si="91"/>
        <v>1</v>
      </c>
      <c r="AE46" s="221">
        <v>0.66300000000000003</v>
      </c>
      <c r="AF46" s="221">
        <v>0.66300000000000003</v>
      </c>
      <c r="AG46" s="221">
        <v>0.66300000000000003</v>
      </c>
      <c r="AH46" s="221">
        <v>0.66300000000000003</v>
      </c>
      <c r="AI46" s="221">
        <v>0.66300000000000003</v>
      </c>
      <c r="AJ46" s="211">
        <f t="shared" si="92"/>
        <v>19.222000000000001</v>
      </c>
      <c r="AK46" s="211">
        <f t="shared" si="93"/>
        <v>19.222000000000001</v>
      </c>
      <c r="AL46" s="211">
        <f t="shared" si="94"/>
        <v>131.791</v>
      </c>
      <c r="AM46" s="211">
        <f t="shared" si="95"/>
        <v>647.63099999999997</v>
      </c>
      <c r="AN46" s="211">
        <f t="shared" si="96"/>
        <v>59.552999999999997</v>
      </c>
      <c r="AO46" s="295">
        <f t="shared" si="97"/>
        <v>877.41899999999998</v>
      </c>
      <c r="AP46" s="277">
        <f t="shared" si="98"/>
        <v>0</v>
      </c>
      <c r="AQ46" s="277">
        <f t="shared" si="99"/>
        <v>0</v>
      </c>
      <c r="AR46" s="277">
        <f t="shared" si="100"/>
        <v>0</v>
      </c>
      <c r="AS46" s="277">
        <f t="shared" si="101"/>
        <v>0</v>
      </c>
      <c r="AT46" s="277">
        <f t="shared" si="102"/>
        <v>0</v>
      </c>
      <c r="AU46" s="211">
        <f t="shared" si="103"/>
        <v>0</v>
      </c>
      <c r="AV46" s="301">
        <f t="shared" si="81"/>
        <v>0</v>
      </c>
      <c r="AW46" s="277">
        <f t="shared" si="104"/>
        <v>19.222000000000001</v>
      </c>
      <c r="AX46" s="277">
        <f t="shared" si="105"/>
        <v>19.222000000000001</v>
      </c>
      <c r="AY46" s="277">
        <f t="shared" si="106"/>
        <v>131.791</v>
      </c>
      <c r="AZ46" s="277">
        <f t="shared" si="107"/>
        <v>647.63099999999997</v>
      </c>
      <c r="BA46" s="277">
        <f t="shared" si="108"/>
        <v>59.552999999999997</v>
      </c>
      <c r="BB46" s="211">
        <f t="shared" si="109"/>
        <v>877.41899999999998</v>
      </c>
      <c r="BC46" s="289">
        <f t="shared" si="110"/>
        <v>1</v>
      </c>
      <c r="BD46" s="74"/>
      <c r="BF46" s="98" t="s">
        <v>0</v>
      </c>
      <c r="BG46" s="18" t="s">
        <v>11</v>
      </c>
      <c r="BH46" s="209"/>
      <c r="BI46" s="99">
        <f t="shared" si="111"/>
        <v>0</v>
      </c>
      <c r="BJ46" s="99">
        <v>0</v>
      </c>
      <c r="BK46" s="99">
        <f t="shared" si="112"/>
        <v>0</v>
      </c>
      <c r="BL46" s="99">
        <v>0</v>
      </c>
      <c r="BM46" s="100">
        <f t="shared" si="113"/>
        <v>0</v>
      </c>
      <c r="CD46" s="9" t="s">
        <v>153</v>
      </c>
      <c r="CF46" s="9" t="s">
        <v>149</v>
      </c>
      <c r="CG46" s="9" t="s">
        <v>42</v>
      </c>
      <c r="CK46" s="9" t="s">
        <v>148</v>
      </c>
      <c r="CQ46" s="72">
        <f t="shared" si="114"/>
        <v>0</v>
      </c>
      <c r="CR46" s="72">
        <f t="shared" si="115"/>
        <v>19.222000000000001</v>
      </c>
      <c r="CS46" s="72">
        <f t="shared" si="116"/>
        <v>0</v>
      </c>
      <c r="CT46" s="72">
        <f t="shared" si="117"/>
        <v>0</v>
      </c>
      <c r="CU46" s="72">
        <f t="shared" si="118"/>
        <v>0</v>
      </c>
      <c r="CV46" s="9" t="s">
        <v>42</v>
      </c>
      <c r="CW46" s="101">
        <f t="shared" si="119"/>
        <v>19.222000000000001</v>
      </c>
      <c r="CX46" s="9" t="s">
        <v>153</v>
      </c>
      <c r="CY46" s="9" t="s">
        <v>403</v>
      </c>
    </row>
    <row r="47" spans="2:103" s="1" customFormat="1" ht="35.25" customHeight="1">
      <c r="B47" s="73"/>
      <c r="C47" s="215" t="s">
        <v>1351</v>
      </c>
      <c r="D47" s="93" t="s">
        <v>149</v>
      </c>
      <c r="E47" s="94" t="s">
        <v>1352</v>
      </c>
      <c r="F47" s="500" t="s">
        <v>1353</v>
      </c>
      <c r="G47" s="501"/>
      <c r="H47" s="501"/>
      <c r="I47" s="502"/>
      <c r="J47" s="95" t="s">
        <v>396</v>
      </c>
      <c r="K47" s="211">
        <f>K45</f>
        <v>2.899199999999992</v>
      </c>
      <c r="L47" s="211">
        <f>L45</f>
        <v>2.899199999999992</v>
      </c>
      <c r="M47" s="211">
        <f>M45</f>
        <v>19.878</v>
      </c>
      <c r="N47" s="211">
        <f>N45</f>
        <v>97.681919999999977</v>
      </c>
      <c r="O47" s="211">
        <f>O45</f>
        <v>11.227919999999999</v>
      </c>
      <c r="P47" s="279">
        <f t="shared" si="86"/>
        <v>134.58623999999998</v>
      </c>
      <c r="Q47" s="277">
        <v>0</v>
      </c>
      <c r="R47" s="277">
        <v>0</v>
      </c>
      <c r="S47" s="277">
        <v>0</v>
      </c>
      <c r="T47" s="277">
        <v>0</v>
      </c>
      <c r="U47" s="277">
        <v>0</v>
      </c>
      <c r="V47" s="290">
        <f t="shared" si="87"/>
        <v>0</v>
      </c>
      <c r="W47" s="289">
        <f t="shared" si="88"/>
        <v>0</v>
      </c>
      <c r="X47" s="277">
        <f t="shared" si="89"/>
        <v>2.899199999999992</v>
      </c>
      <c r="Y47" s="277">
        <f t="shared" si="89"/>
        <v>2.899199999999992</v>
      </c>
      <c r="Z47" s="277">
        <f t="shared" si="89"/>
        <v>19.878</v>
      </c>
      <c r="AA47" s="277">
        <f t="shared" si="89"/>
        <v>97.681919999999977</v>
      </c>
      <c r="AB47" s="277">
        <f t="shared" si="89"/>
        <v>11.227919999999999</v>
      </c>
      <c r="AC47" s="220">
        <f t="shared" si="90"/>
        <v>134.58623999999998</v>
      </c>
      <c r="AD47" s="289">
        <f t="shared" si="91"/>
        <v>1</v>
      </c>
      <c r="AE47" s="221">
        <v>9.4770000000000003</v>
      </c>
      <c r="AF47" s="221">
        <v>9.4770000000000003</v>
      </c>
      <c r="AG47" s="221">
        <v>9.4770000000000003</v>
      </c>
      <c r="AH47" s="221">
        <v>9.4770000000000003</v>
      </c>
      <c r="AI47" s="221">
        <v>9.4770000000000003</v>
      </c>
      <c r="AJ47" s="211">
        <f t="shared" si="92"/>
        <v>27.475999999999999</v>
      </c>
      <c r="AK47" s="211">
        <f t="shared" si="93"/>
        <v>27.475999999999999</v>
      </c>
      <c r="AL47" s="211">
        <f t="shared" si="94"/>
        <v>188.38399999999999</v>
      </c>
      <c r="AM47" s="211">
        <f t="shared" si="95"/>
        <v>925.73199999999997</v>
      </c>
      <c r="AN47" s="211">
        <f t="shared" si="96"/>
        <v>106.407</v>
      </c>
      <c r="AO47" s="295">
        <f t="shared" si="97"/>
        <v>1275.4749999999999</v>
      </c>
      <c r="AP47" s="277">
        <f t="shared" si="98"/>
        <v>0</v>
      </c>
      <c r="AQ47" s="277">
        <f t="shared" si="99"/>
        <v>0</v>
      </c>
      <c r="AR47" s="277">
        <f t="shared" si="100"/>
        <v>0</v>
      </c>
      <c r="AS47" s="277">
        <f t="shared" si="101"/>
        <v>0</v>
      </c>
      <c r="AT47" s="277">
        <f t="shared" si="102"/>
        <v>0</v>
      </c>
      <c r="AU47" s="211">
        <f t="shared" si="103"/>
        <v>0</v>
      </c>
      <c r="AV47" s="301">
        <f t="shared" si="81"/>
        <v>0</v>
      </c>
      <c r="AW47" s="277">
        <f t="shared" si="104"/>
        <v>27.475999999999999</v>
      </c>
      <c r="AX47" s="277">
        <f t="shared" si="105"/>
        <v>27.475999999999999</v>
      </c>
      <c r="AY47" s="277">
        <f t="shared" si="106"/>
        <v>188.38399999999999</v>
      </c>
      <c r="AZ47" s="277">
        <f t="shared" si="107"/>
        <v>925.73199999999997</v>
      </c>
      <c r="BA47" s="277">
        <f t="shared" si="108"/>
        <v>106.407</v>
      </c>
      <c r="BB47" s="211">
        <f t="shared" si="109"/>
        <v>1275.4749999999999</v>
      </c>
      <c r="BC47" s="289">
        <f t="shared" si="110"/>
        <v>1</v>
      </c>
      <c r="BD47" s="74"/>
      <c r="BF47" s="98" t="s">
        <v>0</v>
      </c>
      <c r="BG47" s="18" t="s">
        <v>11</v>
      </c>
      <c r="BH47" s="209"/>
      <c r="BI47" s="99">
        <f t="shared" si="111"/>
        <v>0</v>
      </c>
      <c r="BJ47" s="99">
        <v>0</v>
      </c>
      <c r="BK47" s="99">
        <f t="shared" si="112"/>
        <v>0</v>
      </c>
      <c r="BL47" s="99">
        <v>0</v>
      </c>
      <c r="BM47" s="100">
        <f t="shared" si="113"/>
        <v>0</v>
      </c>
      <c r="CD47" s="9" t="s">
        <v>153</v>
      </c>
      <c r="CF47" s="9" t="s">
        <v>149</v>
      </c>
      <c r="CG47" s="9" t="s">
        <v>42</v>
      </c>
      <c r="CK47" s="9" t="s">
        <v>148</v>
      </c>
      <c r="CQ47" s="72">
        <f t="shared" si="114"/>
        <v>0</v>
      </c>
      <c r="CR47" s="72">
        <f t="shared" si="115"/>
        <v>27.475999999999999</v>
      </c>
      <c r="CS47" s="72">
        <f t="shared" si="116"/>
        <v>0</v>
      </c>
      <c r="CT47" s="72">
        <f t="shared" si="117"/>
        <v>0</v>
      </c>
      <c r="CU47" s="72">
        <f t="shared" si="118"/>
        <v>0</v>
      </c>
      <c r="CV47" s="9" t="s">
        <v>42</v>
      </c>
      <c r="CW47" s="101">
        <f t="shared" si="119"/>
        <v>27.475999999999999</v>
      </c>
      <c r="CX47" s="9" t="s">
        <v>153</v>
      </c>
      <c r="CY47" s="9" t="s">
        <v>403</v>
      </c>
    </row>
    <row r="48" spans="2:103" s="1" customFormat="1" ht="35.25" customHeight="1">
      <c r="B48" s="73"/>
      <c r="C48" s="215" t="s">
        <v>1351</v>
      </c>
      <c r="D48" s="93" t="s">
        <v>149</v>
      </c>
      <c r="E48" s="94" t="s">
        <v>1354</v>
      </c>
      <c r="F48" s="500" t="s">
        <v>1355</v>
      </c>
      <c r="G48" s="501"/>
      <c r="H48" s="501"/>
      <c r="I48" s="502"/>
      <c r="J48" s="95" t="s">
        <v>396</v>
      </c>
      <c r="K48" s="211">
        <f>K47</f>
        <v>2.899199999999992</v>
      </c>
      <c r="L48" s="211">
        <f>L47</f>
        <v>2.899199999999992</v>
      </c>
      <c r="M48" s="211">
        <f>M45</f>
        <v>19.878</v>
      </c>
      <c r="N48" s="211">
        <f>N45</f>
        <v>97.681919999999977</v>
      </c>
      <c r="O48" s="211">
        <f>O47</f>
        <v>11.227919999999999</v>
      </c>
      <c r="P48" s="279">
        <f t="shared" si="86"/>
        <v>134.58623999999998</v>
      </c>
      <c r="Q48" s="277">
        <v>0</v>
      </c>
      <c r="R48" s="277">
        <v>0</v>
      </c>
      <c r="S48" s="277">
        <v>0</v>
      </c>
      <c r="T48" s="277">
        <v>0</v>
      </c>
      <c r="U48" s="277">
        <v>0</v>
      </c>
      <c r="V48" s="290">
        <f t="shared" si="87"/>
        <v>0</v>
      </c>
      <c r="W48" s="289">
        <f t="shared" si="88"/>
        <v>0</v>
      </c>
      <c r="X48" s="277">
        <f t="shared" si="89"/>
        <v>2.899199999999992</v>
      </c>
      <c r="Y48" s="277">
        <f t="shared" si="89"/>
        <v>2.899199999999992</v>
      </c>
      <c r="Z48" s="277">
        <f t="shared" si="89"/>
        <v>19.878</v>
      </c>
      <c r="AA48" s="277">
        <f t="shared" si="89"/>
        <v>97.681919999999977</v>
      </c>
      <c r="AB48" s="277">
        <f t="shared" si="89"/>
        <v>11.227919999999999</v>
      </c>
      <c r="AC48" s="220">
        <f t="shared" si="90"/>
        <v>134.58623999999998</v>
      </c>
      <c r="AD48" s="289">
        <f t="shared" si="91"/>
        <v>1</v>
      </c>
      <c r="AE48" s="221">
        <v>0.8580000000000001</v>
      </c>
      <c r="AF48" s="221">
        <v>0.8580000000000001</v>
      </c>
      <c r="AG48" s="221">
        <v>0.8580000000000001</v>
      </c>
      <c r="AH48" s="221">
        <v>0.8580000000000001</v>
      </c>
      <c r="AI48" s="221">
        <v>0.8580000000000001</v>
      </c>
      <c r="AJ48" s="211">
        <f t="shared" si="92"/>
        <v>2.488</v>
      </c>
      <c r="AK48" s="211">
        <f t="shared" si="93"/>
        <v>2.488</v>
      </c>
      <c r="AL48" s="211">
        <f t="shared" si="94"/>
        <v>17.055</v>
      </c>
      <c r="AM48" s="211">
        <f t="shared" si="95"/>
        <v>83.811000000000007</v>
      </c>
      <c r="AN48" s="211">
        <f t="shared" si="96"/>
        <v>9.6340000000000003</v>
      </c>
      <c r="AO48" s="295">
        <f t="shared" si="97"/>
        <v>115.47600000000001</v>
      </c>
      <c r="AP48" s="277">
        <f t="shared" si="98"/>
        <v>0</v>
      </c>
      <c r="AQ48" s="277">
        <f t="shared" si="99"/>
        <v>0</v>
      </c>
      <c r="AR48" s="277">
        <f t="shared" si="100"/>
        <v>0</v>
      </c>
      <c r="AS48" s="277">
        <f t="shared" si="101"/>
        <v>0</v>
      </c>
      <c r="AT48" s="277">
        <f t="shared" si="102"/>
        <v>0</v>
      </c>
      <c r="AU48" s="211">
        <f t="shared" si="103"/>
        <v>0</v>
      </c>
      <c r="AV48" s="301">
        <f t="shared" si="81"/>
        <v>0</v>
      </c>
      <c r="AW48" s="277">
        <f t="shared" si="104"/>
        <v>2.488</v>
      </c>
      <c r="AX48" s="277">
        <f t="shared" si="105"/>
        <v>2.488</v>
      </c>
      <c r="AY48" s="277">
        <f t="shared" si="106"/>
        <v>17.055</v>
      </c>
      <c r="AZ48" s="277">
        <f t="shared" si="107"/>
        <v>83.811000000000007</v>
      </c>
      <c r="BA48" s="277">
        <f t="shared" si="108"/>
        <v>9.6340000000000003</v>
      </c>
      <c r="BB48" s="211">
        <f t="shared" si="109"/>
        <v>115.47600000000001</v>
      </c>
      <c r="BC48" s="289">
        <f t="shared" si="110"/>
        <v>1</v>
      </c>
      <c r="BD48" s="74"/>
      <c r="BF48" s="98" t="s">
        <v>0</v>
      </c>
      <c r="BG48" s="18" t="s">
        <v>11</v>
      </c>
      <c r="BH48" s="209"/>
      <c r="BI48" s="99">
        <f t="shared" si="111"/>
        <v>0</v>
      </c>
      <c r="BJ48" s="99">
        <v>0</v>
      </c>
      <c r="BK48" s="99">
        <f t="shared" si="112"/>
        <v>0</v>
      </c>
      <c r="BL48" s="99">
        <v>0</v>
      </c>
      <c r="BM48" s="100">
        <f t="shared" si="113"/>
        <v>0</v>
      </c>
      <c r="CD48" s="9" t="s">
        <v>153</v>
      </c>
      <c r="CF48" s="9" t="s">
        <v>149</v>
      </c>
      <c r="CG48" s="9" t="s">
        <v>42</v>
      </c>
      <c r="CK48" s="9" t="s">
        <v>148</v>
      </c>
      <c r="CQ48" s="72">
        <f t="shared" si="114"/>
        <v>0</v>
      </c>
      <c r="CR48" s="72">
        <f t="shared" si="115"/>
        <v>2.488</v>
      </c>
      <c r="CS48" s="72">
        <f t="shared" si="116"/>
        <v>0</v>
      </c>
      <c r="CT48" s="72">
        <f t="shared" si="117"/>
        <v>0</v>
      </c>
      <c r="CU48" s="72">
        <f t="shared" si="118"/>
        <v>0</v>
      </c>
      <c r="CV48" s="9" t="s">
        <v>42</v>
      </c>
      <c r="CW48" s="101">
        <f t="shared" si="119"/>
        <v>2.488</v>
      </c>
      <c r="CX48" s="9" t="s">
        <v>153</v>
      </c>
      <c r="CY48" s="9" t="s">
        <v>403</v>
      </c>
    </row>
    <row r="49" spans="2:103" s="1" customFormat="1" ht="44.25" customHeight="1">
      <c r="B49" s="73"/>
      <c r="C49" s="93"/>
      <c r="D49" s="93" t="s">
        <v>149</v>
      </c>
      <c r="E49" s="94" t="s">
        <v>401</v>
      </c>
      <c r="F49" s="498" t="s">
        <v>402</v>
      </c>
      <c r="G49" s="498"/>
      <c r="H49" s="498"/>
      <c r="I49" s="498"/>
      <c r="J49" s="95" t="s">
        <v>396</v>
      </c>
      <c r="K49" s="211">
        <f>(19.2+15.8+8.05+2.6+10.55+13.2+3.6-2.4)*0.4*(0.6-0.15-0.1)-K22</f>
        <v>-13.116000000000001</v>
      </c>
      <c r="L49" s="211">
        <f>(19.2+15.8+8.05+2.6+10.55+13.2+3.6-2.4)*0.4*(0.6-0.15-0.1)-L22</f>
        <v>-13.116000000000001</v>
      </c>
      <c r="M49" s="211">
        <f>10.855-M22</f>
        <v>3.242</v>
      </c>
      <c r="N49" s="211">
        <f>N50</f>
        <v>31.852799999999998</v>
      </c>
      <c r="O49" s="211">
        <f>(14.9+7.1+10.265+10.265)*0.4*(0.6-0.15-0.1)-O22</f>
        <v>-7.0457999999999998</v>
      </c>
      <c r="P49" s="279">
        <f t="shared" si="86"/>
        <v>1.8169999999999966</v>
      </c>
      <c r="Q49" s="277">
        <v>0</v>
      </c>
      <c r="R49" s="277">
        <v>0</v>
      </c>
      <c r="S49" s="277">
        <v>0</v>
      </c>
      <c r="T49" s="277">
        <v>0</v>
      </c>
      <c r="U49" s="277">
        <v>0</v>
      </c>
      <c r="V49" s="290">
        <f t="shared" si="87"/>
        <v>0</v>
      </c>
      <c r="W49" s="289">
        <f t="shared" si="88"/>
        <v>0</v>
      </c>
      <c r="X49" s="277">
        <f t="shared" si="89"/>
        <v>-13.116000000000001</v>
      </c>
      <c r="Y49" s="277">
        <f t="shared" si="89"/>
        <v>-13.116000000000001</v>
      </c>
      <c r="Z49" s="277">
        <f t="shared" si="89"/>
        <v>3.242</v>
      </c>
      <c r="AA49" s="277">
        <f t="shared" si="89"/>
        <v>31.852799999999998</v>
      </c>
      <c r="AB49" s="277">
        <f t="shared" si="89"/>
        <v>-7.0457999999999998</v>
      </c>
      <c r="AC49" s="220">
        <f t="shared" si="90"/>
        <v>1.8169999999999966</v>
      </c>
      <c r="AD49" s="289">
        <f t="shared" si="91"/>
        <v>1</v>
      </c>
      <c r="AE49" s="221">
        <v>8.99</v>
      </c>
      <c r="AF49" s="221">
        <v>8.99</v>
      </c>
      <c r="AG49" s="221">
        <v>8.99</v>
      </c>
      <c r="AH49" s="221">
        <v>8.99</v>
      </c>
      <c r="AI49" s="221">
        <v>8.99</v>
      </c>
      <c r="AJ49" s="211">
        <f t="shared" si="92"/>
        <v>-117.913</v>
      </c>
      <c r="AK49" s="211">
        <f t="shared" si="93"/>
        <v>-117.913</v>
      </c>
      <c r="AL49" s="211">
        <f t="shared" si="94"/>
        <v>29.146000000000001</v>
      </c>
      <c r="AM49" s="211">
        <f t="shared" si="95"/>
        <v>286.35700000000003</v>
      </c>
      <c r="AN49" s="211">
        <f t="shared" si="96"/>
        <v>-63.341999999999999</v>
      </c>
      <c r="AO49" s="295">
        <f t="shared" si="97"/>
        <v>16.335000000000022</v>
      </c>
      <c r="AP49" s="277">
        <f t="shared" si="98"/>
        <v>0</v>
      </c>
      <c r="AQ49" s="277">
        <f t="shared" si="99"/>
        <v>0</v>
      </c>
      <c r="AR49" s="277">
        <f t="shared" si="100"/>
        <v>0</v>
      </c>
      <c r="AS49" s="277">
        <f t="shared" si="101"/>
        <v>0</v>
      </c>
      <c r="AT49" s="277">
        <f t="shared" si="102"/>
        <v>0</v>
      </c>
      <c r="AU49" s="211">
        <f t="shared" si="103"/>
        <v>0</v>
      </c>
      <c r="AV49" s="301">
        <f t="shared" si="81"/>
        <v>0</v>
      </c>
      <c r="AW49" s="277">
        <f t="shared" si="104"/>
        <v>-117.913</v>
      </c>
      <c r="AX49" s="277">
        <f t="shared" si="105"/>
        <v>-117.913</v>
      </c>
      <c r="AY49" s="277">
        <f t="shared" si="106"/>
        <v>29.146000000000001</v>
      </c>
      <c r="AZ49" s="277">
        <f t="shared" si="107"/>
        <v>286.35700000000003</v>
      </c>
      <c r="BA49" s="277">
        <f t="shared" si="108"/>
        <v>-63.341999999999999</v>
      </c>
      <c r="BB49" s="211">
        <f t="shared" si="109"/>
        <v>16.335000000000022</v>
      </c>
      <c r="BC49" s="289">
        <f t="shared" si="110"/>
        <v>1</v>
      </c>
      <c r="BD49" s="74"/>
      <c r="BF49" s="98" t="s">
        <v>0</v>
      </c>
      <c r="BG49" s="18" t="s">
        <v>11</v>
      </c>
      <c r="BH49" s="209"/>
      <c r="BI49" s="99">
        <f t="shared" si="111"/>
        <v>0</v>
      </c>
      <c r="BJ49" s="99">
        <v>0</v>
      </c>
      <c r="BK49" s="99">
        <f t="shared" si="112"/>
        <v>0</v>
      </c>
      <c r="BL49" s="99">
        <v>0</v>
      </c>
      <c r="BM49" s="100">
        <f t="shared" si="113"/>
        <v>0</v>
      </c>
      <c r="BQ49" s="1">
        <v>8.64</v>
      </c>
      <c r="CD49" s="9" t="s">
        <v>153</v>
      </c>
      <c r="CF49" s="9" t="s">
        <v>149</v>
      </c>
      <c r="CG49" s="9" t="s">
        <v>42</v>
      </c>
      <c r="CK49" s="9" t="s">
        <v>148</v>
      </c>
      <c r="CQ49" s="72">
        <f t="shared" si="114"/>
        <v>0</v>
      </c>
      <c r="CR49" s="72">
        <f t="shared" si="115"/>
        <v>-117.913</v>
      </c>
      <c r="CS49" s="72">
        <f t="shared" si="116"/>
        <v>0</v>
      </c>
      <c r="CT49" s="72">
        <f t="shared" si="117"/>
        <v>0</v>
      </c>
      <c r="CU49" s="72">
        <f t="shared" si="118"/>
        <v>0</v>
      </c>
      <c r="CV49" s="9" t="s">
        <v>42</v>
      </c>
      <c r="CW49" s="101">
        <f t="shared" si="119"/>
        <v>-117.913</v>
      </c>
      <c r="CX49" s="9" t="s">
        <v>153</v>
      </c>
      <c r="CY49" s="9" t="s">
        <v>403</v>
      </c>
    </row>
    <row r="50" spans="2:103" s="1" customFormat="1" ht="35.25" customHeight="1">
      <c r="B50" s="73"/>
      <c r="C50" s="215" t="s">
        <v>1351</v>
      </c>
      <c r="D50" s="93" t="s">
        <v>149</v>
      </c>
      <c r="E50" s="94" t="s">
        <v>1357</v>
      </c>
      <c r="F50" s="500" t="s">
        <v>1356</v>
      </c>
      <c r="G50" s="501"/>
      <c r="H50" s="501"/>
      <c r="I50" s="502"/>
      <c r="J50" s="95" t="s">
        <v>396</v>
      </c>
      <c r="K50" s="211">
        <v>23</v>
      </c>
      <c r="L50" s="211">
        <v>23</v>
      </c>
      <c r="M50" s="211">
        <v>10.885</v>
      </c>
      <c r="N50" s="211">
        <f>((26.72+3.55+5.75+8.22)*1.6*0.45)</f>
        <v>31.852799999999998</v>
      </c>
      <c r="O50" s="211">
        <f>(14.9+7.1+10.265+10.265)*0.4*(0.6-0.15-0.1)</f>
        <v>5.9542000000000002</v>
      </c>
      <c r="P50" s="279">
        <f t="shared" si="86"/>
        <v>94.691999999999993</v>
      </c>
      <c r="Q50" s="277">
        <v>0</v>
      </c>
      <c r="R50" s="277">
        <v>22.27</v>
      </c>
      <c r="S50" s="277">
        <v>6.6959999999999997</v>
      </c>
      <c r="T50" s="277">
        <v>0</v>
      </c>
      <c r="U50" s="277">
        <v>6.2510000000000003</v>
      </c>
      <c r="V50" s="290">
        <f t="shared" si="87"/>
        <v>35.216999999999999</v>
      </c>
      <c r="W50" s="289">
        <f t="shared" si="88"/>
        <v>0.37191103789126856</v>
      </c>
      <c r="X50" s="277">
        <f t="shared" si="89"/>
        <v>23</v>
      </c>
      <c r="Y50" s="277">
        <f t="shared" si="89"/>
        <v>0.73000000000000043</v>
      </c>
      <c r="Z50" s="277">
        <f t="shared" si="89"/>
        <v>4.1890000000000001</v>
      </c>
      <c r="AA50" s="277">
        <f t="shared" si="89"/>
        <v>31.852799999999998</v>
      </c>
      <c r="AB50" s="277">
        <f t="shared" si="89"/>
        <v>-0.29680000000000017</v>
      </c>
      <c r="AC50" s="220">
        <f t="shared" si="90"/>
        <v>59.475000000000001</v>
      </c>
      <c r="AD50" s="289">
        <f t="shared" si="91"/>
        <v>0.62808896210873155</v>
      </c>
      <c r="AE50" s="221">
        <v>7.1630000000000003</v>
      </c>
      <c r="AF50" s="221">
        <v>7.1630000000000003</v>
      </c>
      <c r="AG50" s="221">
        <v>7.1630000000000003</v>
      </c>
      <c r="AH50" s="221">
        <v>7.1630000000000003</v>
      </c>
      <c r="AI50" s="221">
        <v>7.1630000000000003</v>
      </c>
      <c r="AJ50" s="211">
        <f t="shared" si="92"/>
        <v>164.749</v>
      </c>
      <c r="AK50" s="211">
        <f t="shared" si="93"/>
        <v>164.749</v>
      </c>
      <c r="AL50" s="211">
        <f t="shared" si="94"/>
        <v>77.968999999999994</v>
      </c>
      <c r="AM50" s="211">
        <f t="shared" si="95"/>
        <v>228.16200000000001</v>
      </c>
      <c r="AN50" s="211">
        <f t="shared" si="96"/>
        <v>42.65</v>
      </c>
      <c r="AO50" s="295">
        <f t="shared" si="97"/>
        <v>678.279</v>
      </c>
      <c r="AP50" s="277">
        <f t="shared" si="98"/>
        <v>0</v>
      </c>
      <c r="AQ50" s="277">
        <f t="shared" si="99"/>
        <v>159.52000000000001</v>
      </c>
      <c r="AR50" s="277">
        <f t="shared" si="100"/>
        <v>47.963000000000001</v>
      </c>
      <c r="AS50" s="277">
        <f t="shared" si="101"/>
        <v>0</v>
      </c>
      <c r="AT50" s="277">
        <f t="shared" si="102"/>
        <v>44.776000000000003</v>
      </c>
      <c r="AU50" s="211">
        <f t="shared" si="103"/>
        <v>252.25900000000001</v>
      </c>
      <c r="AV50" s="301">
        <f t="shared" si="81"/>
        <v>0.37191037906230329</v>
      </c>
      <c r="AW50" s="277">
        <f t="shared" si="104"/>
        <v>164.749</v>
      </c>
      <c r="AX50" s="277">
        <f t="shared" si="105"/>
        <v>5.228999999999985</v>
      </c>
      <c r="AY50" s="277">
        <f t="shared" si="106"/>
        <v>30.005999999999993</v>
      </c>
      <c r="AZ50" s="277">
        <f t="shared" si="107"/>
        <v>228.16200000000001</v>
      </c>
      <c r="BA50" s="277">
        <f t="shared" si="108"/>
        <v>-2.1260000000000048</v>
      </c>
      <c r="BB50" s="211">
        <f t="shared" si="109"/>
        <v>426.02</v>
      </c>
      <c r="BC50" s="289">
        <f t="shared" si="110"/>
        <v>0.62808962093769671</v>
      </c>
      <c r="BD50" s="74"/>
      <c r="BF50" s="98" t="s">
        <v>0</v>
      </c>
      <c r="BG50" s="18" t="s">
        <v>11</v>
      </c>
      <c r="BH50" s="209"/>
      <c r="BI50" s="99">
        <f t="shared" si="111"/>
        <v>0</v>
      </c>
      <c r="BJ50" s="99">
        <v>0</v>
      </c>
      <c r="BK50" s="99">
        <f t="shared" si="112"/>
        <v>0</v>
      </c>
      <c r="BL50" s="99">
        <v>0</v>
      </c>
      <c r="BM50" s="100">
        <f t="shared" si="113"/>
        <v>0</v>
      </c>
      <c r="CD50" s="9" t="s">
        <v>153</v>
      </c>
      <c r="CF50" s="9" t="s">
        <v>149</v>
      </c>
      <c r="CG50" s="9" t="s">
        <v>42</v>
      </c>
      <c r="CK50" s="9" t="s">
        <v>148</v>
      </c>
      <c r="CQ50" s="72">
        <f t="shared" si="114"/>
        <v>0</v>
      </c>
      <c r="CR50" s="72">
        <f t="shared" si="115"/>
        <v>164.749</v>
      </c>
      <c r="CS50" s="72">
        <f t="shared" si="116"/>
        <v>0</v>
      </c>
      <c r="CT50" s="72">
        <f t="shared" si="117"/>
        <v>0</v>
      </c>
      <c r="CU50" s="72">
        <f t="shared" si="118"/>
        <v>0</v>
      </c>
      <c r="CV50" s="9" t="s">
        <v>42</v>
      </c>
      <c r="CW50" s="101">
        <f t="shared" si="119"/>
        <v>164.749</v>
      </c>
      <c r="CX50" s="9" t="s">
        <v>153</v>
      </c>
      <c r="CY50" s="9" t="s">
        <v>403</v>
      </c>
    </row>
    <row r="51" spans="2:103" s="7" customFormat="1" ht="29.25" customHeight="1">
      <c r="B51" s="82"/>
      <c r="C51" s="83"/>
      <c r="D51" s="92" t="s">
        <v>393</v>
      </c>
      <c r="E51" s="92"/>
      <c r="F51" s="92"/>
      <c r="G51" s="92"/>
      <c r="H51" s="92"/>
      <c r="I51" s="92"/>
      <c r="J51" s="92"/>
      <c r="K51" s="219"/>
      <c r="L51" s="219"/>
      <c r="M51" s="219"/>
      <c r="N51" s="219"/>
      <c r="O51" s="219"/>
      <c r="P51" s="222"/>
      <c r="Q51" s="219"/>
      <c r="R51" s="219"/>
      <c r="S51" s="219"/>
      <c r="T51" s="219"/>
      <c r="U51" s="219"/>
      <c r="V51" s="222"/>
      <c r="W51" s="286"/>
      <c r="X51" s="219"/>
      <c r="Y51" s="219"/>
      <c r="Z51" s="219"/>
      <c r="AA51" s="219"/>
      <c r="AB51" s="219"/>
      <c r="AC51" s="222"/>
      <c r="AD51" s="286"/>
      <c r="AE51" s="219"/>
      <c r="AF51" s="219"/>
      <c r="AG51" s="225"/>
      <c r="AH51" s="219"/>
      <c r="AI51" s="219"/>
      <c r="AJ51" s="213">
        <f t="shared" ref="AJ51:AO51" si="120">SUM(AJ52:AJ56)</f>
        <v>863.12199999999996</v>
      </c>
      <c r="AK51" s="213">
        <f t="shared" si="120"/>
        <v>863.12199999999996</v>
      </c>
      <c r="AL51" s="213">
        <f t="shared" si="120"/>
        <v>343.1099999999999</v>
      </c>
      <c r="AM51" s="213">
        <f t="shared" si="120"/>
        <v>2621.3519999999999</v>
      </c>
      <c r="AN51" s="213">
        <f t="shared" si="120"/>
        <v>156.55400000000003</v>
      </c>
      <c r="AO51" s="294">
        <f t="shared" si="120"/>
        <v>4847.26</v>
      </c>
      <c r="AP51" s="213">
        <f t="shared" ref="AP51:AU51" si="121">SUM(AP52:AP56)</f>
        <v>0</v>
      </c>
      <c r="AQ51" s="213">
        <f t="shared" si="121"/>
        <v>0</v>
      </c>
      <c r="AR51" s="213">
        <f t="shared" si="121"/>
        <v>0</v>
      </c>
      <c r="AS51" s="213">
        <f t="shared" si="121"/>
        <v>0</v>
      </c>
      <c r="AT51" s="213">
        <f t="shared" si="121"/>
        <v>0</v>
      </c>
      <c r="AU51" s="213">
        <f t="shared" si="121"/>
        <v>0</v>
      </c>
      <c r="AV51" s="302"/>
      <c r="AW51" s="213">
        <f t="shared" ref="AW51:BB51" si="122">SUM(AW52:AW56)</f>
        <v>863.12199999999996</v>
      </c>
      <c r="AX51" s="213">
        <f t="shared" si="122"/>
        <v>863.12199999999996</v>
      </c>
      <c r="AY51" s="213">
        <f t="shared" si="122"/>
        <v>343.1099999999999</v>
      </c>
      <c r="AZ51" s="213">
        <f t="shared" si="122"/>
        <v>2621.3519999999999</v>
      </c>
      <c r="BA51" s="213">
        <f t="shared" si="122"/>
        <v>156.55400000000003</v>
      </c>
      <c r="BB51" s="213">
        <f t="shared" si="122"/>
        <v>4847.26</v>
      </c>
      <c r="BC51" s="302"/>
      <c r="BD51" s="85"/>
      <c r="BF51" s="86"/>
      <c r="BG51" s="83"/>
      <c r="BH51" s="83"/>
      <c r="BI51" s="87">
        <f>SUM(BI74:BI77)</f>
        <v>0</v>
      </c>
      <c r="BJ51" s="83"/>
      <c r="BK51" s="87">
        <f>SUM(BK74:BK77)</f>
        <v>0</v>
      </c>
      <c r="BL51" s="83"/>
      <c r="BM51" s="88">
        <f>SUM(BM74:BM77)</f>
        <v>0</v>
      </c>
      <c r="CD51" s="89" t="s">
        <v>38</v>
      </c>
      <c r="CF51" s="90" t="s">
        <v>30</v>
      </c>
      <c r="CG51" s="90" t="s">
        <v>38</v>
      </c>
      <c r="CK51" s="89" t="s">
        <v>148</v>
      </c>
      <c r="CW51" s="91">
        <f>SUM(CW74:CW77)</f>
        <v>0</v>
      </c>
    </row>
    <row r="52" spans="2:103" s="1" customFormat="1" ht="31.5" customHeight="1">
      <c r="B52" s="73"/>
      <c r="C52" s="93"/>
      <c r="D52" s="93" t="s">
        <v>149</v>
      </c>
      <c r="E52" s="94" t="s">
        <v>404</v>
      </c>
      <c r="F52" s="498" t="s">
        <v>1329</v>
      </c>
      <c r="G52" s="498"/>
      <c r="H52" s="498"/>
      <c r="I52" s="498"/>
      <c r="J52" s="95" t="s">
        <v>396</v>
      </c>
      <c r="K52" s="211">
        <f>(19.2+15.8+8.05+2.6+10.55+13.2+3.6-2.4)*0.5*(0.15+0.05)-K24</f>
        <v>5.5369999999999999</v>
      </c>
      <c r="L52" s="211">
        <f>(19.2+15.8+8.05+2.6+10.55+13.2+3.6-2.4)*0.5*(0.15+0.05)-L24</f>
        <v>5.5369999999999999</v>
      </c>
      <c r="M52" s="211">
        <f>7.775-M24</f>
        <v>1.8500000000000005</v>
      </c>
      <c r="N52" s="211">
        <f>((26.72+3.55+5.75+8.22)*1.6*0.2)-N24</f>
        <v>9.6567999999999987</v>
      </c>
      <c r="O52" s="211">
        <f>(14.9+7.1+10.265+10.265)*0.5*(0.15+0.05)-O24</f>
        <v>0.73</v>
      </c>
      <c r="P52" s="279">
        <f>SUM(K52:O52)</f>
        <v>23.310799999999997</v>
      </c>
      <c r="Q52" s="277">
        <v>0</v>
      </c>
      <c r="R52" s="277">
        <v>0</v>
      </c>
      <c r="S52" s="277">
        <v>0</v>
      </c>
      <c r="T52" s="277">
        <v>0</v>
      </c>
      <c r="U52" s="277">
        <v>0</v>
      </c>
      <c r="V52" s="290">
        <f t="shared" ref="V52:W56" si="123">SUM(Q52:U52)</f>
        <v>0</v>
      </c>
      <c r="W52" s="289">
        <f t="shared" si="123"/>
        <v>0</v>
      </c>
      <c r="X52" s="277">
        <f t="shared" ref="X52:AB56" si="124">K52-Q52</f>
        <v>5.5369999999999999</v>
      </c>
      <c r="Y52" s="277">
        <f t="shared" si="124"/>
        <v>5.5369999999999999</v>
      </c>
      <c r="Z52" s="277">
        <f t="shared" si="124"/>
        <v>1.8500000000000005</v>
      </c>
      <c r="AA52" s="277">
        <f t="shared" si="124"/>
        <v>9.6567999999999987</v>
      </c>
      <c r="AB52" s="277">
        <f t="shared" si="124"/>
        <v>0.73</v>
      </c>
      <c r="AC52" s="220">
        <f>SUM(X52:AB52)</f>
        <v>23.310799999999997</v>
      </c>
      <c r="AD52" s="289">
        <f t="shared" ref="AD52:AD56" si="125">AC52/P52</f>
        <v>1</v>
      </c>
      <c r="AE52" s="221">
        <v>36.25</v>
      </c>
      <c r="AF52" s="221">
        <v>36.25</v>
      </c>
      <c r="AG52" s="221">
        <v>36.25</v>
      </c>
      <c r="AH52" s="221">
        <v>36.25</v>
      </c>
      <c r="AI52" s="221">
        <v>36.25</v>
      </c>
      <c r="AJ52" s="211">
        <f>ROUND(AE52*K52,3)</f>
        <v>200.71600000000001</v>
      </c>
      <c r="AK52" s="211">
        <f>ROUND(AE52*L52,3)</f>
        <v>200.71600000000001</v>
      </c>
      <c r="AL52" s="211">
        <f>ROUND(AE52*M52,3)</f>
        <v>67.063000000000002</v>
      </c>
      <c r="AM52" s="211">
        <f>ROUND(AE52*N52,3)</f>
        <v>350.05900000000003</v>
      </c>
      <c r="AN52" s="211">
        <f>ROUND(AE52*O52,3)</f>
        <v>26.463000000000001</v>
      </c>
      <c r="AO52" s="295">
        <f>AJ52+AK52+AL52+AM52+AN52</f>
        <v>845.01700000000005</v>
      </c>
      <c r="AP52" s="277">
        <f t="shared" ref="AP52:AP56" si="126">ROUND(Q52*AE52,3)</f>
        <v>0</v>
      </c>
      <c r="AQ52" s="277">
        <f t="shared" ref="AQ52:AQ56" si="127">ROUND(R52*AF52,3)</f>
        <v>0</v>
      </c>
      <c r="AR52" s="277">
        <f t="shared" ref="AR52:AR56" si="128">ROUND(S52*AG52,3)</f>
        <v>0</v>
      </c>
      <c r="AS52" s="277">
        <f t="shared" ref="AS52:AS56" si="129">ROUND(T52*AH52,3)</f>
        <v>0</v>
      </c>
      <c r="AT52" s="277">
        <f t="shared" ref="AT52:AT56" si="130">ROUND(U52*AI52,3)</f>
        <v>0</v>
      </c>
      <c r="AU52" s="211">
        <f>AP52+AQ52+AR52+AS52+AT52</f>
        <v>0</v>
      </c>
      <c r="AV52" s="301">
        <f>SUM(AQ52:AU52)</f>
        <v>0</v>
      </c>
      <c r="AW52" s="277">
        <f t="shared" ref="AW52:AW56" si="131">AJ52-AP52</f>
        <v>200.71600000000001</v>
      </c>
      <c r="AX52" s="277">
        <f t="shared" ref="AX52:AX56" si="132">AK52-AQ52</f>
        <v>200.71600000000001</v>
      </c>
      <c r="AY52" s="277">
        <f t="shared" ref="AY52:AY56" si="133">AL52-AR52</f>
        <v>67.063000000000002</v>
      </c>
      <c r="AZ52" s="277">
        <f t="shared" ref="AZ52:AZ56" si="134">AM52-AS52</f>
        <v>350.05900000000003</v>
      </c>
      <c r="BA52" s="277">
        <f t="shared" ref="BA52:BA56" si="135">AN52-AT52</f>
        <v>26.463000000000001</v>
      </c>
      <c r="BB52" s="211">
        <f>AW52+AX52+AY52+AZ52+BA52</f>
        <v>845.01700000000005</v>
      </c>
      <c r="BC52" s="289">
        <f t="shared" ref="BC52:BC56" si="136">BB52/AO52</f>
        <v>1</v>
      </c>
      <c r="BD52" s="74"/>
      <c r="BF52" s="98" t="s">
        <v>0</v>
      </c>
      <c r="BG52" s="18" t="s">
        <v>11</v>
      </c>
      <c r="BH52" s="205"/>
      <c r="BI52" s="99">
        <f>BH52*K52</f>
        <v>0</v>
      </c>
      <c r="BJ52" s="99">
        <v>0</v>
      </c>
      <c r="BK52" s="99">
        <f>BJ52*K52</f>
        <v>0</v>
      </c>
      <c r="BL52" s="99">
        <v>0</v>
      </c>
      <c r="BM52" s="100">
        <f>BL52*K52</f>
        <v>0</v>
      </c>
      <c r="CD52" s="9" t="s">
        <v>153</v>
      </c>
      <c r="CF52" s="9" t="s">
        <v>149</v>
      </c>
      <c r="CG52" s="9" t="s">
        <v>42</v>
      </c>
      <c r="CK52" s="9" t="s">
        <v>148</v>
      </c>
      <c r="CQ52" s="72">
        <f>IF(BG52="základná",AJ52,0)</f>
        <v>0</v>
      </c>
      <c r="CR52" s="72">
        <f>IF(BG52="znížená",AJ52,0)</f>
        <v>200.71600000000001</v>
      </c>
      <c r="CS52" s="72">
        <f>IF(BG52="zákl. prenesená",AJ52,0)</f>
        <v>0</v>
      </c>
      <c r="CT52" s="72">
        <f>IF(BG52="zníž. prenesená",AJ52,0)</f>
        <v>0</v>
      </c>
      <c r="CU52" s="72">
        <f>IF(BG52="nulová",AJ52,0)</f>
        <v>0</v>
      </c>
      <c r="CV52" s="9" t="s">
        <v>42</v>
      </c>
      <c r="CW52" s="101">
        <f>ROUND(AE52*K52,3)</f>
        <v>200.71600000000001</v>
      </c>
      <c r="CX52" s="9" t="s">
        <v>153</v>
      </c>
      <c r="CY52" s="9" t="s">
        <v>406</v>
      </c>
    </row>
    <row r="53" spans="2:103" s="1" customFormat="1" ht="22.5" customHeight="1">
      <c r="B53" s="73"/>
      <c r="C53" s="93"/>
      <c r="D53" s="93" t="s">
        <v>149</v>
      </c>
      <c r="E53" s="94" t="s">
        <v>407</v>
      </c>
      <c r="F53" s="498" t="s">
        <v>408</v>
      </c>
      <c r="G53" s="498"/>
      <c r="H53" s="498"/>
      <c r="I53" s="498"/>
      <c r="J53" s="95" t="s">
        <v>396</v>
      </c>
      <c r="K53" s="211">
        <f>-K25</f>
        <v>-1.5229999999999999</v>
      </c>
      <c r="L53" s="211">
        <f>-L25</f>
        <v>-1.5229999999999999</v>
      </c>
      <c r="M53" s="211">
        <f>-M25</f>
        <v>-5.9249999999999998</v>
      </c>
      <c r="N53" s="211">
        <f>-N25</f>
        <v>-4.5</v>
      </c>
      <c r="O53" s="211">
        <f>-O25</f>
        <v>-3.5230000000000001</v>
      </c>
      <c r="P53" s="279">
        <f>SUM(K53:O53)</f>
        <v>-16.994</v>
      </c>
      <c r="Q53" s="277">
        <v>0</v>
      </c>
      <c r="R53" s="277">
        <v>0</v>
      </c>
      <c r="S53" s="277">
        <v>0</v>
      </c>
      <c r="T53" s="277">
        <v>0</v>
      </c>
      <c r="U53" s="277">
        <v>0</v>
      </c>
      <c r="V53" s="290">
        <f t="shared" si="123"/>
        <v>0</v>
      </c>
      <c r="W53" s="289">
        <f t="shared" si="123"/>
        <v>0</v>
      </c>
      <c r="X53" s="277">
        <f t="shared" si="124"/>
        <v>-1.5229999999999999</v>
      </c>
      <c r="Y53" s="277">
        <f t="shared" si="124"/>
        <v>-1.5229999999999999</v>
      </c>
      <c r="Z53" s="277">
        <f t="shared" si="124"/>
        <v>-5.9249999999999998</v>
      </c>
      <c r="AA53" s="277">
        <f t="shared" si="124"/>
        <v>-4.5</v>
      </c>
      <c r="AB53" s="277">
        <f t="shared" si="124"/>
        <v>-3.5230000000000001</v>
      </c>
      <c r="AC53" s="220">
        <f>SUM(X53:AB53)</f>
        <v>-16.994</v>
      </c>
      <c r="AD53" s="289">
        <f t="shared" si="125"/>
        <v>1</v>
      </c>
      <c r="AE53" s="221">
        <v>102.67</v>
      </c>
      <c r="AF53" s="221">
        <v>102.67</v>
      </c>
      <c r="AG53" s="221">
        <v>102.67</v>
      </c>
      <c r="AH53" s="221">
        <v>102.67</v>
      </c>
      <c r="AI53" s="221">
        <v>102.67</v>
      </c>
      <c r="AJ53" s="211">
        <f>ROUND(AE53*K53,3)</f>
        <v>-156.36600000000001</v>
      </c>
      <c r="AK53" s="211">
        <f>ROUND(AE53*L53,3)</f>
        <v>-156.36600000000001</v>
      </c>
      <c r="AL53" s="211">
        <f>ROUND(AE53*M53,3)</f>
        <v>-608.32000000000005</v>
      </c>
      <c r="AM53" s="211">
        <f>ROUND(AE53*N53,3)</f>
        <v>-462.01499999999999</v>
      </c>
      <c r="AN53" s="211">
        <f>ROUND(AE53*O53,3)</f>
        <v>-361.70600000000002</v>
      </c>
      <c r="AO53" s="295">
        <f>AJ53+AK53+AL53+AM53+AN53</f>
        <v>-1744.7730000000001</v>
      </c>
      <c r="AP53" s="277">
        <f t="shared" si="126"/>
        <v>0</v>
      </c>
      <c r="AQ53" s="277">
        <f t="shared" si="127"/>
        <v>0</v>
      </c>
      <c r="AR53" s="277">
        <f t="shared" si="128"/>
        <v>0</v>
      </c>
      <c r="AS53" s="277">
        <f t="shared" si="129"/>
        <v>0</v>
      </c>
      <c r="AT53" s="277">
        <f t="shared" si="130"/>
        <v>0</v>
      </c>
      <c r="AU53" s="211">
        <f>AP53+AQ53+AR53+AS53+AT53</f>
        <v>0</v>
      </c>
      <c r="AV53" s="301">
        <f>SUM(AQ53:AU53)</f>
        <v>0</v>
      </c>
      <c r="AW53" s="277">
        <f t="shared" si="131"/>
        <v>-156.36600000000001</v>
      </c>
      <c r="AX53" s="277">
        <f t="shared" si="132"/>
        <v>-156.36600000000001</v>
      </c>
      <c r="AY53" s="277">
        <f t="shared" si="133"/>
        <v>-608.32000000000005</v>
      </c>
      <c r="AZ53" s="277">
        <f t="shared" si="134"/>
        <v>-462.01499999999999</v>
      </c>
      <c r="BA53" s="277">
        <f t="shared" si="135"/>
        <v>-361.70600000000002</v>
      </c>
      <c r="BB53" s="211">
        <f>AW53+AX53+AY53+AZ53+BA53</f>
        <v>-1744.7730000000001</v>
      </c>
      <c r="BC53" s="289">
        <f t="shared" si="136"/>
        <v>1</v>
      </c>
      <c r="BD53" s="74"/>
      <c r="BF53" s="98" t="s">
        <v>0</v>
      </c>
      <c r="BG53" s="18" t="s">
        <v>11</v>
      </c>
      <c r="BH53" s="205"/>
      <c r="BI53" s="99">
        <f>BH53*K53</f>
        <v>0</v>
      </c>
      <c r="BJ53" s="99">
        <v>0</v>
      </c>
      <c r="BK53" s="99">
        <f>BJ53*K53</f>
        <v>0</v>
      </c>
      <c r="BL53" s="99">
        <v>0</v>
      </c>
      <c r="BM53" s="100">
        <f>BL53*K53</f>
        <v>0</v>
      </c>
      <c r="CD53" s="9" t="s">
        <v>153</v>
      </c>
      <c r="CF53" s="9" t="s">
        <v>149</v>
      </c>
      <c r="CG53" s="9" t="s">
        <v>42</v>
      </c>
      <c r="CK53" s="9" t="s">
        <v>148</v>
      </c>
      <c r="CQ53" s="72">
        <f>IF(BG53="základná",AJ53,0)</f>
        <v>0</v>
      </c>
      <c r="CR53" s="72">
        <f>IF(BG53="znížená",AJ53,0)</f>
        <v>-156.36600000000001</v>
      </c>
      <c r="CS53" s="72">
        <f>IF(BG53="zákl. prenesená",AJ53,0)</f>
        <v>0</v>
      </c>
      <c r="CT53" s="72">
        <f>IF(BG53="zníž. prenesená",AJ53,0)</f>
        <v>0</v>
      </c>
      <c r="CU53" s="72">
        <f>IF(BG53="nulová",AJ53,0)</f>
        <v>0</v>
      </c>
      <c r="CV53" s="9" t="s">
        <v>42</v>
      </c>
      <c r="CW53" s="101">
        <f>ROUND(AE53*K53,3)</f>
        <v>-156.36600000000001</v>
      </c>
      <c r="CX53" s="9" t="s">
        <v>153</v>
      </c>
      <c r="CY53" s="9" t="s">
        <v>409</v>
      </c>
    </row>
    <row r="54" spans="2:103" s="1" customFormat="1" ht="31.5" customHeight="1">
      <c r="B54" s="73"/>
      <c r="C54" s="93"/>
      <c r="D54" s="93" t="s">
        <v>149</v>
      </c>
      <c r="E54" s="94" t="s">
        <v>410</v>
      </c>
      <c r="F54" s="498" t="s">
        <v>411</v>
      </c>
      <c r="G54" s="498"/>
      <c r="H54" s="498"/>
      <c r="I54" s="498"/>
      <c r="J54" s="95" t="s">
        <v>168</v>
      </c>
      <c r="K54" s="211">
        <f>(19.2+15.8+8.05+2.6+10.55+13.2+3.6-2.4)*0.6-K26</f>
        <v>3.3599999999999923</v>
      </c>
      <c r="L54" s="211">
        <f>(19.2+15.8+8.05+2.6+10.55+13.2+3.6-2.4)*0.6-L26</f>
        <v>3.3599999999999923</v>
      </c>
      <c r="M54" s="211">
        <f>46.65-M26</f>
        <v>-1.230000000000004</v>
      </c>
      <c r="N54" s="211">
        <f>((26.72+3.55+5.75+8.22)*1.6)-N26</f>
        <v>22.903999999999989</v>
      </c>
      <c r="O54" s="211">
        <f>(14.9+7.1+10.265+10.265)*0.6-O26</f>
        <v>1.5180000000000007</v>
      </c>
      <c r="P54" s="279">
        <f>SUM(K54:O54)</f>
        <v>29.911999999999971</v>
      </c>
      <c r="Q54" s="277">
        <v>0</v>
      </c>
      <c r="R54" s="277">
        <v>0</v>
      </c>
      <c r="S54" s="277">
        <v>0</v>
      </c>
      <c r="T54" s="277">
        <v>0</v>
      </c>
      <c r="U54" s="277">
        <v>0</v>
      </c>
      <c r="V54" s="290">
        <f t="shared" si="123"/>
        <v>0</v>
      </c>
      <c r="W54" s="289">
        <f t="shared" si="123"/>
        <v>0</v>
      </c>
      <c r="X54" s="277">
        <f t="shared" si="124"/>
        <v>3.3599999999999923</v>
      </c>
      <c r="Y54" s="277">
        <f t="shared" si="124"/>
        <v>3.3599999999999923</v>
      </c>
      <c r="Z54" s="277">
        <f t="shared" si="124"/>
        <v>-1.230000000000004</v>
      </c>
      <c r="AA54" s="277">
        <f t="shared" si="124"/>
        <v>22.903999999999989</v>
      </c>
      <c r="AB54" s="277">
        <f t="shared" si="124"/>
        <v>1.5180000000000007</v>
      </c>
      <c r="AC54" s="220">
        <f>SUM(X54:AB54)</f>
        <v>29.911999999999971</v>
      </c>
      <c r="AD54" s="289">
        <f t="shared" si="125"/>
        <v>1</v>
      </c>
      <c r="AE54" s="221">
        <v>1.29</v>
      </c>
      <c r="AF54" s="221">
        <v>1.29</v>
      </c>
      <c r="AG54" s="221">
        <v>1.29</v>
      </c>
      <c r="AH54" s="221">
        <v>1.29</v>
      </c>
      <c r="AI54" s="221">
        <v>1.29</v>
      </c>
      <c r="AJ54" s="211">
        <f>ROUND(AE54*K54,3)</f>
        <v>4.3339999999999996</v>
      </c>
      <c r="AK54" s="211">
        <f>ROUND(AE54*L54,3)</f>
        <v>4.3339999999999996</v>
      </c>
      <c r="AL54" s="211">
        <f>ROUND(AE54*M54,3)</f>
        <v>-1.587</v>
      </c>
      <c r="AM54" s="211">
        <f>ROUND(AE54*N54,3)</f>
        <v>29.545999999999999</v>
      </c>
      <c r="AN54" s="211">
        <f>ROUND(AE54*O54,3)</f>
        <v>1.958</v>
      </c>
      <c r="AO54" s="295">
        <f>AJ54+AK54+AL54+AM54+AN54</f>
        <v>38.584999999999994</v>
      </c>
      <c r="AP54" s="277">
        <f t="shared" si="126"/>
        <v>0</v>
      </c>
      <c r="AQ54" s="277">
        <f t="shared" si="127"/>
        <v>0</v>
      </c>
      <c r="AR54" s="277">
        <f t="shared" si="128"/>
        <v>0</v>
      </c>
      <c r="AS54" s="277">
        <f t="shared" si="129"/>
        <v>0</v>
      </c>
      <c r="AT54" s="277">
        <f t="shared" si="130"/>
        <v>0</v>
      </c>
      <c r="AU54" s="211">
        <f>AP54+AQ54+AR54+AS54+AT54</f>
        <v>0</v>
      </c>
      <c r="AV54" s="301">
        <f>SUM(AQ54:AU54)</f>
        <v>0</v>
      </c>
      <c r="AW54" s="277">
        <f t="shared" si="131"/>
        <v>4.3339999999999996</v>
      </c>
      <c r="AX54" s="277">
        <f t="shared" si="132"/>
        <v>4.3339999999999996</v>
      </c>
      <c r="AY54" s="277">
        <f t="shared" si="133"/>
        <v>-1.587</v>
      </c>
      <c r="AZ54" s="277">
        <f t="shared" si="134"/>
        <v>29.545999999999999</v>
      </c>
      <c r="BA54" s="277">
        <f t="shared" si="135"/>
        <v>1.958</v>
      </c>
      <c r="BB54" s="211">
        <f>AW54+AX54+AY54+AZ54+BA54</f>
        <v>38.584999999999994</v>
      </c>
      <c r="BC54" s="289">
        <f t="shared" si="136"/>
        <v>1</v>
      </c>
      <c r="BD54" s="74"/>
      <c r="BF54" s="98" t="s">
        <v>0</v>
      </c>
      <c r="BG54" s="18" t="s">
        <v>11</v>
      </c>
      <c r="BH54" s="209"/>
      <c r="BI54" s="99">
        <f>BH54*K54</f>
        <v>0</v>
      </c>
      <c r="BJ54" s="99">
        <v>0</v>
      </c>
      <c r="BK54" s="99">
        <f>BJ54*K54</f>
        <v>0</v>
      </c>
      <c r="BL54" s="99">
        <v>0</v>
      </c>
      <c r="BM54" s="100">
        <f>BL54*K54</f>
        <v>0</v>
      </c>
      <c r="BQ54" s="1">
        <v>1.24</v>
      </c>
      <c r="CD54" s="9" t="s">
        <v>153</v>
      </c>
      <c r="CF54" s="9" t="s">
        <v>149</v>
      </c>
      <c r="CG54" s="9" t="s">
        <v>42</v>
      </c>
      <c r="CK54" s="9" t="s">
        <v>148</v>
      </c>
      <c r="CQ54" s="72">
        <f>IF(BG54="základná",AJ54,0)</f>
        <v>0</v>
      </c>
      <c r="CR54" s="72">
        <f>IF(BG54="znížená",AJ54,0)</f>
        <v>4.3339999999999996</v>
      </c>
      <c r="CS54" s="72">
        <f>IF(BG54="zákl. prenesená",AJ54,0)</f>
        <v>0</v>
      </c>
      <c r="CT54" s="72">
        <f>IF(BG54="zníž. prenesená",AJ54,0)</f>
        <v>0</v>
      </c>
      <c r="CU54" s="72">
        <f>IF(BG54="nulová",AJ54,0)</f>
        <v>0</v>
      </c>
      <c r="CV54" s="9" t="s">
        <v>42</v>
      </c>
      <c r="CW54" s="101">
        <f>ROUND(AE54*K54,3)</f>
        <v>4.3339999999999996</v>
      </c>
      <c r="CX54" s="9" t="s">
        <v>153</v>
      </c>
      <c r="CY54" s="9" t="s">
        <v>412</v>
      </c>
    </row>
    <row r="55" spans="2:103" s="1" customFormat="1" ht="31.5" customHeight="1">
      <c r="B55" s="73"/>
      <c r="C55" s="102"/>
      <c r="D55" s="102" t="s">
        <v>171</v>
      </c>
      <c r="E55" s="103" t="s">
        <v>203</v>
      </c>
      <c r="F55" s="499" t="s">
        <v>204</v>
      </c>
      <c r="G55" s="499"/>
      <c r="H55" s="499"/>
      <c r="I55" s="499"/>
      <c r="J55" s="104" t="s">
        <v>168</v>
      </c>
      <c r="K55" s="223">
        <f>(19.2+15.8+8.05+2.6+10.55+13.2+3.6-2.4)*0.6*1.15-K27</f>
        <v>9.7139999999999844</v>
      </c>
      <c r="L55" s="223">
        <f>(19.2+15.8+8.05+2.6+10.55+13.2+3.6-2.4)*0.6*1.15-L27</f>
        <v>9.7139999999999844</v>
      </c>
      <c r="M55" s="223">
        <f>53.648-M27</f>
        <v>3.6480000000000032</v>
      </c>
      <c r="N55" s="211">
        <f>((26.72+3.55+5.75+8.22)*1.6)-N27</f>
        <v>20.783999999999992</v>
      </c>
      <c r="O55" s="223">
        <f>(14.9+7.1+10.265+10.265)*0.6*1.15-O27</f>
        <v>5.3456999999999972</v>
      </c>
      <c r="P55" s="279">
        <f>SUM(K55:O55)</f>
        <v>49.205699999999965</v>
      </c>
      <c r="Q55" s="278">
        <v>0</v>
      </c>
      <c r="R55" s="223">
        <v>0</v>
      </c>
      <c r="S55" s="223">
        <v>0</v>
      </c>
      <c r="T55" s="223">
        <v>0</v>
      </c>
      <c r="U55" s="223">
        <v>0</v>
      </c>
      <c r="V55" s="290">
        <f t="shared" si="123"/>
        <v>0</v>
      </c>
      <c r="W55" s="289">
        <f t="shared" si="123"/>
        <v>0</v>
      </c>
      <c r="X55" s="278">
        <f t="shared" si="124"/>
        <v>9.7139999999999844</v>
      </c>
      <c r="Y55" s="278">
        <f t="shared" si="124"/>
        <v>9.7139999999999844</v>
      </c>
      <c r="Z55" s="278">
        <f t="shared" si="124"/>
        <v>3.6480000000000032</v>
      </c>
      <c r="AA55" s="278">
        <f t="shared" si="124"/>
        <v>20.783999999999992</v>
      </c>
      <c r="AB55" s="278">
        <f t="shared" si="124"/>
        <v>5.3456999999999972</v>
      </c>
      <c r="AC55" s="220">
        <f>SUM(X55:AB55)</f>
        <v>49.205699999999965</v>
      </c>
      <c r="AD55" s="289">
        <f t="shared" si="125"/>
        <v>1</v>
      </c>
      <c r="AE55" s="224">
        <v>1.55</v>
      </c>
      <c r="AF55" s="224">
        <v>1.55</v>
      </c>
      <c r="AG55" s="224">
        <v>1.55</v>
      </c>
      <c r="AH55" s="224">
        <v>1.55</v>
      </c>
      <c r="AI55" s="224">
        <v>1.55</v>
      </c>
      <c r="AJ55" s="223">
        <f>ROUND(AE55*K55,3)</f>
        <v>15.057</v>
      </c>
      <c r="AK55" s="223">
        <f>ROUND(AE55*L55,3)</f>
        <v>15.057</v>
      </c>
      <c r="AL55" s="223">
        <f>ROUND(AE55*M55,3)</f>
        <v>5.6539999999999999</v>
      </c>
      <c r="AM55" s="223">
        <f>ROUND(AE55*N55,3)</f>
        <v>32.215000000000003</v>
      </c>
      <c r="AN55" s="223">
        <f>ROUND(AE55*O55,3)</f>
        <v>8.2859999999999996</v>
      </c>
      <c r="AO55" s="297">
        <f>AJ55+AK55+AL55+AM55+AN55</f>
        <v>76.269000000000005</v>
      </c>
      <c r="AP55" s="277">
        <f t="shared" si="126"/>
        <v>0</v>
      </c>
      <c r="AQ55" s="277">
        <f t="shared" si="127"/>
        <v>0</v>
      </c>
      <c r="AR55" s="277">
        <f t="shared" si="128"/>
        <v>0</v>
      </c>
      <c r="AS55" s="277">
        <f t="shared" si="129"/>
        <v>0</v>
      </c>
      <c r="AT55" s="277">
        <f t="shared" si="130"/>
        <v>0</v>
      </c>
      <c r="AU55" s="223">
        <f>AP55+AQ55+AR55+AS55+AT55</f>
        <v>0</v>
      </c>
      <c r="AV55" s="301">
        <f>SUM(AQ55:AU55)</f>
        <v>0</v>
      </c>
      <c r="AW55" s="277">
        <f t="shared" si="131"/>
        <v>15.057</v>
      </c>
      <c r="AX55" s="277">
        <f t="shared" si="132"/>
        <v>15.057</v>
      </c>
      <c r="AY55" s="277">
        <f t="shared" si="133"/>
        <v>5.6539999999999999</v>
      </c>
      <c r="AZ55" s="277">
        <f t="shared" si="134"/>
        <v>32.215000000000003</v>
      </c>
      <c r="BA55" s="277">
        <f t="shared" si="135"/>
        <v>8.2859999999999996</v>
      </c>
      <c r="BB55" s="223">
        <f>AW55+AX55+AY55+AZ55+BA55</f>
        <v>76.269000000000005</v>
      </c>
      <c r="BC55" s="289">
        <f t="shared" si="136"/>
        <v>1</v>
      </c>
      <c r="BD55" s="74"/>
      <c r="BE55" s="1" t="s">
        <v>951</v>
      </c>
      <c r="BF55" s="98" t="s">
        <v>0</v>
      </c>
      <c r="BG55" s="18" t="s">
        <v>11</v>
      </c>
      <c r="BH55" s="209"/>
      <c r="BI55" s="99">
        <f>BH55*K55</f>
        <v>0</v>
      </c>
      <c r="BJ55" s="99">
        <v>0</v>
      </c>
      <c r="BK55" s="99">
        <f>BJ55*K55</f>
        <v>0</v>
      </c>
      <c r="BL55" s="99">
        <v>0</v>
      </c>
      <c r="BM55" s="100">
        <f>BL55*K55</f>
        <v>0</v>
      </c>
      <c r="BO55" s="1" t="s">
        <v>952</v>
      </c>
      <c r="BQ55" s="1">
        <v>1.49</v>
      </c>
      <c r="CD55" s="9" t="s">
        <v>165</v>
      </c>
      <c r="CF55" s="9" t="s">
        <v>171</v>
      </c>
      <c r="CG55" s="9" t="s">
        <v>42</v>
      </c>
      <c r="CK55" s="9" t="s">
        <v>148</v>
      </c>
      <c r="CQ55" s="72">
        <f>IF(BG55="základná",AJ55,0)</f>
        <v>0</v>
      </c>
      <c r="CR55" s="72">
        <f>IF(BG55="znížená",AJ55,0)</f>
        <v>15.057</v>
      </c>
      <c r="CS55" s="72">
        <f>IF(BG55="zákl. prenesená",AJ55,0)</f>
        <v>0</v>
      </c>
      <c r="CT55" s="72">
        <f>IF(BG55="zníž. prenesená",AJ55,0)</f>
        <v>0</v>
      </c>
      <c r="CU55" s="72">
        <f>IF(BG55="nulová",AJ55,0)</f>
        <v>0</v>
      </c>
      <c r="CV55" s="9" t="s">
        <v>42</v>
      </c>
      <c r="CW55" s="101">
        <f>ROUND(AE55*K55,3)</f>
        <v>15.057</v>
      </c>
      <c r="CX55" s="9" t="s">
        <v>153</v>
      </c>
      <c r="CY55" s="9" t="s">
        <v>413</v>
      </c>
    </row>
    <row r="56" spans="2:103" s="1" customFormat="1" ht="35.25" customHeight="1">
      <c r="B56" s="73"/>
      <c r="C56" s="215" t="s">
        <v>1351</v>
      </c>
      <c r="D56" s="93" t="s">
        <v>149</v>
      </c>
      <c r="E56" s="94" t="s">
        <v>1358</v>
      </c>
      <c r="F56" s="500" t="s">
        <v>1359</v>
      </c>
      <c r="G56" s="501"/>
      <c r="H56" s="501"/>
      <c r="I56" s="502"/>
      <c r="J56" s="95" t="s">
        <v>396</v>
      </c>
      <c r="K56" s="211">
        <f>(19.2+15.8+8.05+2.6+10.55+13.2+3.6-2.4)*0.5*0.15</f>
        <v>5.294999999999999</v>
      </c>
      <c r="L56" s="211">
        <f>(19.2+15.8+8.05+2.6+10.55+13.2+3.6-2.4)*0.5*0.15</f>
        <v>5.294999999999999</v>
      </c>
      <c r="M56" s="211">
        <v>5.8310000000000004</v>
      </c>
      <c r="N56" s="211">
        <f>((26.72+3.55+5.75+8.22)*1.6*0.25)</f>
        <v>17.695999999999998</v>
      </c>
      <c r="O56" s="211">
        <f>(14.9+7.1+10.265+10.265)*0.5*0.15</f>
        <v>3.1897500000000001</v>
      </c>
      <c r="P56" s="279">
        <f>SUM(K56:O56)</f>
        <v>37.306749999999994</v>
      </c>
      <c r="Q56" s="277">
        <v>0</v>
      </c>
      <c r="R56" s="277">
        <v>0</v>
      </c>
      <c r="S56" s="277">
        <v>0</v>
      </c>
      <c r="T56" s="277">
        <v>0</v>
      </c>
      <c r="U56" s="277">
        <v>0</v>
      </c>
      <c r="V56" s="290">
        <f t="shared" si="123"/>
        <v>0</v>
      </c>
      <c r="W56" s="289">
        <f t="shared" si="123"/>
        <v>0</v>
      </c>
      <c r="X56" s="277">
        <f t="shared" si="124"/>
        <v>5.294999999999999</v>
      </c>
      <c r="Y56" s="277">
        <f t="shared" si="124"/>
        <v>5.294999999999999</v>
      </c>
      <c r="Z56" s="277">
        <f t="shared" si="124"/>
        <v>5.8310000000000004</v>
      </c>
      <c r="AA56" s="277">
        <f t="shared" si="124"/>
        <v>17.695999999999998</v>
      </c>
      <c r="AB56" s="277">
        <f t="shared" si="124"/>
        <v>3.1897500000000001</v>
      </c>
      <c r="AC56" s="220">
        <f>SUM(X56:AB56)</f>
        <v>37.306749999999994</v>
      </c>
      <c r="AD56" s="289">
        <f t="shared" si="125"/>
        <v>1</v>
      </c>
      <c r="AE56" s="221">
        <v>150.96899999999999</v>
      </c>
      <c r="AF56" s="221">
        <v>150.96899999999999</v>
      </c>
      <c r="AG56" s="221">
        <v>150.96899999999999</v>
      </c>
      <c r="AH56" s="221">
        <v>150.96899999999999</v>
      </c>
      <c r="AI56" s="221">
        <v>150.96899999999999</v>
      </c>
      <c r="AJ56" s="211">
        <f>ROUND(AE56*K56,3)</f>
        <v>799.38099999999997</v>
      </c>
      <c r="AK56" s="211">
        <f>ROUND(AE56*L56,3)</f>
        <v>799.38099999999997</v>
      </c>
      <c r="AL56" s="211">
        <f>ROUND(AE56*M56,3)</f>
        <v>880.3</v>
      </c>
      <c r="AM56" s="211">
        <f>ROUND(AE56*N56,3)</f>
        <v>2671.547</v>
      </c>
      <c r="AN56" s="211">
        <f>ROUND(AE56*O56,3)</f>
        <v>481.553</v>
      </c>
      <c r="AO56" s="295">
        <f>AJ56+AK56+AL56+AM56+AN56</f>
        <v>5632.1620000000003</v>
      </c>
      <c r="AP56" s="277">
        <f t="shared" si="126"/>
        <v>0</v>
      </c>
      <c r="AQ56" s="277">
        <f t="shared" si="127"/>
        <v>0</v>
      </c>
      <c r="AR56" s="277">
        <f t="shared" si="128"/>
        <v>0</v>
      </c>
      <c r="AS56" s="277">
        <f t="shared" si="129"/>
        <v>0</v>
      </c>
      <c r="AT56" s="277">
        <f t="shared" si="130"/>
        <v>0</v>
      </c>
      <c r="AU56" s="211">
        <f>AP56+AQ56+AR56+AS56+AT56</f>
        <v>0</v>
      </c>
      <c r="AV56" s="301">
        <f>SUM(AQ56:AU56)</f>
        <v>0</v>
      </c>
      <c r="AW56" s="277">
        <f t="shared" si="131"/>
        <v>799.38099999999997</v>
      </c>
      <c r="AX56" s="277">
        <f t="shared" si="132"/>
        <v>799.38099999999997</v>
      </c>
      <c r="AY56" s="277">
        <f t="shared" si="133"/>
        <v>880.3</v>
      </c>
      <c r="AZ56" s="277">
        <f t="shared" si="134"/>
        <v>2671.547</v>
      </c>
      <c r="BA56" s="277">
        <f t="shared" si="135"/>
        <v>481.553</v>
      </c>
      <c r="BB56" s="211">
        <f>AW56+AX56+AY56+AZ56+BA56</f>
        <v>5632.1620000000003</v>
      </c>
      <c r="BC56" s="289">
        <f t="shared" si="136"/>
        <v>1</v>
      </c>
      <c r="BD56" s="74"/>
      <c r="BF56" s="98" t="s">
        <v>0</v>
      </c>
      <c r="BG56" s="18" t="s">
        <v>11</v>
      </c>
      <c r="BH56" s="209"/>
      <c r="BI56" s="99">
        <f>BH56*K56</f>
        <v>0</v>
      </c>
      <c r="BJ56" s="99">
        <v>0</v>
      </c>
      <c r="BK56" s="99">
        <f>BJ56*K56</f>
        <v>0</v>
      </c>
      <c r="BL56" s="99">
        <v>0</v>
      </c>
      <c r="BM56" s="100">
        <f>BL56*K56</f>
        <v>0</v>
      </c>
      <c r="CD56" s="9" t="s">
        <v>153</v>
      </c>
      <c r="CF56" s="9" t="s">
        <v>149</v>
      </c>
      <c r="CG56" s="9" t="s">
        <v>42</v>
      </c>
      <c r="CK56" s="9" t="s">
        <v>148</v>
      </c>
      <c r="CQ56" s="72">
        <f>IF(BG56="základná",AJ56,0)</f>
        <v>0</v>
      </c>
      <c r="CR56" s="72">
        <f>IF(BG56="znížená",AJ56,0)</f>
        <v>799.38099999999997</v>
      </c>
      <c r="CS56" s="72">
        <f>IF(BG56="zákl. prenesená",AJ56,0)</f>
        <v>0</v>
      </c>
      <c r="CT56" s="72">
        <f>IF(BG56="zníž. prenesená",AJ56,0)</f>
        <v>0</v>
      </c>
      <c r="CU56" s="72">
        <f>IF(BG56="nulová",AJ56,0)</f>
        <v>0</v>
      </c>
      <c r="CV56" s="9" t="s">
        <v>42</v>
      </c>
      <c r="CW56" s="101">
        <f>ROUND(AE56*K56,3)</f>
        <v>799.38099999999997</v>
      </c>
      <c r="CX56" s="9" t="s">
        <v>153</v>
      </c>
      <c r="CY56" s="9" t="s">
        <v>403</v>
      </c>
    </row>
    <row r="57" spans="2:103" s="7" customFormat="1" ht="29.85" customHeight="1">
      <c r="B57" s="82"/>
      <c r="C57" s="83"/>
      <c r="D57" s="92" t="s">
        <v>128</v>
      </c>
      <c r="E57" s="92"/>
      <c r="F57" s="92"/>
      <c r="G57" s="92"/>
      <c r="H57" s="92"/>
      <c r="I57" s="92"/>
      <c r="J57" s="92"/>
      <c r="K57" s="219"/>
      <c r="L57" s="219"/>
      <c r="M57" s="219"/>
      <c r="N57" s="219"/>
      <c r="O57" s="219"/>
      <c r="P57" s="222"/>
      <c r="Q57" s="219"/>
      <c r="R57" s="219"/>
      <c r="S57" s="219"/>
      <c r="T57" s="219"/>
      <c r="U57" s="219"/>
      <c r="V57" s="222"/>
      <c r="W57" s="286"/>
      <c r="X57" s="219"/>
      <c r="Y57" s="219"/>
      <c r="Z57" s="219"/>
      <c r="AA57" s="219"/>
      <c r="AB57" s="219"/>
      <c r="AC57" s="222"/>
      <c r="AD57" s="286"/>
      <c r="AE57" s="219"/>
      <c r="AF57" s="219"/>
      <c r="AG57" s="219"/>
      <c r="AH57" s="219"/>
      <c r="AI57" s="219"/>
      <c r="AJ57" s="212">
        <f t="shared" ref="AJ57:AO57" si="137">SUM(AJ58:AJ71)</f>
        <v>4147.4679999999998</v>
      </c>
      <c r="AK57" s="212">
        <f t="shared" si="137"/>
        <v>4074.2080000000001</v>
      </c>
      <c r="AL57" s="212">
        <f t="shared" si="137"/>
        <v>4635.8959999999997</v>
      </c>
      <c r="AM57" s="212">
        <f t="shared" si="137"/>
        <v>13025.25</v>
      </c>
      <c r="AN57" s="212">
        <f t="shared" si="137"/>
        <v>1663.5159999999998</v>
      </c>
      <c r="AO57" s="296">
        <f t="shared" si="137"/>
        <v>27546.338000000003</v>
      </c>
      <c r="AP57" s="212">
        <f t="shared" ref="AP57:AU57" si="138">SUM(AP58:AP71)</f>
        <v>1749.8820000000001</v>
      </c>
      <c r="AQ57" s="212">
        <f t="shared" si="138"/>
        <v>2906.4869999999996</v>
      </c>
      <c r="AR57" s="212">
        <f t="shared" si="138"/>
        <v>2009.9749999999999</v>
      </c>
      <c r="AS57" s="212">
        <f t="shared" si="138"/>
        <v>1475.4590000000001</v>
      </c>
      <c r="AT57" s="212">
        <f t="shared" si="138"/>
        <v>793.84500000000003</v>
      </c>
      <c r="AU57" s="212">
        <f t="shared" si="138"/>
        <v>8935.648000000001</v>
      </c>
      <c r="AV57" s="302"/>
      <c r="AW57" s="212">
        <f t="shared" ref="AW57:BB57" si="139">SUM(AW58:AW71)</f>
        <v>2397.5860000000002</v>
      </c>
      <c r="AX57" s="212">
        <f t="shared" si="139"/>
        <v>1167.7209999999998</v>
      </c>
      <c r="AY57" s="212">
        <f t="shared" si="139"/>
        <v>2625.9210000000003</v>
      </c>
      <c r="AZ57" s="212">
        <f t="shared" si="139"/>
        <v>11549.791000000001</v>
      </c>
      <c r="BA57" s="212">
        <f t="shared" si="139"/>
        <v>869.67099999999994</v>
      </c>
      <c r="BB57" s="212">
        <f t="shared" si="139"/>
        <v>18610.689999999999</v>
      </c>
      <c r="BC57" s="302"/>
      <c r="BD57" s="85"/>
      <c r="BF57" s="86"/>
      <c r="BG57" s="83"/>
      <c r="BH57" s="83"/>
      <c r="BI57" s="87">
        <f>SUM(BI74:BI81)</f>
        <v>0</v>
      </c>
      <c r="BJ57" s="83"/>
      <c r="BK57" s="87">
        <f>SUM(BK74:BK81)</f>
        <v>0</v>
      </c>
      <c r="BL57" s="83"/>
      <c r="BM57" s="88">
        <f>SUM(BM74:BM81)</f>
        <v>0</v>
      </c>
      <c r="CD57" s="89" t="s">
        <v>38</v>
      </c>
      <c r="CF57" s="90" t="s">
        <v>30</v>
      </c>
      <c r="CG57" s="90" t="s">
        <v>38</v>
      </c>
      <c r="CK57" s="89" t="s">
        <v>148</v>
      </c>
      <c r="CW57" s="91">
        <f>SUM(CW74:CW81)</f>
        <v>0</v>
      </c>
    </row>
    <row r="58" spans="2:103" s="1" customFormat="1" ht="31.5" customHeight="1">
      <c r="B58" s="73"/>
      <c r="C58" s="93"/>
      <c r="D58" s="93" t="s">
        <v>149</v>
      </c>
      <c r="E58" s="94" t="s">
        <v>414</v>
      </c>
      <c r="F58" s="498" t="s">
        <v>415</v>
      </c>
      <c r="G58" s="498"/>
      <c r="H58" s="498"/>
      <c r="I58" s="498"/>
      <c r="J58" s="95" t="s">
        <v>198</v>
      </c>
      <c r="K58" s="211">
        <f>(19.2+15.8+8.05+2.6+10.55+13.2+3.6-2.4)-K29</f>
        <v>5.5999999999999943</v>
      </c>
      <c r="L58" s="211">
        <f>(19.2+15.8+8.05+2.6+10.55+13.2+3.6-2.4)-L29</f>
        <v>5.5999999999999943</v>
      </c>
      <c r="M58" s="211">
        <f>77.75-M29</f>
        <v>2.75</v>
      </c>
      <c r="N58" s="211">
        <v>0</v>
      </c>
      <c r="O58" s="211">
        <f>(14.9+7.1+10.265+10.265)-O29</f>
        <v>-15.469999999999999</v>
      </c>
      <c r="P58" s="279">
        <f t="shared" ref="P58:P71" si="140">SUM(K58:O58)</f>
        <v>-1.5200000000000102</v>
      </c>
      <c r="Q58" s="277">
        <v>0</v>
      </c>
      <c r="R58" s="277">
        <v>0</v>
      </c>
      <c r="S58" s="277">
        <v>0</v>
      </c>
      <c r="T58" s="277">
        <v>0</v>
      </c>
      <c r="U58" s="277">
        <v>0</v>
      </c>
      <c r="V58" s="290">
        <f t="shared" ref="V58:V71" si="141">SUM(Q58:U58)</f>
        <v>0</v>
      </c>
      <c r="W58" s="289">
        <f t="shared" ref="W58:W71" si="142">V58/P58</f>
        <v>0</v>
      </c>
      <c r="X58" s="277">
        <f t="shared" ref="X58:X71" si="143">K58-Q58</f>
        <v>5.5999999999999943</v>
      </c>
      <c r="Y58" s="277">
        <f t="shared" ref="Y58:Y71" si="144">L58-R58</f>
        <v>5.5999999999999943</v>
      </c>
      <c r="Z58" s="277">
        <f t="shared" ref="Z58:Z71" si="145">M58-S58</f>
        <v>2.75</v>
      </c>
      <c r="AA58" s="277">
        <f t="shared" ref="AA58:AA71" si="146">N58-T58</f>
        <v>0</v>
      </c>
      <c r="AB58" s="277">
        <f t="shared" ref="AB58:AB71" si="147">O58-U58</f>
        <v>-15.469999999999999</v>
      </c>
      <c r="AC58" s="220">
        <f t="shared" ref="AC58:AC71" si="148">SUM(X58:AB58)</f>
        <v>-1.5200000000000102</v>
      </c>
      <c r="AD58" s="289">
        <f t="shared" ref="AD58:AD71" si="149">AC58/P58</f>
        <v>1</v>
      </c>
      <c r="AE58" s="221">
        <v>7.22</v>
      </c>
      <c r="AF58" s="221">
        <v>7.22</v>
      </c>
      <c r="AG58" s="221">
        <v>7.22</v>
      </c>
      <c r="AH58" s="221">
        <v>7.22</v>
      </c>
      <c r="AI58" s="221">
        <v>7.22</v>
      </c>
      <c r="AJ58" s="211">
        <f t="shared" ref="AJ58:AJ71" si="150">ROUND(AE58*K58,3)</f>
        <v>40.432000000000002</v>
      </c>
      <c r="AK58" s="211">
        <f t="shared" ref="AK58:AK71" si="151">ROUND(AE58*L58,3)</f>
        <v>40.432000000000002</v>
      </c>
      <c r="AL58" s="211">
        <f t="shared" ref="AL58:AL71" si="152">ROUND(AE58*M58,3)</f>
        <v>19.855</v>
      </c>
      <c r="AM58" s="211">
        <f t="shared" ref="AM58:AM71" si="153">ROUND(AE58*N58,3)</f>
        <v>0</v>
      </c>
      <c r="AN58" s="211">
        <f t="shared" ref="AN58:AN71" si="154">ROUND(AE58*O58,3)</f>
        <v>-111.693</v>
      </c>
      <c r="AO58" s="295">
        <f t="shared" ref="AO58:AO71" si="155">AJ58+AK58+AL58+AM58+AN58</f>
        <v>-10.97399999999999</v>
      </c>
      <c r="AP58" s="277">
        <f t="shared" ref="AP58:AP71" si="156">ROUND(Q58*AE58,3)</f>
        <v>0</v>
      </c>
      <c r="AQ58" s="277">
        <f t="shared" ref="AQ58:AQ71" si="157">ROUND(R58*AF58,3)</f>
        <v>0</v>
      </c>
      <c r="AR58" s="277">
        <f t="shared" ref="AR58:AR71" si="158">ROUND(S58*AG58,3)</f>
        <v>0</v>
      </c>
      <c r="AS58" s="277">
        <f t="shared" ref="AS58:AS71" si="159">ROUND(T58*AH58,3)</f>
        <v>0</v>
      </c>
      <c r="AT58" s="277">
        <f t="shared" ref="AT58:AT71" si="160">ROUND(U58*AI58,3)</f>
        <v>0</v>
      </c>
      <c r="AU58" s="211">
        <f t="shared" ref="AU58:AU71" si="161">AP58+AQ58+AR58+AS58+AT58</f>
        <v>0</v>
      </c>
      <c r="AV58" s="301">
        <f t="shared" ref="AV58:AV71" si="162">AU58/AO58</f>
        <v>0</v>
      </c>
      <c r="AW58" s="277">
        <f t="shared" ref="AW58:AW71" si="163">AJ58-AP58</f>
        <v>40.432000000000002</v>
      </c>
      <c r="AX58" s="277">
        <f t="shared" ref="AX58:AX71" si="164">AK58-AQ58</f>
        <v>40.432000000000002</v>
      </c>
      <c r="AY58" s="277">
        <f t="shared" ref="AY58:AY71" si="165">AL58-AR58</f>
        <v>19.855</v>
      </c>
      <c r="AZ58" s="277">
        <f t="shared" ref="AZ58:AZ71" si="166">AM58-AS58</f>
        <v>0</v>
      </c>
      <c r="BA58" s="277">
        <f t="shared" ref="BA58:BA71" si="167">AN58-AT58</f>
        <v>-111.693</v>
      </c>
      <c r="BB58" s="211">
        <f t="shared" ref="BB58:BB71" si="168">AW58+AX58+AY58+AZ58+BA58</f>
        <v>-10.97399999999999</v>
      </c>
      <c r="BC58" s="289">
        <f t="shared" ref="BC58:BC71" si="169">BB58/AO58</f>
        <v>1</v>
      </c>
      <c r="BD58" s="74"/>
      <c r="BF58" s="98" t="s">
        <v>0</v>
      </c>
      <c r="BG58" s="18" t="s">
        <v>11</v>
      </c>
      <c r="BH58" s="205"/>
      <c r="BI58" s="99">
        <f t="shared" ref="BI58:BI71" si="170">BH58*K58</f>
        <v>0</v>
      </c>
      <c r="BJ58" s="99">
        <v>0</v>
      </c>
      <c r="BK58" s="99">
        <f t="shared" ref="BK58:BK71" si="171">BJ58*K58</f>
        <v>0</v>
      </c>
      <c r="BL58" s="99">
        <v>0</v>
      </c>
      <c r="BM58" s="100">
        <f t="shared" ref="BM58:BM71" si="172">BL58*K58</f>
        <v>0</v>
      </c>
      <c r="CD58" s="9" t="s">
        <v>153</v>
      </c>
      <c r="CF58" s="9" t="s">
        <v>149</v>
      </c>
      <c r="CG58" s="9" t="s">
        <v>42</v>
      </c>
      <c r="CK58" s="9" t="s">
        <v>148</v>
      </c>
      <c r="CQ58" s="72">
        <f t="shared" ref="CQ58:CQ71" si="173">IF(BG58="základná",AJ58,0)</f>
        <v>0</v>
      </c>
      <c r="CR58" s="72">
        <f t="shared" ref="CR58:CR71" si="174">IF(BG58="znížená",AJ58,0)</f>
        <v>40.432000000000002</v>
      </c>
      <c r="CS58" s="72">
        <f t="shared" ref="CS58:CS71" si="175">IF(BG58="zákl. prenesená",AJ58,0)</f>
        <v>0</v>
      </c>
      <c r="CT58" s="72">
        <f t="shared" ref="CT58:CT71" si="176">IF(BG58="zníž. prenesená",AJ58,0)</f>
        <v>0</v>
      </c>
      <c r="CU58" s="72">
        <f t="shared" ref="CU58:CU71" si="177">IF(BG58="nulová",AJ58,0)</f>
        <v>0</v>
      </c>
      <c r="CV58" s="9" t="s">
        <v>42</v>
      </c>
      <c r="CW58" s="101">
        <f t="shared" ref="CW58:CW71" si="178">ROUND(AE58*K58,3)</f>
        <v>40.432000000000002</v>
      </c>
      <c r="CX58" s="9" t="s">
        <v>153</v>
      </c>
      <c r="CY58" s="9" t="s">
        <v>416</v>
      </c>
    </row>
    <row r="59" spans="2:103" s="1" customFormat="1" ht="22.5" customHeight="1">
      <c r="B59" s="73"/>
      <c r="C59" s="102"/>
      <c r="D59" s="102" t="s">
        <v>171</v>
      </c>
      <c r="E59" s="103" t="s">
        <v>417</v>
      </c>
      <c r="F59" s="499" t="s">
        <v>418</v>
      </c>
      <c r="G59" s="499"/>
      <c r="H59" s="499"/>
      <c r="I59" s="499"/>
      <c r="J59" s="104" t="s">
        <v>184</v>
      </c>
      <c r="K59" s="223">
        <f>(K58+K29)*1.05-K30</f>
        <v>9.1299999999999955</v>
      </c>
      <c r="L59" s="223">
        <f>(L58+L29)*1.05-L30</f>
        <v>9.1299999999999955</v>
      </c>
      <c r="M59" s="223">
        <f>82-M30</f>
        <v>7</v>
      </c>
      <c r="N59" s="223">
        <v>0</v>
      </c>
      <c r="O59" s="223">
        <f>(O58+O29)*1.05-O30</f>
        <v>-13.343499999999999</v>
      </c>
      <c r="P59" s="279">
        <f t="shared" si="140"/>
        <v>11.916499999999992</v>
      </c>
      <c r="Q59" s="278">
        <v>0</v>
      </c>
      <c r="R59" s="223">
        <v>0</v>
      </c>
      <c r="S59" s="223">
        <v>0</v>
      </c>
      <c r="T59" s="223">
        <v>0</v>
      </c>
      <c r="U59" s="223">
        <v>0</v>
      </c>
      <c r="V59" s="290">
        <f t="shared" si="141"/>
        <v>0</v>
      </c>
      <c r="W59" s="289">
        <f t="shared" si="142"/>
        <v>0</v>
      </c>
      <c r="X59" s="278">
        <f t="shared" si="143"/>
        <v>9.1299999999999955</v>
      </c>
      <c r="Y59" s="278">
        <f t="shared" si="144"/>
        <v>9.1299999999999955</v>
      </c>
      <c r="Z59" s="278">
        <f t="shared" si="145"/>
        <v>7</v>
      </c>
      <c r="AA59" s="278">
        <f t="shared" si="146"/>
        <v>0</v>
      </c>
      <c r="AB59" s="278">
        <f t="shared" si="147"/>
        <v>-13.343499999999999</v>
      </c>
      <c r="AC59" s="220">
        <f t="shared" si="148"/>
        <v>11.916499999999992</v>
      </c>
      <c r="AD59" s="289">
        <f t="shared" si="149"/>
        <v>1</v>
      </c>
      <c r="AE59" s="224">
        <v>6.05</v>
      </c>
      <c r="AF59" s="224">
        <v>6.05</v>
      </c>
      <c r="AG59" s="224">
        <v>6.05</v>
      </c>
      <c r="AH59" s="224">
        <v>6.05</v>
      </c>
      <c r="AI59" s="224">
        <v>6.05</v>
      </c>
      <c r="AJ59" s="223">
        <f t="shared" si="150"/>
        <v>55.237000000000002</v>
      </c>
      <c r="AK59" s="223">
        <f t="shared" si="151"/>
        <v>55.237000000000002</v>
      </c>
      <c r="AL59" s="223">
        <f t="shared" si="152"/>
        <v>42.35</v>
      </c>
      <c r="AM59" s="223">
        <f t="shared" si="153"/>
        <v>0</v>
      </c>
      <c r="AN59" s="223">
        <f t="shared" si="154"/>
        <v>-80.727999999999994</v>
      </c>
      <c r="AO59" s="297">
        <f t="shared" si="155"/>
        <v>72.096000000000018</v>
      </c>
      <c r="AP59" s="277">
        <f t="shared" si="156"/>
        <v>0</v>
      </c>
      <c r="AQ59" s="277">
        <f t="shared" si="157"/>
        <v>0</v>
      </c>
      <c r="AR59" s="277">
        <f t="shared" si="158"/>
        <v>0</v>
      </c>
      <c r="AS59" s="277">
        <f t="shared" si="159"/>
        <v>0</v>
      </c>
      <c r="AT59" s="277">
        <f t="shared" si="160"/>
        <v>0</v>
      </c>
      <c r="AU59" s="223">
        <f t="shared" si="161"/>
        <v>0</v>
      </c>
      <c r="AV59" s="301">
        <f t="shared" si="162"/>
        <v>0</v>
      </c>
      <c r="AW59" s="277">
        <f t="shared" si="163"/>
        <v>55.237000000000002</v>
      </c>
      <c r="AX59" s="277">
        <f t="shared" si="164"/>
        <v>55.237000000000002</v>
      </c>
      <c r="AY59" s="277">
        <f t="shared" si="165"/>
        <v>42.35</v>
      </c>
      <c r="AZ59" s="277">
        <f t="shared" si="166"/>
        <v>0</v>
      </c>
      <c r="BA59" s="277">
        <f t="shared" si="167"/>
        <v>-80.727999999999994</v>
      </c>
      <c r="BB59" s="223">
        <f t="shared" si="168"/>
        <v>72.096000000000018</v>
      </c>
      <c r="BC59" s="289">
        <f t="shared" si="169"/>
        <v>1</v>
      </c>
      <c r="BD59" s="74"/>
      <c r="BE59" s="1" t="s">
        <v>955</v>
      </c>
      <c r="BF59" s="98" t="s">
        <v>0</v>
      </c>
      <c r="BG59" s="18" t="s">
        <v>11</v>
      </c>
      <c r="BH59" s="205"/>
      <c r="BI59" s="99">
        <f t="shared" si="170"/>
        <v>0</v>
      </c>
      <c r="BJ59" s="99">
        <v>0</v>
      </c>
      <c r="BK59" s="99">
        <f t="shared" si="171"/>
        <v>0</v>
      </c>
      <c r="BL59" s="99">
        <v>0</v>
      </c>
      <c r="BM59" s="100">
        <f t="shared" si="172"/>
        <v>0</v>
      </c>
      <c r="BO59" s="113"/>
      <c r="CD59" s="9" t="s">
        <v>165</v>
      </c>
      <c r="CF59" s="9" t="s">
        <v>171</v>
      </c>
      <c r="CG59" s="9" t="s">
        <v>42</v>
      </c>
      <c r="CK59" s="9" t="s">
        <v>148</v>
      </c>
      <c r="CQ59" s="72">
        <f t="shared" si="173"/>
        <v>0</v>
      </c>
      <c r="CR59" s="72">
        <f t="shared" si="174"/>
        <v>55.237000000000002</v>
      </c>
      <c r="CS59" s="72">
        <f t="shared" si="175"/>
        <v>0</v>
      </c>
      <c r="CT59" s="72">
        <f t="shared" si="176"/>
        <v>0</v>
      </c>
      <c r="CU59" s="72">
        <f t="shared" si="177"/>
        <v>0</v>
      </c>
      <c r="CV59" s="9" t="s">
        <v>42</v>
      </c>
      <c r="CW59" s="101">
        <f t="shared" si="178"/>
        <v>55.237000000000002</v>
      </c>
      <c r="CX59" s="9" t="s">
        <v>153</v>
      </c>
      <c r="CY59" s="9" t="s">
        <v>419</v>
      </c>
    </row>
    <row r="60" spans="2:103" s="1" customFormat="1" ht="35.25" customHeight="1">
      <c r="B60" s="73"/>
      <c r="C60" s="215" t="s">
        <v>1351</v>
      </c>
      <c r="D60" s="93" t="s">
        <v>149</v>
      </c>
      <c r="E60" s="94" t="s">
        <v>1360</v>
      </c>
      <c r="F60" s="500" t="s">
        <v>1361</v>
      </c>
      <c r="G60" s="501"/>
      <c r="H60" s="501"/>
      <c r="I60" s="502"/>
      <c r="J60" s="95" t="s">
        <v>198</v>
      </c>
      <c r="K60" s="211">
        <f>(19.2+15.8+8.05+2.6+10.55+13.2+3.6-2.4)/2*0.5</f>
        <v>17.649999999999999</v>
      </c>
      <c r="L60" s="211">
        <f>(19.2+15.8+8.05+2.6+10.55+13.2+3.6-2.4)/2*0.5</f>
        <v>17.649999999999999</v>
      </c>
      <c r="M60" s="211">
        <v>19.437999999999999</v>
      </c>
      <c r="N60" s="211">
        <v>30</v>
      </c>
      <c r="O60" s="211">
        <f>(14.9+7.1+10.265+10.265)/2*0.5</f>
        <v>10.6325</v>
      </c>
      <c r="P60" s="279">
        <f t="shared" si="140"/>
        <v>95.370499999999993</v>
      </c>
      <c r="Q60" s="277">
        <v>0</v>
      </c>
      <c r="R60" s="277">
        <v>0</v>
      </c>
      <c r="S60" s="277">
        <v>0</v>
      </c>
      <c r="T60" s="277">
        <v>0</v>
      </c>
      <c r="U60" s="277">
        <v>0</v>
      </c>
      <c r="V60" s="290">
        <f t="shared" si="141"/>
        <v>0</v>
      </c>
      <c r="W60" s="289">
        <f t="shared" si="142"/>
        <v>0</v>
      </c>
      <c r="X60" s="277">
        <f t="shared" si="143"/>
        <v>17.649999999999999</v>
      </c>
      <c r="Y60" s="277">
        <f t="shared" si="144"/>
        <v>17.649999999999999</v>
      </c>
      <c r="Z60" s="277">
        <f t="shared" si="145"/>
        <v>19.437999999999999</v>
      </c>
      <c r="AA60" s="277">
        <f t="shared" si="146"/>
        <v>30</v>
      </c>
      <c r="AB60" s="277">
        <f t="shared" si="147"/>
        <v>10.6325</v>
      </c>
      <c r="AC60" s="220">
        <f t="shared" si="148"/>
        <v>95.370499999999993</v>
      </c>
      <c r="AD60" s="289">
        <f t="shared" si="149"/>
        <v>1</v>
      </c>
      <c r="AE60" s="221">
        <v>5.59</v>
      </c>
      <c r="AF60" s="221">
        <v>5.59</v>
      </c>
      <c r="AG60" s="221">
        <v>5.59</v>
      </c>
      <c r="AH60" s="221">
        <v>5.59</v>
      </c>
      <c r="AI60" s="221">
        <v>5.59</v>
      </c>
      <c r="AJ60" s="211">
        <f t="shared" si="150"/>
        <v>98.664000000000001</v>
      </c>
      <c r="AK60" s="211">
        <f t="shared" si="151"/>
        <v>98.664000000000001</v>
      </c>
      <c r="AL60" s="211">
        <f t="shared" si="152"/>
        <v>108.658</v>
      </c>
      <c r="AM60" s="211">
        <f t="shared" si="153"/>
        <v>167.7</v>
      </c>
      <c r="AN60" s="211">
        <f t="shared" si="154"/>
        <v>59.436</v>
      </c>
      <c r="AO60" s="295">
        <f t="shared" si="155"/>
        <v>533.12199999999996</v>
      </c>
      <c r="AP60" s="277">
        <f t="shared" si="156"/>
        <v>0</v>
      </c>
      <c r="AQ60" s="277">
        <f t="shared" si="157"/>
        <v>0</v>
      </c>
      <c r="AR60" s="277">
        <f t="shared" si="158"/>
        <v>0</v>
      </c>
      <c r="AS60" s="277">
        <f t="shared" si="159"/>
        <v>0</v>
      </c>
      <c r="AT60" s="277">
        <f t="shared" si="160"/>
        <v>0</v>
      </c>
      <c r="AU60" s="211">
        <f t="shared" si="161"/>
        <v>0</v>
      </c>
      <c r="AV60" s="301">
        <f t="shared" si="162"/>
        <v>0</v>
      </c>
      <c r="AW60" s="277">
        <f t="shared" si="163"/>
        <v>98.664000000000001</v>
      </c>
      <c r="AX60" s="277">
        <f t="shared" si="164"/>
        <v>98.664000000000001</v>
      </c>
      <c r="AY60" s="277">
        <f t="shared" si="165"/>
        <v>108.658</v>
      </c>
      <c r="AZ60" s="277">
        <f t="shared" si="166"/>
        <v>167.7</v>
      </c>
      <c r="BA60" s="277">
        <f t="shared" si="167"/>
        <v>59.436</v>
      </c>
      <c r="BB60" s="211">
        <f t="shared" si="168"/>
        <v>533.12199999999996</v>
      </c>
      <c r="BC60" s="289">
        <f t="shared" si="169"/>
        <v>1</v>
      </c>
      <c r="BD60" s="74"/>
      <c r="BF60" s="98" t="s">
        <v>0</v>
      </c>
      <c r="BG60" s="18" t="s">
        <v>11</v>
      </c>
      <c r="BH60" s="209"/>
      <c r="BI60" s="99">
        <f t="shared" si="170"/>
        <v>0</v>
      </c>
      <c r="BJ60" s="99">
        <v>0</v>
      </c>
      <c r="BK60" s="99">
        <f t="shared" si="171"/>
        <v>0</v>
      </c>
      <c r="BL60" s="99">
        <v>0</v>
      </c>
      <c r="BM60" s="100">
        <f t="shared" si="172"/>
        <v>0</v>
      </c>
      <c r="CD60" s="9" t="s">
        <v>153</v>
      </c>
      <c r="CF60" s="9" t="s">
        <v>149</v>
      </c>
      <c r="CG60" s="9" t="s">
        <v>42</v>
      </c>
      <c r="CK60" s="9" t="s">
        <v>148</v>
      </c>
      <c r="CQ60" s="72">
        <f t="shared" si="173"/>
        <v>0</v>
      </c>
      <c r="CR60" s="72">
        <f t="shared" si="174"/>
        <v>98.664000000000001</v>
      </c>
      <c r="CS60" s="72">
        <f t="shared" si="175"/>
        <v>0</v>
      </c>
      <c r="CT60" s="72">
        <f t="shared" si="176"/>
        <v>0</v>
      </c>
      <c r="CU60" s="72">
        <f t="shared" si="177"/>
        <v>0</v>
      </c>
      <c r="CV60" s="9" t="s">
        <v>42</v>
      </c>
      <c r="CW60" s="101">
        <f t="shared" si="178"/>
        <v>98.664000000000001</v>
      </c>
      <c r="CX60" s="9" t="s">
        <v>153</v>
      </c>
      <c r="CY60" s="9" t="s">
        <v>403</v>
      </c>
    </row>
    <row r="61" spans="2:103" s="1" customFormat="1" ht="35.25" customHeight="1">
      <c r="B61" s="73"/>
      <c r="C61" s="215" t="s">
        <v>1351</v>
      </c>
      <c r="D61" s="93" t="s">
        <v>149</v>
      </c>
      <c r="E61" s="94" t="s">
        <v>1362</v>
      </c>
      <c r="F61" s="500" t="s">
        <v>1363</v>
      </c>
      <c r="G61" s="501"/>
      <c r="H61" s="501"/>
      <c r="I61" s="502"/>
      <c r="J61" s="95" t="s">
        <v>198</v>
      </c>
      <c r="K61" s="211">
        <f>(19.2+15.8+8.05+2.6+10.55+13.2+3.6-2.4)/2*0.5</f>
        <v>17.649999999999999</v>
      </c>
      <c r="L61" s="211">
        <f>(19.2+15.8+8.05+2.6+10.55+13.2+3.6-2.4)/2*0.5</f>
        <v>17.649999999999999</v>
      </c>
      <c r="M61" s="211">
        <v>19.437999999999999</v>
      </c>
      <c r="N61" s="211">
        <v>30</v>
      </c>
      <c r="O61" s="211">
        <f>(14.9+7.1+10.265+10.265)/2*0.5</f>
        <v>10.6325</v>
      </c>
      <c r="P61" s="279">
        <f t="shared" si="140"/>
        <v>95.370499999999993</v>
      </c>
      <c r="Q61" s="277">
        <v>0</v>
      </c>
      <c r="R61" s="277">
        <v>0</v>
      </c>
      <c r="S61" s="277">
        <v>0</v>
      </c>
      <c r="T61" s="277">
        <v>0</v>
      </c>
      <c r="U61" s="277">
        <v>0</v>
      </c>
      <c r="V61" s="290">
        <f t="shared" si="141"/>
        <v>0</v>
      </c>
      <c r="W61" s="289">
        <f t="shared" si="142"/>
        <v>0</v>
      </c>
      <c r="X61" s="277">
        <f t="shared" si="143"/>
        <v>17.649999999999999</v>
      </c>
      <c r="Y61" s="277">
        <f t="shared" si="144"/>
        <v>17.649999999999999</v>
      </c>
      <c r="Z61" s="277">
        <f t="shared" si="145"/>
        <v>19.437999999999999</v>
      </c>
      <c r="AA61" s="277">
        <f t="shared" si="146"/>
        <v>30</v>
      </c>
      <c r="AB61" s="277">
        <f t="shared" si="147"/>
        <v>10.6325</v>
      </c>
      <c r="AC61" s="220">
        <f t="shared" si="148"/>
        <v>95.370499999999993</v>
      </c>
      <c r="AD61" s="289">
        <f t="shared" si="149"/>
        <v>1</v>
      </c>
      <c r="AE61" s="221">
        <v>12.987</v>
      </c>
      <c r="AF61" s="221">
        <v>12.987</v>
      </c>
      <c r="AG61" s="221">
        <v>12.987</v>
      </c>
      <c r="AH61" s="221">
        <v>12.987</v>
      </c>
      <c r="AI61" s="221">
        <v>12.987</v>
      </c>
      <c r="AJ61" s="211">
        <f t="shared" si="150"/>
        <v>229.221</v>
      </c>
      <c r="AK61" s="211">
        <f t="shared" si="151"/>
        <v>229.221</v>
      </c>
      <c r="AL61" s="211">
        <f t="shared" si="152"/>
        <v>252.441</v>
      </c>
      <c r="AM61" s="211">
        <f t="shared" si="153"/>
        <v>389.61</v>
      </c>
      <c r="AN61" s="211">
        <f t="shared" si="154"/>
        <v>138.084</v>
      </c>
      <c r="AO61" s="295">
        <f t="shared" si="155"/>
        <v>1238.577</v>
      </c>
      <c r="AP61" s="277">
        <f t="shared" si="156"/>
        <v>0</v>
      </c>
      <c r="AQ61" s="277">
        <f t="shared" si="157"/>
        <v>0</v>
      </c>
      <c r="AR61" s="277">
        <f t="shared" si="158"/>
        <v>0</v>
      </c>
      <c r="AS61" s="277">
        <f t="shared" si="159"/>
        <v>0</v>
      </c>
      <c r="AT61" s="277">
        <f t="shared" si="160"/>
        <v>0</v>
      </c>
      <c r="AU61" s="211">
        <f t="shared" si="161"/>
        <v>0</v>
      </c>
      <c r="AV61" s="301">
        <f t="shared" si="162"/>
        <v>0</v>
      </c>
      <c r="AW61" s="277">
        <f t="shared" si="163"/>
        <v>229.221</v>
      </c>
      <c r="AX61" s="277">
        <f t="shared" si="164"/>
        <v>229.221</v>
      </c>
      <c r="AY61" s="277">
        <f t="shared" si="165"/>
        <v>252.441</v>
      </c>
      <c r="AZ61" s="277">
        <f t="shared" si="166"/>
        <v>389.61</v>
      </c>
      <c r="BA61" s="277">
        <f t="shared" si="167"/>
        <v>138.084</v>
      </c>
      <c r="BB61" s="211">
        <f t="shared" si="168"/>
        <v>1238.577</v>
      </c>
      <c r="BC61" s="289">
        <f t="shared" si="169"/>
        <v>1</v>
      </c>
      <c r="BD61" s="74"/>
      <c r="BF61" s="98" t="s">
        <v>0</v>
      </c>
      <c r="BG61" s="18" t="s">
        <v>11</v>
      </c>
      <c r="BH61" s="209"/>
      <c r="BI61" s="99">
        <f t="shared" si="170"/>
        <v>0</v>
      </c>
      <c r="BJ61" s="99">
        <v>0</v>
      </c>
      <c r="BK61" s="99">
        <f t="shared" si="171"/>
        <v>0</v>
      </c>
      <c r="BL61" s="99">
        <v>0</v>
      </c>
      <c r="BM61" s="100">
        <f t="shared" si="172"/>
        <v>0</v>
      </c>
      <c r="CD61" s="9" t="s">
        <v>153</v>
      </c>
      <c r="CF61" s="9" t="s">
        <v>149</v>
      </c>
      <c r="CG61" s="9" t="s">
        <v>42</v>
      </c>
      <c r="CK61" s="9" t="s">
        <v>148</v>
      </c>
      <c r="CQ61" s="72">
        <f t="shared" si="173"/>
        <v>0</v>
      </c>
      <c r="CR61" s="72">
        <f t="shared" si="174"/>
        <v>229.221</v>
      </c>
      <c r="CS61" s="72">
        <f t="shared" si="175"/>
        <v>0</v>
      </c>
      <c r="CT61" s="72">
        <f t="shared" si="176"/>
        <v>0</v>
      </c>
      <c r="CU61" s="72">
        <f t="shared" si="177"/>
        <v>0</v>
      </c>
      <c r="CV61" s="9" t="s">
        <v>42</v>
      </c>
      <c r="CW61" s="101">
        <f t="shared" si="178"/>
        <v>229.221</v>
      </c>
      <c r="CX61" s="9" t="s">
        <v>153</v>
      </c>
      <c r="CY61" s="9" t="s">
        <v>403</v>
      </c>
    </row>
    <row r="62" spans="2:103" s="1" customFormat="1" ht="28.5" customHeight="1">
      <c r="B62" s="73"/>
      <c r="C62" s="215" t="s">
        <v>1351</v>
      </c>
      <c r="D62" s="93" t="s">
        <v>149</v>
      </c>
      <c r="E62" s="94" t="s">
        <v>1331</v>
      </c>
      <c r="F62" s="498" t="s">
        <v>1330</v>
      </c>
      <c r="G62" s="498"/>
      <c r="H62" s="498"/>
      <c r="I62" s="498"/>
      <c r="J62" s="95" t="s">
        <v>198</v>
      </c>
      <c r="K62" s="211">
        <v>6</v>
      </c>
      <c r="L62" s="211">
        <v>6</v>
      </c>
      <c r="M62" s="211">
        <v>6</v>
      </c>
      <c r="N62" s="211">
        <v>15</v>
      </c>
      <c r="O62" s="211">
        <v>1</v>
      </c>
      <c r="P62" s="279">
        <f t="shared" si="140"/>
        <v>34</v>
      </c>
      <c r="Q62" s="277">
        <v>0</v>
      </c>
      <c r="R62" s="277">
        <v>0</v>
      </c>
      <c r="S62" s="277">
        <v>0</v>
      </c>
      <c r="T62" s="277">
        <v>1.8</v>
      </c>
      <c r="U62" s="277">
        <v>0</v>
      </c>
      <c r="V62" s="290">
        <f t="shared" si="141"/>
        <v>1.8</v>
      </c>
      <c r="W62" s="289">
        <f t="shared" si="142"/>
        <v>5.2941176470588235E-2</v>
      </c>
      <c r="X62" s="277">
        <f t="shared" si="143"/>
        <v>6</v>
      </c>
      <c r="Y62" s="277">
        <f t="shared" si="144"/>
        <v>6</v>
      </c>
      <c r="Z62" s="277">
        <f t="shared" si="145"/>
        <v>6</v>
      </c>
      <c r="AA62" s="277">
        <f t="shared" si="146"/>
        <v>13.2</v>
      </c>
      <c r="AB62" s="277">
        <f t="shared" si="147"/>
        <v>1</v>
      </c>
      <c r="AC62" s="220">
        <f t="shared" si="148"/>
        <v>32.200000000000003</v>
      </c>
      <c r="AD62" s="289">
        <f t="shared" si="149"/>
        <v>0.94705882352941184</v>
      </c>
      <c r="AE62" s="221">
        <v>25.298000000000002</v>
      </c>
      <c r="AF62" s="221">
        <v>25.298000000000002</v>
      </c>
      <c r="AG62" s="221">
        <v>25.298000000000002</v>
      </c>
      <c r="AH62" s="221">
        <v>25.298000000000002</v>
      </c>
      <c r="AI62" s="221">
        <v>25.298000000000002</v>
      </c>
      <c r="AJ62" s="211">
        <f t="shared" si="150"/>
        <v>151.78800000000001</v>
      </c>
      <c r="AK62" s="211">
        <f t="shared" si="151"/>
        <v>151.78800000000001</v>
      </c>
      <c r="AL62" s="211">
        <f t="shared" si="152"/>
        <v>151.78800000000001</v>
      </c>
      <c r="AM62" s="211">
        <f t="shared" si="153"/>
        <v>379.47</v>
      </c>
      <c r="AN62" s="211">
        <f t="shared" si="154"/>
        <v>25.297999999999998</v>
      </c>
      <c r="AO62" s="295">
        <f t="shared" si="155"/>
        <v>860.13200000000006</v>
      </c>
      <c r="AP62" s="277">
        <f t="shared" si="156"/>
        <v>0</v>
      </c>
      <c r="AQ62" s="277">
        <f t="shared" si="157"/>
        <v>0</v>
      </c>
      <c r="AR62" s="277">
        <f t="shared" si="158"/>
        <v>0</v>
      </c>
      <c r="AS62" s="277">
        <f t="shared" si="159"/>
        <v>45.536000000000001</v>
      </c>
      <c r="AT62" s="277">
        <f t="shared" si="160"/>
        <v>0</v>
      </c>
      <c r="AU62" s="211">
        <f t="shared" si="161"/>
        <v>45.536000000000001</v>
      </c>
      <c r="AV62" s="301">
        <f t="shared" si="162"/>
        <v>5.2940711425688146E-2</v>
      </c>
      <c r="AW62" s="277">
        <f t="shared" si="163"/>
        <v>151.78800000000001</v>
      </c>
      <c r="AX62" s="277">
        <f t="shared" si="164"/>
        <v>151.78800000000001</v>
      </c>
      <c r="AY62" s="277">
        <f t="shared" si="165"/>
        <v>151.78800000000001</v>
      </c>
      <c r="AZ62" s="277">
        <f t="shared" si="166"/>
        <v>333.93400000000003</v>
      </c>
      <c r="BA62" s="277">
        <f t="shared" si="167"/>
        <v>25.297999999999998</v>
      </c>
      <c r="BB62" s="211">
        <f t="shared" si="168"/>
        <v>814.596</v>
      </c>
      <c r="BC62" s="289">
        <f t="shared" si="169"/>
        <v>0.94705928857431176</v>
      </c>
      <c r="BD62" s="74"/>
      <c r="BF62" s="98" t="s">
        <v>0</v>
      </c>
      <c r="BG62" s="18" t="s">
        <v>11</v>
      </c>
      <c r="BH62" s="205"/>
      <c r="BI62" s="99">
        <f t="shared" si="170"/>
        <v>0</v>
      </c>
      <c r="BJ62" s="99">
        <v>0</v>
      </c>
      <c r="BK62" s="99">
        <f t="shared" si="171"/>
        <v>0</v>
      </c>
      <c r="BL62" s="99">
        <v>0</v>
      </c>
      <c r="BM62" s="100">
        <f t="shared" si="172"/>
        <v>0</v>
      </c>
      <c r="BQ62" s="1">
        <v>98.72</v>
      </c>
      <c r="CD62" s="9" t="s">
        <v>153</v>
      </c>
      <c r="CF62" s="9" t="s">
        <v>149</v>
      </c>
      <c r="CG62" s="9" t="s">
        <v>42</v>
      </c>
      <c r="CK62" s="9" t="s">
        <v>148</v>
      </c>
      <c r="CQ62" s="72">
        <f t="shared" si="173"/>
        <v>0</v>
      </c>
      <c r="CR62" s="72">
        <f t="shared" si="174"/>
        <v>151.78800000000001</v>
      </c>
      <c r="CS62" s="72">
        <f t="shared" si="175"/>
        <v>0</v>
      </c>
      <c r="CT62" s="72">
        <f t="shared" si="176"/>
        <v>0</v>
      </c>
      <c r="CU62" s="72">
        <f t="shared" si="177"/>
        <v>0</v>
      </c>
      <c r="CV62" s="9" t="s">
        <v>42</v>
      </c>
      <c r="CW62" s="101">
        <f t="shared" si="178"/>
        <v>151.78800000000001</v>
      </c>
      <c r="CX62" s="9" t="s">
        <v>153</v>
      </c>
      <c r="CY62" s="9" t="s">
        <v>409</v>
      </c>
    </row>
    <row r="63" spans="2:103" s="1" customFormat="1" ht="24" customHeight="1">
      <c r="B63" s="73"/>
      <c r="C63" s="93"/>
      <c r="D63" s="93" t="s">
        <v>149</v>
      </c>
      <c r="E63" s="94" t="s">
        <v>420</v>
      </c>
      <c r="F63" s="498" t="s">
        <v>1395</v>
      </c>
      <c r="G63" s="498"/>
      <c r="H63" s="498"/>
      <c r="I63" s="498"/>
      <c r="J63" s="95" t="s">
        <v>168</v>
      </c>
      <c r="K63" s="211">
        <v>0</v>
      </c>
      <c r="L63" s="211">
        <v>0</v>
      </c>
      <c r="M63" s="211">
        <v>0</v>
      </c>
      <c r="N63" s="211">
        <v>100</v>
      </c>
      <c r="O63" s="211">
        <v>0</v>
      </c>
      <c r="P63" s="279">
        <f t="shared" si="140"/>
        <v>100</v>
      </c>
      <c r="Q63" s="277">
        <v>0</v>
      </c>
      <c r="R63" s="277">
        <v>0</v>
      </c>
      <c r="S63" s="277">
        <v>0</v>
      </c>
      <c r="T63" s="277">
        <v>0</v>
      </c>
      <c r="U63" s="277">
        <v>0</v>
      </c>
      <c r="V63" s="290">
        <f t="shared" si="141"/>
        <v>0</v>
      </c>
      <c r="W63" s="289">
        <f t="shared" si="142"/>
        <v>0</v>
      </c>
      <c r="X63" s="277">
        <f t="shared" si="143"/>
        <v>0</v>
      </c>
      <c r="Y63" s="277">
        <f t="shared" si="144"/>
        <v>0</v>
      </c>
      <c r="Z63" s="277">
        <f t="shared" si="145"/>
        <v>0</v>
      </c>
      <c r="AA63" s="277">
        <f t="shared" si="146"/>
        <v>100</v>
      </c>
      <c r="AB63" s="277">
        <f t="shared" si="147"/>
        <v>0</v>
      </c>
      <c r="AC63" s="220">
        <f t="shared" si="148"/>
        <v>100</v>
      </c>
      <c r="AD63" s="289">
        <f t="shared" si="149"/>
        <v>1</v>
      </c>
      <c r="AE63" s="221">
        <v>15.600000000000001</v>
      </c>
      <c r="AF63" s="221">
        <v>81.569999999999993</v>
      </c>
      <c r="AG63" s="221">
        <v>81.569999999999993</v>
      </c>
      <c r="AH63" s="221">
        <v>81.569999999999993</v>
      </c>
      <c r="AI63" s="221">
        <v>81.569999999999993</v>
      </c>
      <c r="AJ63" s="211">
        <f t="shared" si="150"/>
        <v>0</v>
      </c>
      <c r="AK63" s="211">
        <f t="shared" si="151"/>
        <v>0</v>
      </c>
      <c r="AL63" s="211">
        <f t="shared" si="152"/>
        <v>0</v>
      </c>
      <c r="AM63" s="211">
        <f t="shared" si="153"/>
        <v>1560</v>
      </c>
      <c r="AN63" s="211">
        <f t="shared" si="154"/>
        <v>0</v>
      </c>
      <c r="AO63" s="295">
        <f t="shared" si="155"/>
        <v>1560</v>
      </c>
      <c r="AP63" s="277">
        <f t="shared" si="156"/>
        <v>0</v>
      </c>
      <c r="AQ63" s="277">
        <f t="shared" si="157"/>
        <v>0</v>
      </c>
      <c r="AR63" s="277">
        <f t="shared" si="158"/>
        <v>0</v>
      </c>
      <c r="AS63" s="277">
        <f t="shared" si="159"/>
        <v>0</v>
      </c>
      <c r="AT63" s="277">
        <f t="shared" si="160"/>
        <v>0</v>
      </c>
      <c r="AU63" s="211">
        <f t="shared" si="161"/>
        <v>0</v>
      </c>
      <c r="AV63" s="301">
        <f t="shared" si="162"/>
        <v>0</v>
      </c>
      <c r="AW63" s="277">
        <f t="shared" si="163"/>
        <v>0</v>
      </c>
      <c r="AX63" s="277">
        <f t="shared" si="164"/>
        <v>0</v>
      </c>
      <c r="AY63" s="277">
        <f t="shared" si="165"/>
        <v>0</v>
      </c>
      <c r="AZ63" s="277">
        <f t="shared" si="166"/>
        <v>1560</v>
      </c>
      <c r="BA63" s="277">
        <f t="shared" si="167"/>
        <v>0</v>
      </c>
      <c r="BB63" s="211">
        <f t="shared" si="168"/>
        <v>1560</v>
      </c>
      <c r="BC63" s="289">
        <f t="shared" si="169"/>
        <v>1</v>
      </c>
      <c r="BD63" s="74"/>
      <c r="BF63" s="98" t="s">
        <v>0</v>
      </c>
      <c r="BG63" s="18" t="s">
        <v>11</v>
      </c>
      <c r="BH63" s="246"/>
      <c r="BI63" s="99">
        <f t="shared" si="170"/>
        <v>0</v>
      </c>
      <c r="BJ63" s="99">
        <v>0</v>
      </c>
      <c r="BK63" s="99">
        <f t="shared" si="171"/>
        <v>0</v>
      </c>
      <c r="BL63" s="99">
        <v>0</v>
      </c>
      <c r="BM63" s="100">
        <f t="shared" si="172"/>
        <v>0</v>
      </c>
      <c r="BQ63" s="1">
        <v>78.430000000000007</v>
      </c>
      <c r="CD63" s="9" t="s">
        <v>153</v>
      </c>
      <c r="CF63" s="9" t="s">
        <v>149</v>
      </c>
      <c r="CG63" s="9" t="s">
        <v>42</v>
      </c>
      <c r="CK63" s="9" t="s">
        <v>148</v>
      </c>
      <c r="CQ63" s="72">
        <f t="shared" si="173"/>
        <v>0</v>
      </c>
      <c r="CR63" s="72">
        <f t="shared" si="174"/>
        <v>0</v>
      </c>
      <c r="CS63" s="72">
        <f t="shared" si="175"/>
        <v>0</v>
      </c>
      <c r="CT63" s="72">
        <f t="shared" si="176"/>
        <v>0</v>
      </c>
      <c r="CU63" s="72">
        <f t="shared" si="177"/>
        <v>0</v>
      </c>
      <c r="CV63" s="9" t="s">
        <v>42</v>
      </c>
      <c r="CW63" s="101">
        <f t="shared" si="178"/>
        <v>0</v>
      </c>
      <c r="CX63" s="9" t="s">
        <v>153</v>
      </c>
      <c r="CY63" s="9" t="s">
        <v>422</v>
      </c>
    </row>
    <row r="64" spans="2:103" s="1" customFormat="1" ht="44.25" customHeight="1">
      <c r="B64" s="73"/>
      <c r="C64" s="93"/>
      <c r="D64" s="93" t="s">
        <v>149</v>
      </c>
      <c r="E64" s="94" t="s">
        <v>420</v>
      </c>
      <c r="F64" s="498" t="s">
        <v>421</v>
      </c>
      <c r="G64" s="498"/>
      <c r="H64" s="498"/>
      <c r="I64" s="498"/>
      <c r="J64" s="95" t="s">
        <v>396</v>
      </c>
      <c r="K64" s="211">
        <f>-K31</f>
        <v>-1.5229999999999999</v>
      </c>
      <c r="L64" s="211">
        <f>-L31</f>
        <v>-1.5229999999999999</v>
      </c>
      <c r="M64" s="211">
        <f>-M31</f>
        <v>-4.5229999999999997</v>
      </c>
      <c r="N64" s="211">
        <f>-N31</f>
        <v>-4.5229999999999997</v>
      </c>
      <c r="O64" s="211">
        <f>-O31</f>
        <v>-5.5229999999999997</v>
      </c>
      <c r="P64" s="279">
        <f t="shared" si="140"/>
        <v>-17.614999999999998</v>
      </c>
      <c r="Q64" s="211">
        <f>-Q31</f>
        <v>-1.5229999999999999</v>
      </c>
      <c r="R64" s="211">
        <f>-R31</f>
        <v>-1.5229999999999999</v>
      </c>
      <c r="S64" s="211">
        <f>-S31</f>
        <v>-4.5229999999999997</v>
      </c>
      <c r="T64" s="211">
        <f>-T31</f>
        <v>-4.5229999999999997</v>
      </c>
      <c r="U64" s="211">
        <f>-U31</f>
        <v>-5.5229999999999997</v>
      </c>
      <c r="V64" s="290">
        <f t="shared" si="141"/>
        <v>-17.614999999999998</v>
      </c>
      <c r="W64" s="289">
        <f t="shared" si="142"/>
        <v>1</v>
      </c>
      <c r="X64" s="277">
        <f t="shared" si="143"/>
        <v>0</v>
      </c>
      <c r="Y64" s="277">
        <f t="shared" si="144"/>
        <v>0</v>
      </c>
      <c r="Z64" s="277">
        <f t="shared" si="145"/>
        <v>0</v>
      </c>
      <c r="AA64" s="277">
        <f t="shared" si="146"/>
        <v>0</v>
      </c>
      <c r="AB64" s="277">
        <f t="shared" si="147"/>
        <v>0</v>
      </c>
      <c r="AC64" s="220">
        <f t="shared" si="148"/>
        <v>0</v>
      </c>
      <c r="AD64" s="289">
        <f t="shared" si="149"/>
        <v>0</v>
      </c>
      <c r="AE64" s="221">
        <v>81.569999999999993</v>
      </c>
      <c r="AF64" s="221">
        <v>81.569999999999993</v>
      </c>
      <c r="AG64" s="221">
        <v>81.569999999999993</v>
      </c>
      <c r="AH64" s="221">
        <v>81.569999999999993</v>
      </c>
      <c r="AI64" s="221">
        <v>81.569999999999993</v>
      </c>
      <c r="AJ64" s="211">
        <f t="shared" si="150"/>
        <v>-124.23099999999999</v>
      </c>
      <c r="AK64" s="211">
        <f t="shared" si="151"/>
        <v>-124.23099999999999</v>
      </c>
      <c r="AL64" s="211">
        <f t="shared" si="152"/>
        <v>-368.94099999999997</v>
      </c>
      <c r="AM64" s="211">
        <f t="shared" si="153"/>
        <v>-368.94099999999997</v>
      </c>
      <c r="AN64" s="211">
        <f t="shared" si="154"/>
        <v>-450.51100000000002</v>
      </c>
      <c r="AO64" s="295">
        <f t="shared" si="155"/>
        <v>-1436.855</v>
      </c>
      <c r="AP64" s="277">
        <f t="shared" si="156"/>
        <v>-124.23099999999999</v>
      </c>
      <c r="AQ64" s="277">
        <f t="shared" si="157"/>
        <v>-124.23099999999999</v>
      </c>
      <c r="AR64" s="277">
        <f t="shared" si="158"/>
        <v>-368.94099999999997</v>
      </c>
      <c r="AS64" s="277">
        <f t="shared" si="159"/>
        <v>-368.94099999999997</v>
      </c>
      <c r="AT64" s="277">
        <f t="shared" si="160"/>
        <v>-450.51100000000002</v>
      </c>
      <c r="AU64" s="211">
        <f t="shared" si="161"/>
        <v>-1436.855</v>
      </c>
      <c r="AV64" s="301">
        <f t="shared" si="162"/>
        <v>1</v>
      </c>
      <c r="AW64" s="277">
        <f t="shared" si="163"/>
        <v>0</v>
      </c>
      <c r="AX64" s="277">
        <f t="shared" si="164"/>
        <v>0</v>
      </c>
      <c r="AY64" s="277">
        <f t="shared" si="165"/>
        <v>0</v>
      </c>
      <c r="AZ64" s="277">
        <f t="shared" si="166"/>
        <v>0</v>
      </c>
      <c r="BA64" s="277">
        <f t="shared" si="167"/>
        <v>0</v>
      </c>
      <c r="BB64" s="211">
        <f t="shared" si="168"/>
        <v>0</v>
      </c>
      <c r="BC64" s="289">
        <f t="shared" si="169"/>
        <v>0</v>
      </c>
      <c r="BD64" s="74"/>
      <c r="BF64" s="98" t="s">
        <v>0</v>
      </c>
      <c r="BG64" s="18" t="s">
        <v>11</v>
      </c>
      <c r="BH64" s="205"/>
      <c r="BI64" s="99">
        <f t="shared" si="170"/>
        <v>0</v>
      </c>
      <c r="BJ64" s="99">
        <v>0</v>
      </c>
      <c r="BK64" s="99">
        <f t="shared" si="171"/>
        <v>0</v>
      </c>
      <c r="BL64" s="99">
        <v>0</v>
      </c>
      <c r="BM64" s="100">
        <f t="shared" si="172"/>
        <v>0</v>
      </c>
      <c r="BQ64" s="1">
        <v>78.430000000000007</v>
      </c>
      <c r="CD64" s="9" t="s">
        <v>153</v>
      </c>
      <c r="CF64" s="9" t="s">
        <v>149</v>
      </c>
      <c r="CG64" s="9" t="s">
        <v>42</v>
      </c>
      <c r="CK64" s="9" t="s">
        <v>148</v>
      </c>
      <c r="CQ64" s="72">
        <f t="shared" si="173"/>
        <v>0</v>
      </c>
      <c r="CR64" s="72">
        <f t="shared" si="174"/>
        <v>-124.23099999999999</v>
      </c>
      <c r="CS64" s="72">
        <f t="shared" si="175"/>
        <v>0</v>
      </c>
      <c r="CT64" s="72">
        <f t="shared" si="176"/>
        <v>0</v>
      </c>
      <c r="CU64" s="72">
        <f t="shared" si="177"/>
        <v>0</v>
      </c>
      <c r="CV64" s="9" t="s">
        <v>42</v>
      </c>
      <c r="CW64" s="101">
        <f t="shared" si="178"/>
        <v>-124.23099999999999</v>
      </c>
      <c r="CX64" s="9" t="s">
        <v>153</v>
      </c>
      <c r="CY64" s="9" t="s">
        <v>422</v>
      </c>
    </row>
    <row r="65" spans="2:103" s="1" customFormat="1" ht="42" customHeight="1">
      <c r="B65" s="73"/>
      <c r="C65" s="215" t="s">
        <v>1351</v>
      </c>
      <c r="D65" s="93" t="s">
        <v>149</v>
      </c>
      <c r="E65" s="94" t="s">
        <v>1365</v>
      </c>
      <c r="F65" s="498" t="s">
        <v>1364</v>
      </c>
      <c r="G65" s="498"/>
      <c r="H65" s="498"/>
      <c r="I65" s="498"/>
      <c r="J65" s="95" t="s">
        <v>396</v>
      </c>
      <c r="K65" s="211">
        <f>(19.2+15.8+8.05+2.6+10.55+13.2+3.6-2.4)*0.6*0.21</f>
        <v>8.8955999999999982</v>
      </c>
      <c r="L65" s="211">
        <f>(19.2+15.8+8.05+2.6+10.55+13.2+3.6-2.4)*0.6*0.21</f>
        <v>8.8955999999999982</v>
      </c>
      <c r="M65" s="211">
        <v>9.7970000000000006</v>
      </c>
      <c r="N65" s="211">
        <f>(26.72+3.55+5.75+8.22)*1.6*0.35</f>
        <v>24.774399999999996</v>
      </c>
      <c r="O65" s="211">
        <f>(14.9+7.1+10.265+10.265)*0.6*0.21</f>
        <v>5.3587800000000003</v>
      </c>
      <c r="P65" s="279">
        <f t="shared" si="140"/>
        <v>57.721379999999996</v>
      </c>
      <c r="Q65" s="277">
        <v>7.87</v>
      </c>
      <c r="R65" s="277">
        <v>7.87</v>
      </c>
      <c r="S65" s="277">
        <v>9.09</v>
      </c>
      <c r="T65" s="277">
        <v>7.8440000000000003</v>
      </c>
      <c r="U65" s="277">
        <f>(14.9+7.1+10.265+10.265)*0.6*0.21</f>
        <v>5.3587800000000003</v>
      </c>
      <c r="V65" s="290">
        <f t="shared" si="141"/>
        <v>38.032780000000002</v>
      </c>
      <c r="W65" s="289">
        <f t="shared" si="142"/>
        <v>0.65890281902477044</v>
      </c>
      <c r="X65" s="277">
        <f t="shared" si="143"/>
        <v>1.0255999999999981</v>
      </c>
      <c r="Y65" s="277">
        <f t="shared" si="144"/>
        <v>1.0255999999999981</v>
      </c>
      <c r="Z65" s="277">
        <f t="shared" si="145"/>
        <v>0.70700000000000074</v>
      </c>
      <c r="AA65" s="277">
        <f t="shared" si="146"/>
        <v>16.930399999999995</v>
      </c>
      <c r="AB65" s="277">
        <f t="shared" si="147"/>
        <v>0</v>
      </c>
      <c r="AC65" s="220">
        <f t="shared" si="148"/>
        <v>19.688599999999994</v>
      </c>
      <c r="AD65" s="289">
        <f t="shared" si="149"/>
        <v>0.34109718097522956</v>
      </c>
      <c r="AE65" s="221">
        <v>125.151</v>
      </c>
      <c r="AF65" s="221">
        <v>125.151</v>
      </c>
      <c r="AG65" s="221">
        <v>125.151</v>
      </c>
      <c r="AH65" s="221">
        <v>125.151</v>
      </c>
      <c r="AI65" s="221">
        <v>125.151</v>
      </c>
      <c r="AJ65" s="211">
        <f t="shared" si="150"/>
        <v>1113.2929999999999</v>
      </c>
      <c r="AK65" s="211">
        <f t="shared" si="151"/>
        <v>1113.2929999999999</v>
      </c>
      <c r="AL65" s="211">
        <f t="shared" si="152"/>
        <v>1226.104</v>
      </c>
      <c r="AM65" s="211">
        <f t="shared" si="153"/>
        <v>3100.5410000000002</v>
      </c>
      <c r="AN65" s="211">
        <f t="shared" si="154"/>
        <v>670.65700000000004</v>
      </c>
      <c r="AO65" s="295">
        <f t="shared" si="155"/>
        <v>7223.8879999999999</v>
      </c>
      <c r="AP65" s="277">
        <f t="shared" si="156"/>
        <v>984.93799999999999</v>
      </c>
      <c r="AQ65" s="277">
        <f t="shared" si="157"/>
        <v>984.93799999999999</v>
      </c>
      <c r="AR65" s="277">
        <f t="shared" si="158"/>
        <v>1137.623</v>
      </c>
      <c r="AS65" s="277">
        <f t="shared" si="159"/>
        <v>981.68399999999997</v>
      </c>
      <c r="AT65" s="277">
        <f t="shared" si="160"/>
        <v>670.65700000000004</v>
      </c>
      <c r="AU65" s="211">
        <f t="shared" si="161"/>
        <v>4759.84</v>
      </c>
      <c r="AV65" s="301">
        <f t="shared" si="162"/>
        <v>0.65890279583515143</v>
      </c>
      <c r="AW65" s="277">
        <f t="shared" si="163"/>
        <v>128.3549999999999</v>
      </c>
      <c r="AX65" s="277">
        <f t="shared" si="164"/>
        <v>128.3549999999999</v>
      </c>
      <c r="AY65" s="277">
        <f t="shared" si="165"/>
        <v>88.480999999999995</v>
      </c>
      <c r="AZ65" s="277">
        <f t="shared" si="166"/>
        <v>2118.857</v>
      </c>
      <c r="BA65" s="277">
        <f t="shared" si="167"/>
        <v>0</v>
      </c>
      <c r="BB65" s="211">
        <f t="shared" si="168"/>
        <v>2464.0479999999998</v>
      </c>
      <c r="BC65" s="289">
        <f t="shared" si="169"/>
        <v>0.34109720416484862</v>
      </c>
      <c r="BD65" s="74"/>
      <c r="BF65" s="98" t="s">
        <v>0</v>
      </c>
      <c r="BG65" s="18" t="s">
        <v>11</v>
      </c>
      <c r="BH65" s="209"/>
      <c r="BI65" s="99">
        <f t="shared" si="170"/>
        <v>0</v>
      </c>
      <c r="BJ65" s="99">
        <v>0</v>
      </c>
      <c r="BK65" s="99">
        <f t="shared" si="171"/>
        <v>0</v>
      </c>
      <c r="BL65" s="99">
        <v>0</v>
      </c>
      <c r="BM65" s="100">
        <f t="shared" si="172"/>
        <v>0</v>
      </c>
      <c r="BQ65" s="1">
        <v>98.72</v>
      </c>
      <c r="CD65" s="9" t="s">
        <v>153</v>
      </c>
      <c r="CF65" s="9" t="s">
        <v>149</v>
      </c>
      <c r="CG65" s="9" t="s">
        <v>42</v>
      </c>
      <c r="CK65" s="9" t="s">
        <v>148</v>
      </c>
      <c r="CQ65" s="72">
        <f t="shared" si="173"/>
        <v>0</v>
      </c>
      <c r="CR65" s="72">
        <f t="shared" si="174"/>
        <v>1113.2929999999999</v>
      </c>
      <c r="CS65" s="72">
        <f t="shared" si="175"/>
        <v>0</v>
      </c>
      <c r="CT65" s="72">
        <f t="shared" si="176"/>
        <v>0</v>
      </c>
      <c r="CU65" s="72">
        <f t="shared" si="177"/>
        <v>0</v>
      </c>
      <c r="CV65" s="9" t="s">
        <v>42</v>
      </c>
      <c r="CW65" s="101">
        <f t="shared" si="178"/>
        <v>1113.2929999999999</v>
      </c>
      <c r="CX65" s="9" t="s">
        <v>153</v>
      </c>
      <c r="CY65" s="9" t="s">
        <v>409</v>
      </c>
    </row>
    <row r="66" spans="2:103" s="1" customFormat="1" ht="42" customHeight="1">
      <c r="B66" s="73"/>
      <c r="C66" s="215" t="s">
        <v>1351</v>
      </c>
      <c r="D66" s="93" t="s">
        <v>149</v>
      </c>
      <c r="E66" s="94" t="s">
        <v>1366</v>
      </c>
      <c r="F66" s="498" t="s">
        <v>1367</v>
      </c>
      <c r="G66" s="498"/>
      <c r="H66" s="498"/>
      <c r="I66" s="498"/>
      <c r="J66" s="95" t="s">
        <v>168</v>
      </c>
      <c r="K66" s="211">
        <f>(19.2+15.8+8.05+2.6+10.55+13.2+3.6-2.4)*0.6*0.3</f>
        <v>12.707999999999997</v>
      </c>
      <c r="L66" s="211">
        <f>(19.2+15.8+8.05+2.6+10.55+13.2+3.6-2.4)*0.6*0.3</f>
        <v>12.707999999999997</v>
      </c>
      <c r="M66" s="211">
        <v>13.26</v>
      </c>
      <c r="N66" s="211">
        <v>38.9</v>
      </c>
      <c r="O66" s="211">
        <f>(14.9+7.1+10.265+10.265)*0.6*0.3</f>
        <v>7.6554000000000002</v>
      </c>
      <c r="P66" s="279">
        <f t="shared" si="140"/>
        <v>85.231399999999994</v>
      </c>
      <c r="Q66" s="277">
        <v>0</v>
      </c>
      <c r="R66" s="277">
        <v>12.69</v>
      </c>
      <c r="S66" s="277">
        <v>2.4</v>
      </c>
      <c r="T66" s="277">
        <v>0</v>
      </c>
      <c r="U66" s="277">
        <v>1.08</v>
      </c>
      <c r="V66" s="290">
        <f t="shared" si="141"/>
        <v>16.170000000000002</v>
      </c>
      <c r="W66" s="289">
        <f t="shared" si="142"/>
        <v>0.18971881255030426</v>
      </c>
      <c r="X66" s="277">
        <f t="shared" si="143"/>
        <v>12.707999999999997</v>
      </c>
      <c r="Y66" s="277">
        <f t="shared" si="144"/>
        <v>1.7999999999997129E-2</v>
      </c>
      <c r="Z66" s="277">
        <f t="shared" si="145"/>
        <v>10.86</v>
      </c>
      <c r="AA66" s="277">
        <f t="shared" si="146"/>
        <v>38.9</v>
      </c>
      <c r="AB66" s="277">
        <f t="shared" si="147"/>
        <v>6.5754000000000001</v>
      </c>
      <c r="AC66" s="220">
        <f t="shared" si="148"/>
        <v>69.061399999999992</v>
      </c>
      <c r="AD66" s="289">
        <f t="shared" si="149"/>
        <v>0.81028118744969568</v>
      </c>
      <c r="AE66" s="221">
        <v>91.143000000000001</v>
      </c>
      <c r="AF66" s="221">
        <v>91.143000000000001</v>
      </c>
      <c r="AG66" s="221">
        <v>91.143000000000001</v>
      </c>
      <c r="AH66" s="221">
        <v>91.143000000000001</v>
      </c>
      <c r="AI66" s="221">
        <v>91.143000000000001</v>
      </c>
      <c r="AJ66" s="211">
        <f t="shared" si="150"/>
        <v>1158.2449999999999</v>
      </c>
      <c r="AK66" s="211">
        <f t="shared" si="151"/>
        <v>1158.2449999999999</v>
      </c>
      <c r="AL66" s="211">
        <f t="shared" si="152"/>
        <v>1208.556</v>
      </c>
      <c r="AM66" s="211">
        <f t="shared" si="153"/>
        <v>3545.4630000000002</v>
      </c>
      <c r="AN66" s="211">
        <f t="shared" si="154"/>
        <v>697.73599999999999</v>
      </c>
      <c r="AO66" s="295">
        <f t="shared" si="155"/>
        <v>7768.2449999999999</v>
      </c>
      <c r="AP66" s="277">
        <f t="shared" si="156"/>
        <v>0</v>
      </c>
      <c r="AQ66" s="277">
        <f t="shared" si="157"/>
        <v>1156.605</v>
      </c>
      <c r="AR66" s="277">
        <f t="shared" si="158"/>
        <v>218.74299999999999</v>
      </c>
      <c r="AS66" s="277">
        <f t="shared" si="159"/>
        <v>0</v>
      </c>
      <c r="AT66" s="277">
        <f t="shared" si="160"/>
        <v>98.433999999999997</v>
      </c>
      <c r="AU66" s="211">
        <f t="shared" si="161"/>
        <v>1473.7819999999999</v>
      </c>
      <c r="AV66" s="301">
        <f t="shared" si="162"/>
        <v>0.18971878461608765</v>
      </c>
      <c r="AW66" s="277">
        <f t="shared" si="163"/>
        <v>1158.2449999999999</v>
      </c>
      <c r="AX66" s="277">
        <f t="shared" si="164"/>
        <v>1.6399999999998727</v>
      </c>
      <c r="AY66" s="277">
        <f t="shared" si="165"/>
        <v>989.8130000000001</v>
      </c>
      <c r="AZ66" s="277">
        <f t="shared" si="166"/>
        <v>3545.4630000000002</v>
      </c>
      <c r="BA66" s="277">
        <f t="shared" si="167"/>
        <v>599.30200000000002</v>
      </c>
      <c r="BB66" s="211">
        <f t="shared" si="168"/>
        <v>6294.4629999999997</v>
      </c>
      <c r="BC66" s="289">
        <f t="shared" si="169"/>
        <v>0.81028121538391229</v>
      </c>
      <c r="BD66" s="74"/>
      <c r="BF66" s="98" t="s">
        <v>0</v>
      </c>
      <c r="BG66" s="18" t="s">
        <v>11</v>
      </c>
      <c r="BH66" s="209"/>
      <c r="BI66" s="99">
        <f t="shared" si="170"/>
        <v>0</v>
      </c>
      <c r="BJ66" s="99">
        <v>0</v>
      </c>
      <c r="BK66" s="99">
        <f t="shared" si="171"/>
        <v>0</v>
      </c>
      <c r="BL66" s="99">
        <v>0</v>
      </c>
      <c r="BM66" s="100">
        <f t="shared" si="172"/>
        <v>0</v>
      </c>
      <c r="BQ66" s="1">
        <v>98.72</v>
      </c>
      <c r="CD66" s="9" t="s">
        <v>153</v>
      </c>
      <c r="CF66" s="9" t="s">
        <v>149</v>
      </c>
      <c r="CG66" s="9" t="s">
        <v>42</v>
      </c>
      <c r="CK66" s="9" t="s">
        <v>148</v>
      </c>
      <c r="CQ66" s="72">
        <f t="shared" si="173"/>
        <v>0</v>
      </c>
      <c r="CR66" s="72">
        <f t="shared" si="174"/>
        <v>1158.2449999999999</v>
      </c>
      <c r="CS66" s="72">
        <f t="shared" si="175"/>
        <v>0</v>
      </c>
      <c r="CT66" s="72">
        <f t="shared" si="176"/>
        <v>0</v>
      </c>
      <c r="CU66" s="72">
        <f t="shared" si="177"/>
        <v>0</v>
      </c>
      <c r="CV66" s="9" t="s">
        <v>42</v>
      </c>
      <c r="CW66" s="101">
        <f t="shared" si="178"/>
        <v>1158.2449999999999</v>
      </c>
      <c r="CX66" s="9" t="s">
        <v>153</v>
      </c>
      <c r="CY66" s="9" t="s">
        <v>409</v>
      </c>
    </row>
    <row r="67" spans="2:103" s="1" customFormat="1" ht="31.5" customHeight="1">
      <c r="B67" s="73"/>
      <c r="C67" s="93"/>
      <c r="D67" s="93" t="s">
        <v>149</v>
      </c>
      <c r="E67" s="94" t="s">
        <v>150</v>
      </c>
      <c r="F67" s="498" t="s">
        <v>151</v>
      </c>
      <c r="G67" s="498"/>
      <c r="H67" s="498"/>
      <c r="I67" s="498"/>
      <c r="J67" s="95" t="s">
        <v>152</v>
      </c>
      <c r="K67" s="211">
        <f>24.017-K33</f>
        <v>18.533999999999999</v>
      </c>
      <c r="L67" s="211">
        <f>22.797-L33</f>
        <v>17.314</v>
      </c>
      <c r="M67" s="211">
        <f>28.257-M33</f>
        <v>19.774000000000001</v>
      </c>
      <c r="N67" s="211">
        <f>39.9-N33</f>
        <v>31.416999999999998</v>
      </c>
      <c r="O67" s="211">
        <f>O65*2.3-O33</f>
        <v>6.8421940000000001</v>
      </c>
      <c r="P67" s="279">
        <f t="shared" si="140"/>
        <v>93.881194000000008</v>
      </c>
      <c r="Q67" s="277">
        <f>$Q$65*2.2-Q33</f>
        <v>11.831</v>
      </c>
      <c r="R67" s="277">
        <f>$R$65*2.2-R33</f>
        <v>11.831</v>
      </c>
      <c r="S67" s="277">
        <f>S65*2.2-S33</f>
        <v>11.515000000000001</v>
      </c>
      <c r="T67" s="277">
        <f>T65*2.2-T33</f>
        <v>8.7738000000000014</v>
      </c>
      <c r="U67" s="277">
        <f>U65*2.2-U33</f>
        <v>6.3063160000000016</v>
      </c>
      <c r="V67" s="290">
        <f t="shared" si="141"/>
        <v>50.257116000000003</v>
      </c>
      <c r="W67" s="289">
        <f t="shared" si="142"/>
        <v>0.53532676629570775</v>
      </c>
      <c r="X67" s="277">
        <f t="shared" si="143"/>
        <v>6.7029999999999994</v>
      </c>
      <c r="Y67" s="277">
        <f t="shared" si="144"/>
        <v>5.4830000000000005</v>
      </c>
      <c r="Z67" s="277">
        <f t="shared" si="145"/>
        <v>8.2590000000000003</v>
      </c>
      <c r="AA67" s="277">
        <f t="shared" si="146"/>
        <v>22.643199999999997</v>
      </c>
      <c r="AB67" s="277">
        <f t="shared" si="147"/>
        <v>0.53587799999999852</v>
      </c>
      <c r="AC67" s="220">
        <f t="shared" si="148"/>
        <v>43.624077999999997</v>
      </c>
      <c r="AD67" s="289">
        <f t="shared" si="149"/>
        <v>0.4646732337042922</v>
      </c>
      <c r="AE67" s="221">
        <v>10.36</v>
      </c>
      <c r="AF67" s="221">
        <v>10.36</v>
      </c>
      <c r="AG67" s="221">
        <v>10.36</v>
      </c>
      <c r="AH67" s="221">
        <v>10.36</v>
      </c>
      <c r="AI67" s="221">
        <v>10.36</v>
      </c>
      <c r="AJ67" s="211">
        <f t="shared" si="150"/>
        <v>192.012</v>
      </c>
      <c r="AK67" s="211">
        <f t="shared" si="151"/>
        <v>179.37299999999999</v>
      </c>
      <c r="AL67" s="211">
        <f t="shared" si="152"/>
        <v>204.85900000000001</v>
      </c>
      <c r="AM67" s="211">
        <f t="shared" si="153"/>
        <v>325.48</v>
      </c>
      <c r="AN67" s="211">
        <f t="shared" si="154"/>
        <v>70.885000000000005</v>
      </c>
      <c r="AO67" s="295">
        <f t="shared" si="155"/>
        <v>972.60900000000004</v>
      </c>
      <c r="AP67" s="277">
        <f t="shared" si="156"/>
        <v>122.569</v>
      </c>
      <c r="AQ67" s="277">
        <f t="shared" si="157"/>
        <v>122.569</v>
      </c>
      <c r="AR67" s="277">
        <f t="shared" si="158"/>
        <v>119.295</v>
      </c>
      <c r="AS67" s="277">
        <f t="shared" si="159"/>
        <v>90.897000000000006</v>
      </c>
      <c r="AT67" s="277">
        <f t="shared" si="160"/>
        <v>65.332999999999998</v>
      </c>
      <c r="AU67" s="211">
        <f t="shared" si="161"/>
        <v>520.66300000000001</v>
      </c>
      <c r="AV67" s="301">
        <f t="shared" si="162"/>
        <v>0.53532611768963678</v>
      </c>
      <c r="AW67" s="277">
        <f t="shared" si="163"/>
        <v>69.442999999999998</v>
      </c>
      <c r="AX67" s="277">
        <f t="shared" si="164"/>
        <v>56.803999999999988</v>
      </c>
      <c r="AY67" s="277">
        <f t="shared" si="165"/>
        <v>85.564000000000007</v>
      </c>
      <c r="AZ67" s="277">
        <f t="shared" si="166"/>
        <v>234.58300000000003</v>
      </c>
      <c r="BA67" s="277">
        <f t="shared" si="167"/>
        <v>5.5520000000000067</v>
      </c>
      <c r="BB67" s="211">
        <f t="shared" si="168"/>
        <v>451.94600000000003</v>
      </c>
      <c r="BC67" s="289">
        <f t="shared" si="169"/>
        <v>0.46467388231036316</v>
      </c>
      <c r="BD67" s="74"/>
      <c r="BF67" s="98" t="s">
        <v>0</v>
      </c>
      <c r="BG67" s="18" t="s">
        <v>11</v>
      </c>
      <c r="BH67" s="205"/>
      <c r="BI67" s="99">
        <f t="shared" si="170"/>
        <v>0</v>
      </c>
      <c r="BJ67" s="99">
        <v>0</v>
      </c>
      <c r="BK67" s="99">
        <f t="shared" si="171"/>
        <v>0</v>
      </c>
      <c r="BL67" s="99">
        <v>0</v>
      </c>
      <c r="BM67" s="100">
        <f t="shared" si="172"/>
        <v>0</v>
      </c>
      <c r="BQ67" s="1">
        <v>9.9600000000000009</v>
      </c>
      <c r="CD67" s="9" t="s">
        <v>153</v>
      </c>
      <c r="CF67" s="9" t="s">
        <v>149</v>
      </c>
      <c r="CG67" s="9" t="s">
        <v>42</v>
      </c>
      <c r="CK67" s="9" t="s">
        <v>148</v>
      </c>
      <c r="CQ67" s="72">
        <f t="shared" si="173"/>
        <v>0</v>
      </c>
      <c r="CR67" s="72">
        <f t="shared" si="174"/>
        <v>192.012</v>
      </c>
      <c r="CS67" s="72">
        <f t="shared" si="175"/>
        <v>0</v>
      </c>
      <c r="CT67" s="72">
        <f t="shared" si="176"/>
        <v>0</v>
      </c>
      <c r="CU67" s="72">
        <f t="shared" si="177"/>
        <v>0</v>
      </c>
      <c r="CV67" s="9" t="s">
        <v>42</v>
      </c>
      <c r="CW67" s="101">
        <f t="shared" si="178"/>
        <v>192.012</v>
      </c>
      <c r="CX67" s="9" t="s">
        <v>153</v>
      </c>
      <c r="CY67" s="9" t="s">
        <v>426</v>
      </c>
    </row>
    <row r="68" spans="2:103" s="1" customFormat="1" ht="31.5" customHeight="1">
      <c r="B68" s="73"/>
      <c r="C68" s="93"/>
      <c r="D68" s="93" t="s">
        <v>149</v>
      </c>
      <c r="E68" s="94" t="s">
        <v>154</v>
      </c>
      <c r="F68" s="498" t="s">
        <v>155</v>
      </c>
      <c r="G68" s="498"/>
      <c r="H68" s="498"/>
      <c r="I68" s="498"/>
      <c r="J68" s="95" t="s">
        <v>152</v>
      </c>
      <c r="K68" s="211">
        <f>24.017-K34</f>
        <v>18.533999999999999</v>
      </c>
      <c r="L68" s="211">
        <f>22.797-L34</f>
        <v>17.314</v>
      </c>
      <c r="M68" s="211">
        <f>28.257-M34</f>
        <v>19.774000000000001</v>
      </c>
      <c r="N68" s="211">
        <f>39.89-N34</f>
        <v>31.407</v>
      </c>
      <c r="O68" s="211">
        <f>O65*2.3-O34</f>
        <v>6.8421940000000001</v>
      </c>
      <c r="P68" s="279">
        <f t="shared" si="140"/>
        <v>93.871194000000003</v>
      </c>
      <c r="Q68" s="277">
        <f>$Q$65*2.2-Q34</f>
        <v>11.831</v>
      </c>
      <c r="R68" s="277">
        <f>$R$65*2.2-R34</f>
        <v>11.831</v>
      </c>
      <c r="S68" s="277">
        <f>S67</f>
        <v>11.515000000000001</v>
      </c>
      <c r="T68" s="277">
        <f>T67</f>
        <v>8.7738000000000014</v>
      </c>
      <c r="U68" s="277">
        <f>U67</f>
        <v>6.3063160000000016</v>
      </c>
      <c r="V68" s="290">
        <f t="shared" si="141"/>
        <v>50.257116000000003</v>
      </c>
      <c r="W68" s="289">
        <f t="shared" si="142"/>
        <v>0.53538379409555614</v>
      </c>
      <c r="X68" s="277">
        <f t="shared" si="143"/>
        <v>6.7029999999999994</v>
      </c>
      <c r="Y68" s="277">
        <f t="shared" si="144"/>
        <v>5.4830000000000005</v>
      </c>
      <c r="Z68" s="277">
        <f t="shared" si="145"/>
        <v>8.2590000000000003</v>
      </c>
      <c r="AA68" s="277">
        <f t="shared" si="146"/>
        <v>22.633199999999999</v>
      </c>
      <c r="AB68" s="277">
        <f t="shared" si="147"/>
        <v>0.53587799999999852</v>
      </c>
      <c r="AC68" s="220">
        <f t="shared" si="148"/>
        <v>43.614077999999992</v>
      </c>
      <c r="AD68" s="289">
        <f t="shared" si="149"/>
        <v>0.4646162059044438</v>
      </c>
      <c r="AE68" s="221">
        <v>12.21</v>
      </c>
      <c r="AF68" s="221">
        <v>12.21</v>
      </c>
      <c r="AG68" s="221">
        <v>12.21</v>
      </c>
      <c r="AH68" s="221">
        <v>12.21</v>
      </c>
      <c r="AI68" s="221">
        <v>12.21</v>
      </c>
      <c r="AJ68" s="211">
        <f t="shared" si="150"/>
        <v>226.3</v>
      </c>
      <c r="AK68" s="211">
        <f t="shared" si="151"/>
        <v>211.404</v>
      </c>
      <c r="AL68" s="211">
        <f t="shared" si="152"/>
        <v>241.441</v>
      </c>
      <c r="AM68" s="211">
        <f t="shared" si="153"/>
        <v>383.47899999999998</v>
      </c>
      <c r="AN68" s="211">
        <f t="shared" si="154"/>
        <v>83.543000000000006</v>
      </c>
      <c r="AO68" s="295">
        <f t="shared" si="155"/>
        <v>1146.1669999999999</v>
      </c>
      <c r="AP68" s="277">
        <f t="shared" si="156"/>
        <v>144.45699999999999</v>
      </c>
      <c r="AQ68" s="277">
        <f t="shared" si="157"/>
        <v>144.45699999999999</v>
      </c>
      <c r="AR68" s="277">
        <f t="shared" si="158"/>
        <v>140.59800000000001</v>
      </c>
      <c r="AS68" s="277">
        <f t="shared" si="159"/>
        <v>107.128</v>
      </c>
      <c r="AT68" s="277">
        <f t="shared" si="160"/>
        <v>77</v>
      </c>
      <c r="AU68" s="211">
        <f t="shared" si="161"/>
        <v>613.64</v>
      </c>
      <c r="AV68" s="301">
        <f t="shared" si="162"/>
        <v>0.53538445968170434</v>
      </c>
      <c r="AW68" s="277">
        <f t="shared" si="163"/>
        <v>81.843000000000018</v>
      </c>
      <c r="AX68" s="277">
        <f t="shared" si="164"/>
        <v>66.947000000000003</v>
      </c>
      <c r="AY68" s="277">
        <f t="shared" si="165"/>
        <v>100.84299999999999</v>
      </c>
      <c r="AZ68" s="277">
        <f t="shared" si="166"/>
        <v>276.351</v>
      </c>
      <c r="BA68" s="277">
        <f t="shared" si="167"/>
        <v>6.5430000000000064</v>
      </c>
      <c r="BB68" s="211">
        <f t="shared" si="168"/>
        <v>532.52700000000004</v>
      </c>
      <c r="BC68" s="289">
        <f t="shared" si="169"/>
        <v>0.46461554031829577</v>
      </c>
      <c r="BD68" s="74"/>
      <c r="BF68" s="98" t="s">
        <v>0</v>
      </c>
      <c r="BG68" s="18" t="s">
        <v>11</v>
      </c>
      <c r="BH68" s="205"/>
      <c r="BI68" s="99">
        <f t="shared" si="170"/>
        <v>0</v>
      </c>
      <c r="BJ68" s="99">
        <v>0</v>
      </c>
      <c r="BK68" s="99">
        <f t="shared" si="171"/>
        <v>0</v>
      </c>
      <c r="BL68" s="99">
        <v>0</v>
      </c>
      <c r="BM68" s="100">
        <f t="shared" si="172"/>
        <v>0</v>
      </c>
      <c r="BQ68" s="1">
        <v>11.74</v>
      </c>
      <c r="CD68" s="9" t="s">
        <v>153</v>
      </c>
      <c r="CF68" s="9" t="s">
        <v>149</v>
      </c>
      <c r="CG68" s="9" t="s">
        <v>42</v>
      </c>
      <c r="CK68" s="9" t="s">
        <v>148</v>
      </c>
      <c r="CQ68" s="72">
        <f t="shared" si="173"/>
        <v>0</v>
      </c>
      <c r="CR68" s="72">
        <f t="shared" si="174"/>
        <v>226.3</v>
      </c>
      <c r="CS68" s="72">
        <f t="shared" si="175"/>
        <v>0</v>
      </c>
      <c r="CT68" s="72">
        <f t="shared" si="176"/>
        <v>0</v>
      </c>
      <c r="CU68" s="72">
        <f t="shared" si="177"/>
        <v>0</v>
      </c>
      <c r="CV68" s="9" t="s">
        <v>42</v>
      </c>
      <c r="CW68" s="101">
        <f t="shared" si="178"/>
        <v>226.3</v>
      </c>
      <c r="CX68" s="9" t="s">
        <v>153</v>
      </c>
      <c r="CY68" s="9" t="s">
        <v>427</v>
      </c>
    </row>
    <row r="69" spans="2:103" s="1" customFormat="1" ht="31.5" customHeight="1">
      <c r="B69" s="73"/>
      <c r="C69" s="93"/>
      <c r="D69" s="93" t="s">
        <v>149</v>
      </c>
      <c r="E69" s="94" t="s">
        <v>157</v>
      </c>
      <c r="F69" s="498" t="s">
        <v>158</v>
      </c>
      <c r="G69" s="498"/>
      <c r="H69" s="498"/>
      <c r="I69" s="498"/>
      <c r="J69" s="95" t="s">
        <v>152</v>
      </c>
      <c r="K69" s="211">
        <f>K65*2.3*10-K35</f>
        <v>155.25179999999995</v>
      </c>
      <c r="L69" s="211">
        <f>22.797*10-L35</f>
        <v>178.62299999999999</v>
      </c>
      <c r="M69" s="211">
        <f>28.257*10-M35</f>
        <v>233.22299999999998</v>
      </c>
      <c r="N69" s="211">
        <f>39.89*10-N35</f>
        <v>349.553</v>
      </c>
      <c r="O69" s="211">
        <f>O65*2.3*10-O35</f>
        <v>73.904939999999982</v>
      </c>
      <c r="P69" s="279">
        <f t="shared" si="140"/>
        <v>990.5557399999999</v>
      </c>
      <c r="Q69" s="277">
        <f>$Q$65*2.2*10-Q35</f>
        <v>123.79299999999998</v>
      </c>
      <c r="R69" s="277">
        <f>$R$65*2.2*10-R35</f>
        <v>123.79299999999998</v>
      </c>
      <c r="S69" s="277">
        <f>$S$65*2.2*10-S35</f>
        <v>150.63300000000001</v>
      </c>
      <c r="T69" s="277">
        <f>$T$65*2.2*10-T35</f>
        <v>123.221</v>
      </c>
      <c r="U69" s="277">
        <f>$U$65*2.2*10-U35</f>
        <v>68.546160000000015</v>
      </c>
      <c r="V69" s="290">
        <f t="shared" si="141"/>
        <v>589.98615999999993</v>
      </c>
      <c r="W69" s="289">
        <f t="shared" si="142"/>
        <v>0.59561126767081274</v>
      </c>
      <c r="X69" s="277">
        <f t="shared" si="143"/>
        <v>31.458799999999968</v>
      </c>
      <c r="Y69" s="277">
        <f t="shared" si="144"/>
        <v>54.830000000000013</v>
      </c>
      <c r="Z69" s="277">
        <f t="shared" si="145"/>
        <v>82.589999999999975</v>
      </c>
      <c r="AA69" s="277">
        <f t="shared" si="146"/>
        <v>226.33199999999999</v>
      </c>
      <c r="AB69" s="277">
        <f t="shared" si="147"/>
        <v>5.3587799999999675</v>
      </c>
      <c r="AC69" s="220">
        <f t="shared" si="148"/>
        <v>400.56957999999992</v>
      </c>
      <c r="AD69" s="289">
        <f t="shared" si="149"/>
        <v>0.40438873232918721</v>
      </c>
      <c r="AE69" s="221">
        <v>0.51</v>
      </c>
      <c r="AF69" s="221">
        <v>0.51</v>
      </c>
      <c r="AG69" s="221">
        <v>0.51</v>
      </c>
      <c r="AH69" s="221">
        <v>0.51</v>
      </c>
      <c r="AI69" s="221">
        <v>0.51</v>
      </c>
      <c r="AJ69" s="211">
        <f t="shared" si="150"/>
        <v>79.177999999999997</v>
      </c>
      <c r="AK69" s="211">
        <f t="shared" si="151"/>
        <v>91.097999999999999</v>
      </c>
      <c r="AL69" s="211">
        <f t="shared" si="152"/>
        <v>118.944</v>
      </c>
      <c r="AM69" s="211">
        <f t="shared" si="153"/>
        <v>178.27199999999999</v>
      </c>
      <c r="AN69" s="211">
        <f t="shared" si="154"/>
        <v>37.692</v>
      </c>
      <c r="AO69" s="295">
        <f t="shared" si="155"/>
        <v>505.18400000000003</v>
      </c>
      <c r="AP69" s="277">
        <f t="shared" si="156"/>
        <v>63.134</v>
      </c>
      <c r="AQ69" s="277">
        <f t="shared" si="157"/>
        <v>63.134</v>
      </c>
      <c r="AR69" s="277">
        <f t="shared" si="158"/>
        <v>76.822999999999993</v>
      </c>
      <c r="AS69" s="277">
        <f t="shared" si="159"/>
        <v>62.843000000000004</v>
      </c>
      <c r="AT69" s="277">
        <f t="shared" si="160"/>
        <v>34.959000000000003</v>
      </c>
      <c r="AU69" s="211">
        <f t="shared" si="161"/>
        <v>300.89300000000003</v>
      </c>
      <c r="AV69" s="301">
        <f t="shared" si="162"/>
        <v>0.59561070817761452</v>
      </c>
      <c r="AW69" s="277">
        <f t="shared" si="163"/>
        <v>16.043999999999997</v>
      </c>
      <c r="AX69" s="277">
        <f t="shared" si="164"/>
        <v>27.963999999999999</v>
      </c>
      <c r="AY69" s="277">
        <f t="shared" si="165"/>
        <v>42.121000000000009</v>
      </c>
      <c r="AZ69" s="277">
        <f t="shared" si="166"/>
        <v>115.42899999999999</v>
      </c>
      <c r="BA69" s="277">
        <f t="shared" si="167"/>
        <v>2.732999999999997</v>
      </c>
      <c r="BB69" s="211">
        <f t="shared" si="168"/>
        <v>204.291</v>
      </c>
      <c r="BC69" s="289">
        <f t="shared" si="169"/>
        <v>0.40438929182238548</v>
      </c>
      <c r="BD69" s="74"/>
      <c r="BF69" s="98" t="s">
        <v>0</v>
      </c>
      <c r="BG69" s="18" t="s">
        <v>11</v>
      </c>
      <c r="BH69" s="205"/>
      <c r="BI69" s="99">
        <f t="shared" si="170"/>
        <v>0</v>
      </c>
      <c r="BJ69" s="99">
        <v>0</v>
      </c>
      <c r="BK69" s="99">
        <f t="shared" si="171"/>
        <v>0</v>
      </c>
      <c r="BL69" s="99">
        <v>0</v>
      </c>
      <c r="BM69" s="100">
        <f t="shared" si="172"/>
        <v>0</v>
      </c>
      <c r="BQ69" s="1">
        <v>0.49</v>
      </c>
      <c r="CD69" s="9" t="s">
        <v>153</v>
      </c>
      <c r="CF69" s="9" t="s">
        <v>149</v>
      </c>
      <c r="CG69" s="9" t="s">
        <v>42</v>
      </c>
      <c r="CK69" s="9" t="s">
        <v>148</v>
      </c>
      <c r="CQ69" s="72">
        <f t="shared" si="173"/>
        <v>0</v>
      </c>
      <c r="CR69" s="72">
        <f t="shared" si="174"/>
        <v>79.177999999999997</v>
      </c>
      <c r="CS69" s="72">
        <f t="shared" si="175"/>
        <v>0</v>
      </c>
      <c r="CT69" s="72">
        <f t="shared" si="176"/>
        <v>0</v>
      </c>
      <c r="CU69" s="72">
        <f t="shared" si="177"/>
        <v>0</v>
      </c>
      <c r="CV69" s="9" t="s">
        <v>42</v>
      </c>
      <c r="CW69" s="101">
        <f t="shared" si="178"/>
        <v>79.177999999999997</v>
      </c>
      <c r="CX69" s="9" t="s">
        <v>153</v>
      </c>
      <c r="CY69" s="9" t="s">
        <v>428</v>
      </c>
    </row>
    <row r="70" spans="2:103" s="1" customFormat="1" ht="31.5" customHeight="1">
      <c r="B70" s="73"/>
      <c r="C70" s="93"/>
      <c r="D70" s="93" t="s">
        <v>149</v>
      </c>
      <c r="E70" s="94" t="s">
        <v>160</v>
      </c>
      <c r="F70" s="498" t="s">
        <v>161</v>
      </c>
      <c r="G70" s="498"/>
      <c r="H70" s="498"/>
      <c r="I70" s="498"/>
      <c r="J70" s="95" t="s">
        <v>152</v>
      </c>
      <c r="K70" s="211">
        <f>24.017-K36</f>
        <v>18.533999999999999</v>
      </c>
      <c r="L70" s="211">
        <f>22.797-L36</f>
        <v>17.314</v>
      </c>
      <c r="M70" s="211">
        <f>28.257-M36</f>
        <v>22.774000000000001</v>
      </c>
      <c r="N70" s="211">
        <f>39.89-N36</f>
        <v>34.407000000000004</v>
      </c>
      <c r="O70" s="211">
        <f>O65*2.3-O36</f>
        <v>6.8421940000000001</v>
      </c>
      <c r="P70" s="279">
        <f t="shared" si="140"/>
        <v>99.871194000000003</v>
      </c>
      <c r="Q70" s="277">
        <f>$Q$65*2.2-Q36</f>
        <v>11.831</v>
      </c>
      <c r="R70" s="277">
        <f>$R$65*2.2-R36</f>
        <v>11.831</v>
      </c>
      <c r="S70" s="277">
        <f>$S$65*2.2-S36</f>
        <v>14.515000000000001</v>
      </c>
      <c r="T70" s="277">
        <f>$T$65*2.2-T36</f>
        <v>11.773800000000001</v>
      </c>
      <c r="U70" s="277">
        <f>$U$65*2.2-U36</f>
        <v>6.3063160000000016</v>
      </c>
      <c r="V70" s="290">
        <f t="shared" si="141"/>
        <v>56.257116000000003</v>
      </c>
      <c r="W70" s="289">
        <f t="shared" si="142"/>
        <v>0.56329671997312858</v>
      </c>
      <c r="X70" s="277">
        <f t="shared" si="143"/>
        <v>6.7029999999999994</v>
      </c>
      <c r="Y70" s="277">
        <f t="shared" si="144"/>
        <v>5.4830000000000005</v>
      </c>
      <c r="Z70" s="277">
        <f t="shared" si="145"/>
        <v>8.2590000000000003</v>
      </c>
      <c r="AA70" s="277">
        <f t="shared" si="146"/>
        <v>22.633200000000002</v>
      </c>
      <c r="AB70" s="277">
        <f t="shared" si="147"/>
        <v>0.53587799999999852</v>
      </c>
      <c r="AC70" s="220">
        <f t="shared" si="148"/>
        <v>43.614077999999999</v>
      </c>
      <c r="AD70" s="289">
        <f t="shared" si="149"/>
        <v>0.43670328002687137</v>
      </c>
      <c r="AE70" s="221">
        <v>47.25</v>
      </c>
      <c r="AF70" s="221">
        <v>47.25</v>
      </c>
      <c r="AG70" s="221">
        <v>47.25</v>
      </c>
      <c r="AH70" s="221">
        <v>47.25</v>
      </c>
      <c r="AI70" s="221">
        <v>47.25</v>
      </c>
      <c r="AJ70" s="211">
        <f t="shared" si="150"/>
        <v>875.73199999999997</v>
      </c>
      <c r="AK70" s="211">
        <f t="shared" si="151"/>
        <v>818.08699999999999</v>
      </c>
      <c r="AL70" s="211">
        <f t="shared" si="152"/>
        <v>1076.0719999999999</v>
      </c>
      <c r="AM70" s="211">
        <f t="shared" si="153"/>
        <v>1625.731</v>
      </c>
      <c r="AN70" s="211">
        <f t="shared" si="154"/>
        <v>323.29399999999998</v>
      </c>
      <c r="AO70" s="295">
        <f t="shared" si="155"/>
        <v>4718.9159999999993</v>
      </c>
      <c r="AP70" s="277">
        <f t="shared" si="156"/>
        <v>559.01499999999999</v>
      </c>
      <c r="AQ70" s="277">
        <f t="shared" si="157"/>
        <v>559.01499999999999</v>
      </c>
      <c r="AR70" s="277">
        <f t="shared" si="158"/>
        <v>685.83399999999995</v>
      </c>
      <c r="AS70" s="277">
        <f t="shared" si="159"/>
        <v>556.31200000000001</v>
      </c>
      <c r="AT70" s="277">
        <f t="shared" si="160"/>
        <v>297.97300000000001</v>
      </c>
      <c r="AU70" s="211">
        <f t="shared" si="161"/>
        <v>2658.1489999999999</v>
      </c>
      <c r="AV70" s="301">
        <f t="shared" si="162"/>
        <v>0.56329652827047572</v>
      </c>
      <c r="AW70" s="277">
        <f t="shared" si="163"/>
        <v>316.71699999999998</v>
      </c>
      <c r="AX70" s="277">
        <f t="shared" si="164"/>
        <v>259.072</v>
      </c>
      <c r="AY70" s="277">
        <f t="shared" si="165"/>
        <v>390.23799999999994</v>
      </c>
      <c r="AZ70" s="277">
        <f t="shared" si="166"/>
        <v>1069.4189999999999</v>
      </c>
      <c r="BA70" s="277">
        <f t="shared" si="167"/>
        <v>25.32099999999997</v>
      </c>
      <c r="BB70" s="211">
        <f t="shared" si="168"/>
        <v>2060.7669999999998</v>
      </c>
      <c r="BC70" s="289">
        <f t="shared" si="169"/>
        <v>0.43670347172952434</v>
      </c>
      <c r="BD70" s="74"/>
      <c r="BF70" s="98" t="s">
        <v>0</v>
      </c>
      <c r="BG70" s="18" t="s">
        <v>11</v>
      </c>
      <c r="BH70" s="205"/>
      <c r="BI70" s="99">
        <f t="shared" si="170"/>
        <v>0</v>
      </c>
      <c r="BJ70" s="99">
        <v>0</v>
      </c>
      <c r="BK70" s="99">
        <f t="shared" si="171"/>
        <v>0</v>
      </c>
      <c r="BL70" s="99">
        <v>0</v>
      </c>
      <c r="BM70" s="100">
        <f t="shared" si="172"/>
        <v>0</v>
      </c>
      <c r="BQ70" s="1">
        <v>45.43</v>
      </c>
      <c r="CD70" s="9" t="s">
        <v>153</v>
      </c>
      <c r="CF70" s="9" t="s">
        <v>149</v>
      </c>
      <c r="CG70" s="9" t="s">
        <v>42</v>
      </c>
      <c r="CK70" s="9" t="s">
        <v>148</v>
      </c>
      <c r="CQ70" s="72">
        <f t="shared" si="173"/>
        <v>0</v>
      </c>
      <c r="CR70" s="72">
        <f t="shared" si="174"/>
        <v>875.73199999999997</v>
      </c>
      <c r="CS70" s="72">
        <f t="shared" si="175"/>
        <v>0</v>
      </c>
      <c r="CT70" s="72">
        <f t="shared" si="176"/>
        <v>0</v>
      </c>
      <c r="CU70" s="72">
        <f t="shared" si="177"/>
        <v>0</v>
      </c>
      <c r="CV70" s="9" t="s">
        <v>42</v>
      </c>
      <c r="CW70" s="101">
        <f t="shared" si="178"/>
        <v>875.73199999999997</v>
      </c>
      <c r="CX70" s="9" t="s">
        <v>153</v>
      </c>
      <c r="CY70" s="9" t="s">
        <v>429</v>
      </c>
    </row>
    <row r="71" spans="2:103" s="1" customFormat="1" ht="27.75" customHeight="1">
      <c r="B71" s="73"/>
      <c r="C71" s="215" t="s">
        <v>1351</v>
      </c>
      <c r="D71" s="93" t="s">
        <v>149</v>
      </c>
      <c r="E71" s="94" t="s">
        <v>1368</v>
      </c>
      <c r="F71" s="498" t="s">
        <v>1369</v>
      </c>
      <c r="G71" s="498"/>
      <c r="H71" s="498"/>
      <c r="I71" s="498"/>
      <c r="J71" s="95" t="s">
        <v>396</v>
      </c>
      <c r="K71" s="211">
        <f>((19.2+15.8+8.05+2.6+10.55+13.2+3.6-2.4)*0.6*0.6-K50)*1.2</f>
        <v>2.899199999999992</v>
      </c>
      <c r="L71" s="211">
        <f>((19.2+15.8+8.05+2.6+10.55+13.2+3.6-2.4)*0.6*0.6-K50)*1.2</f>
        <v>2.899199999999992</v>
      </c>
      <c r="M71" s="211">
        <v>19.878</v>
      </c>
      <c r="N71" s="211">
        <f>((26.72+3.55+5.75+8.22)*1.6*1.6-N50)*1.2</f>
        <v>97.681919999999977</v>
      </c>
      <c r="O71" s="211">
        <f>((14.9+7.1+10.265+10.265)*0.6*0.6-O50)*1.2</f>
        <v>11.227919999999999</v>
      </c>
      <c r="P71" s="279">
        <f t="shared" si="140"/>
        <v>134.58623999999998</v>
      </c>
      <c r="Q71" s="277">
        <v>0</v>
      </c>
      <c r="R71" s="277">
        <v>0</v>
      </c>
      <c r="S71" s="277">
        <v>0</v>
      </c>
      <c r="T71" s="277">
        <v>0</v>
      </c>
      <c r="U71" s="277">
        <v>0</v>
      </c>
      <c r="V71" s="290">
        <f t="shared" si="141"/>
        <v>0</v>
      </c>
      <c r="W71" s="289">
        <f t="shared" si="142"/>
        <v>0</v>
      </c>
      <c r="X71" s="277">
        <f t="shared" si="143"/>
        <v>2.899199999999992</v>
      </c>
      <c r="Y71" s="277">
        <f t="shared" si="144"/>
        <v>2.899199999999992</v>
      </c>
      <c r="Z71" s="277">
        <f t="shared" si="145"/>
        <v>19.878</v>
      </c>
      <c r="AA71" s="277">
        <f t="shared" si="146"/>
        <v>97.681919999999977</v>
      </c>
      <c r="AB71" s="277">
        <f t="shared" si="147"/>
        <v>11.227919999999999</v>
      </c>
      <c r="AC71" s="220">
        <f t="shared" si="148"/>
        <v>134.58623999999998</v>
      </c>
      <c r="AD71" s="289">
        <f t="shared" si="149"/>
        <v>1</v>
      </c>
      <c r="AE71" s="221">
        <v>17.797000000000001</v>
      </c>
      <c r="AF71" s="221">
        <v>17.797000000000001</v>
      </c>
      <c r="AG71" s="221">
        <v>17.797000000000001</v>
      </c>
      <c r="AH71" s="221">
        <v>17.797000000000001</v>
      </c>
      <c r="AI71" s="221">
        <v>17.797000000000001</v>
      </c>
      <c r="AJ71" s="211">
        <f t="shared" si="150"/>
        <v>51.597000000000001</v>
      </c>
      <c r="AK71" s="211">
        <f t="shared" si="151"/>
        <v>51.597000000000001</v>
      </c>
      <c r="AL71" s="211">
        <f t="shared" si="152"/>
        <v>353.76900000000001</v>
      </c>
      <c r="AM71" s="211">
        <f t="shared" si="153"/>
        <v>1738.4449999999999</v>
      </c>
      <c r="AN71" s="211">
        <f t="shared" si="154"/>
        <v>199.82300000000001</v>
      </c>
      <c r="AO71" s="295">
        <f t="shared" si="155"/>
        <v>2395.2309999999998</v>
      </c>
      <c r="AP71" s="277">
        <f t="shared" si="156"/>
        <v>0</v>
      </c>
      <c r="AQ71" s="277">
        <f t="shared" si="157"/>
        <v>0</v>
      </c>
      <c r="AR71" s="277">
        <f t="shared" si="158"/>
        <v>0</v>
      </c>
      <c r="AS71" s="277">
        <f t="shared" si="159"/>
        <v>0</v>
      </c>
      <c r="AT71" s="277">
        <f t="shared" si="160"/>
        <v>0</v>
      </c>
      <c r="AU71" s="211">
        <f t="shared" si="161"/>
        <v>0</v>
      </c>
      <c r="AV71" s="301">
        <f t="shared" si="162"/>
        <v>0</v>
      </c>
      <c r="AW71" s="277">
        <f t="shared" si="163"/>
        <v>51.597000000000001</v>
      </c>
      <c r="AX71" s="277">
        <f t="shared" si="164"/>
        <v>51.597000000000001</v>
      </c>
      <c r="AY71" s="277">
        <f t="shared" si="165"/>
        <v>353.76900000000001</v>
      </c>
      <c r="AZ71" s="277">
        <f t="shared" si="166"/>
        <v>1738.4449999999999</v>
      </c>
      <c r="BA71" s="277">
        <f t="shared" si="167"/>
        <v>199.82300000000001</v>
      </c>
      <c r="BB71" s="211">
        <f t="shared" si="168"/>
        <v>2395.2309999999998</v>
      </c>
      <c r="BC71" s="289">
        <f t="shared" si="169"/>
        <v>1</v>
      </c>
      <c r="BD71" s="74"/>
      <c r="BF71" s="98" t="s">
        <v>0</v>
      </c>
      <c r="BG71" s="18" t="s">
        <v>11</v>
      </c>
      <c r="BH71" s="209"/>
      <c r="BI71" s="99">
        <f t="shared" si="170"/>
        <v>0</v>
      </c>
      <c r="BJ71" s="99">
        <v>0</v>
      </c>
      <c r="BK71" s="99">
        <f t="shared" si="171"/>
        <v>0</v>
      </c>
      <c r="BL71" s="99">
        <v>0</v>
      </c>
      <c r="BM71" s="100">
        <f t="shared" si="172"/>
        <v>0</v>
      </c>
      <c r="BQ71" s="1">
        <v>98.72</v>
      </c>
      <c r="CD71" s="9" t="s">
        <v>153</v>
      </c>
      <c r="CF71" s="9" t="s">
        <v>149</v>
      </c>
      <c r="CG71" s="9" t="s">
        <v>42</v>
      </c>
      <c r="CK71" s="9" t="s">
        <v>148</v>
      </c>
      <c r="CQ71" s="72">
        <f t="shared" si="173"/>
        <v>0</v>
      </c>
      <c r="CR71" s="72">
        <f t="shared" si="174"/>
        <v>51.597000000000001</v>
      </c>
      <c r="CS71" s="72">
        <f t="shared" si="175"/>
        <v>0</v>
      </c>
      <c r="CT71" s="72">
        <f t="shared" si="176"/>
        <v>0</v>
      </c>
      <c r="CU71" s="72">
        <f t="shared" si="177"/>
        <v>0</v>
      </c>
      <c r="CV71" s="9" t="s">
        <v>42</v>
      </c>
      <c r="CW71" s="101">
        <f t="shared" si="178"/>
        <v>51.597000000000001</v>
      </c>
      <c r="CX71" s="9" t="s">
        <v>153</v>
      </c>
      <c r="CY71" s="9" t="s">
        <v>409</v>
      </c>
    </row>
    <row r="72" spans="2:103" s="7" customFormat="1" ht="29.85" customHeight="1">
      <c r="B72" s="82"/>
      <c r="C72" s="83"/>
      <c r="D72" s="92" t="s">
        <v>129</v>
      </c>
      <c r="E72" s="92"/>
      <c r="F72" s="92"/>
      <c r="G72" s="92"/>
      <c r="H72" s="92"/>
      <c r="I72" s="92"/>
      <c r="J72" s="92"/>
      <c r="K72" s="219"/>
      <c r="L72" s="219"/>
      <c r="M72" s="219"/>
      <c r="N72" s="219"/>
      <c r="O72" s="219"/>
      <c r="P72" s="222"/>
      <c r="Q72" s="219"/>
      <c r="R72" s="219"/>
      <c r="S72" s="219"/>
      <c r="T72" s="219"/>
      <c r="U72" s="219"/>
      <c r="V72" s="222"/>
      <c r="W72" s="286"/>
      <c r="X72" s="219"/>
      <c r="Y72" s="219"/>
      <c r="Z72" s="219"/>
      <c r="AA72" s="219"/>
      <c r="AB72" s="219"/>
      <c r="AC72" s="222"/>
      <c r="AD72" s="286"/>
      <c r="AE72" s="219"/>
      <c r="AF72" s="219"/>
      <c r="AG72" s="219"/>
      <c r="AH72" s="219"/>
      <c r="AI72" s="219"/>
      <c r="AJ72" s="212">
        <f t="shared" ref="AJ72:BB72" si="179">SUM(AJ73)</f>
        <v>455.29899999999998</v>
      </c>
      <c r="AK72" s="212">
        <f t="shared" si="179"/>
        <v>455.29899999999998</v>
      </c>
      <c r="AL72" s="212">
        <f t="shared" si="179"/>
        <v>455.29899999999998</v>
      </c>
      <c r="AM72" s="212">
        <f t="shared" si="179"/>
        <v>984.55</v>
      </c>
      <c r="AN72" s="212">
        <f t="shared" si="179"/>
        <v>455.29899999999998</v>
      </c>
      <c r="AO72" s="296">
        <f t="shared" si="179"/>
        <v>2805.7460000000001</v>
      </c>
      <c r="AP72" s="212">
        <f t="shared" si="179"/>
        <v>0</v>
      </c>
      <c r="AQ72" s="212">
        <f t="shared" si="179"/>
        <v>0</v>
      </c>
      <c r="AR72" s="212">
        <f t="shared" si="179"/>
        <v>0</v>
      </c>
      <c r="AS72" s="212">
        <f t="shared" si="179"/>
        <v>0</v>
      </c>
      <c r="AT72" s="212">
        <f t="shared" si="179"/>
        <v>0</v>
      </c>
      <c r="AU72" s="212">
        <f t="shared" si="179"/>
        <v>0</v>
      </c>
      <c r="AV72" s="302"/>
      <c r="AW72" s="212">
        <f t="shared" si="179"/>
        <v>455.29899999999998</v>
      </c>
      <c r="AX72" s="212">
        <f t="shared" si="179"/>
        <v>455.29899999999998</v>
      </c>
      <c r="AY72" s="212">
        <f t="shared" si="179"/>
        <v>455.29899999999998</v>
      </c>
      <c r="AZ72" s="212">
        <f t="shared" si="179"/>
        <v>984.55</v>
      </c>
      <c r="BA72" s="212">
        <f t="shared" si="179"/>
        <v>455.29899999999998</v>
      </c>
      <c r="BB72" s="212">
        <f t="shared" si="179"/>
        <v>2805.7460000000001</v>
      </c>
      <c r="BC72" s="302"/>
      <c r="BD72" s="85"/>
      <c r="BF72" s="86"/>
      <c r="BG72" s="83"/>
      <c r="BH72" s="83"/>
      <c r="BI72" s="87">
        <f>BI73</f>
        <v>0</v>
      </c>
      <c r="BJ72" s="83"/>
      <c r="BK72" s="87">
        <f>BK73</f>
        <v>0</v>
      </c>
      <c r="BL72" s="83"/>
      <c r="BM72" s="88">
        <f>BM73</f>
        <v>0</v>
      </c>
      <c r="CD72" s="89" t="s">
        <v>38</v>
      </c>
      <c r="CF72" s="90" t="s">
        <v>30</v>
      </c>
      <c r="CG72" s="90" t="s">
        <v>38</v>
      </c>
      <c r="CK72" s="89" t="s">
        <v>148</v>
      </c>
      <c r="CW72" s="91">
        <f>CW73</f>
        <v>455.29899999999998</v>
      </c>
    </row>
    <row r="73" spans="2:103" s="1" customFormat="1" ht="31.5" customHeight="1">
      <c r="B73" s="73"/>
      <c r="C73" s="93"/>
      <c r="D73" s="93" t="s">
        <v>149</v>
      </c>
      <c r="E73" s="94" t="s">
        <v>163</v>
      </c>
      <c r="F73" s="498" t="s">
        <v>164</v>
      </c>
      <c r="G73" s="498"/>
      <c r="H73" s="498"/>
      <c r="I73" s="498"/>
      <c r="J73" s="95" t="s">
        <v>152</v>
      </c>
      <c r="K73" s="211">
        <f>55.86-K38</f>
        <v>44.856999999999999</v>
      </c>
      <c r="L73" s="211">
        <f>55.86-L38</f>
        <v>44.856999999999999</v>
      </c>
      <c r="M73" s="211">
        <f>55.86-M38</f>
        <v>44.856999999999999</v>
      </c>
      <c r="N73" s="211">
        <v>97</v>
      </c>
      <c r="O73" s="211">
        <f>55.86-O38</f>
        <v>44.856999999999999</v>
      </c>
      <c r="P73" s="279">
        <f>SUM(K73:O73)</f>
        <v>276.428</v>
      </c>
      <c r="Q73" s="277">
        <v>0</v>
      </c>
      <c r="R73" s="277">
        <v>0</v>
      </c>
      <c r="S73" s="277">
        <v>0</v>
      </c>
      <c r="T73" s="277">
        <v>0</v>
      </c>
      <c r="U73" s="277">
        <v>0</v>
      </c>
      <c r="V73" s="290">
        <f>SUM(Q73:U73)</f>
        <v>0</v>
      </c>
      <c r="W73" s="289">
        <f>V73/P73</f>
        <v>0</v>
      </c>
      <c r="X73" s="277">
        <f>K73-Q73</f>
        <v>44.856999999999999</v>
      </c>
      <c r="Y73" s="277">
        <f>L73-R73</f>
        <v>44.856999999999999</v>
      </c>
      <c r="Z73" s="277">
        <f>M73-S73</f>
        <v>44.856999999999999</v>
      </c>
      <c r="AA73" s="277">
        <f>N73-T73</f>
        <v>97</v>
      </c>
      <c r="AB73" s="277">
        <f>O73-U73</f>
        <v>44.856999999999999</v>
      </c>
      <c r="AC73" s="220">
        <f>SUM(X73:AB73)</f>
        <v>276.428</v>
      </c>
      <c r="AD73" s="289">
        <f>AC73/P73</f>
        <v>1</v>
      </c>
      <c r="AE73" s="221">
        <v>10.15</v>
      </c>
      <c r="AF73" s="221">
        <v>10.15</v>
      </c>
      <c r="AG73" s="221">
        <v>10.15</v>
      </c>
      <c r="AH73" s="221">
        <v>10.15</v>
      </c>
      <c r="AI73" s="221">
        <v>10.15</v>
      </c>
      <c r="AJ73" s="211">
        <f>ROUND(AE73*K73,3)</f>
        <v>455.29899999999998</v>
      </c>
      <c r="AK73" s="211">
        <f>ROUND(AE73*L73,3)</f>
        <v>455.29899999999998</v>
      </c>
      <c r="AL73" s="211">
        <f>ROUND(AE73*M73,3)</f>
        <v>455.29899999999998</v>
      </c>
      <c r="AM73" s="211">
        <f>ROUND(AE73*N73,3)</f>
        <v>984.55</v>
      </c>
      <c r="AN73" s="211">
        <f>ROUND(AE73*O73,3)</f>
        <v>455.29899999999998</v>
      </c>
      <c r="AO73" s="295">
        <f>AJ73+AK73+AL73+AM73+AN73</f>
        <v>2805.7460000000001</v>
      </c>
      <c r="AP73" s="277">
        <f t="shared" ref="AP73:AT73" si="180">ROUND(Q73*AE73,3)</f>
        <v>0</v>
      </c>
      <c r="AQ73" s="277">
        <f t="shared" si="180"/>
        <v>0</v>
      </c>
      <c r="AR73" s="277">
        <f t="shared" si="180"/>
        <v>0</v>
      </c>
      <c r="AS73" s="277">
        <f t="shared" si="180"/>
        <v>0</v>
      </c>
      <c r="AT73" s="277">
        <f t="shared" si="180"/>
        <v>0</v>
      </c>
      <c r="AU73" s="211">
        <f>AP73+AQ73+AR73+AS73+AT73</f>
        <v>0</v>
      </c>
      <c r="AV73" s="301">
        <f>AU73/AO73</f>
        <v>0</v>
      </c>
      <c r="AW73" s="277">
        <f t="shared" ref="AW73:BA73" si="181">AJ73-AP73</f>
        <v>455.29899999999998</v>
      </c>
      <c r="AX73" s="277">
        <f t="shared" si="181"/>
        <v>455.29899999999998</v>
      </c>
      <c r="AY73" s="277">
        <f t="shared" si="181"/>
        <v>455.29899999999998</v>
      </c>
      <c r="AZ73" s="277">
        <f t="shared" si="181"/>
        <v>984.55</v>
      </c>
      <c r="BA73" s="277">
        <f t="shared" si="181"/>
        <v>455.29899999999998</v>
      </c>
      <c r="BB73" s="211">
        <f>AW73+AX73+AY73+AZ73+BA73</f>
        <v>2805.7460000000001</v>
      </c>
      <c r="BC73" s="289">
        <f>BB73/AO73</f>
        <v>1</v>
      </c>
      <c r="BD73" s="74"/>
      <c r="BF73" s="98" t="s">
        <v>0</v>
      </c>
      <c r="BG73" s="18" t="s">
        <v>11</v>
      </c>
      <c r="BH73" s="209"/>
      <c r="BI73" s="99">
        <f>BH73*K73</f>
        <v>0</v>
      </c>
      <c r="BJ73" s="99">
        <v>0</v>
      </c>
      <c r="BK73" s="99">
        <f>BJ73*K73</f>
        <v>0</v>
      </c>
      <c r="BL73" s="99">
        <v>0</v>
      </c>
      <c r="BM73" s="100">
        <f>BL73*K73</f>
        <v>0</v>
      </c>
      <c r="BQ73" s="1">
        <v>9.76</v>
      </c>
      <c r="CD73" s="9" t="s">
        <v>153</v>
      </c>
      <c r="CF73" s="9" t="s">
        <v>149</v>
      </c>
      <c r="CG73" s="9" t="s">
        <v>42</v>
      </c>
      <c r="CK73" s="9" t="s">
        <v>148</v>
      </c>
      <c r="CQ73" s="72">
        <f>IF(BG73="základná",AJ73,0)</f>
        <v>0</v>
      </c>
      <c r="CR73" s="72">
        <f>IF(BG73="znížená",AJ73,0)</f>
        <v>455.29899999999998</v>
      </c>
      <c r="CS73" s="72">
        <f>IF(BG73="zákl. prenesená",AJ73,0)</f>
        <v>0</v>
      </c>
      <c r="CT73" s="72">
        <f>IF(BG73="zníž. prenesená",AJ73,0)</f>
        <v>0</v>
      </c>
      <c r="CU73" s="72">
        <f>IF(BG73="nulová",AJ73,0)</f>
        <v>0</v>
      </c>
      <c r="CV73" s="9" t="s">
        <v>42</v>
      </c>
      <c r="CW73" s="101">
        <f>ROUND(AE73*K73,3)</f>
        <v>455.29899999999998</v>
      </c>
      <c r="CX73" s="9" t="s">
        <v>153</v>
      </c>
      <c r="CY73" s="9" t="s">
        <v>430</v>
      </c>
    </row>
    <row r="74" spans="2:103" s="1" customFormat="1" ht="6.95" customHeight="1"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87"/>
      <c r="X74" s="24"/>
      <c r="Y74" s="24"/>
      <c r="Z74" s="24"/>
      <c r="AA74" s="24"/>
      <c r="AB74" s="24"/>
      <c r="AC74" s="24"/>
      <c r="AD74" s="287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87"/>
      <c r="AW74" s="24"/>
      <c r="AX74" s="24"/>
      <c r="AY74" s="24"/>
      <c r="AZ74" s="24"/>
      <c r="BA74" s="24"/>
      <c r="BB74" s="24"/>
      <c r="BC74" s="287"/>
      <c r="BD74" s="25"/>
    </row>
  </sheetData>
  <autoFilter ref="C16:BC16">
    <filterColumn colId="3" showButton="0"/>
    <filterColumn colId="4" showButton="0"/>
    <filterColumn colId="5" showButton="0"/>
  </autoFilter>
  <mergeCells count="55">
    <mergeCell ref="AP15:AV15"/>
    <mergeCell ref="AW15:BC15"/>
    <mergeCell ref="F67:I67"/>
    <mergeCell ref="F43:I43"/>
    <mergeCell ref="F66:I66"/>
    <mergeCell ref="F54:I54"/>
    <mergeCell ref="F59:I59"/>
    <mergeCell ref="F62:I62"/>
    <mergeCell ref="F55:I55"/>
    <mergeCell ref="F63:I63"/>
    <mergeCell ref="F20:I20"/>
    <mergeCell ref="F21:I21"/>
    <mergeCell ref="F22:I22"/>
    <mergeCell ref="F24:I24"/>
    <mergeCell ref="F25:I25"/>
    <mergeCell ref="F26:I26"/>
    <mergeCell ref="C5:AJ5"/>
    <mergeCell ref="F7:AJ7"/>
    <mergeCell ref="F8:AJ8"/>
    <mergeCell ref="F9:AJ9"/>
    <mergeCell ref="F16:I16"/>
    <mergeCell ref="K15:P15"/>
    <mergeCell ref="AJ15:AO15"/>
    <mergeCell ref="X15:AD15"/>
    <mergeCell ref="Q15:W15"/>
    <mergeCell ref="F27:I27"/>
    <mergeCell ref="F29:I29"/>
    <mergeCell ref="F56:I56"/>
    <mergeCell ref="F30:I30"/>
    <mergeCell ref="F31:I31"/>
    <mergeCell ref="F32:I32"/>
    <mergeCell ref="F44:I44"/>
    <mergeCell ref="F45:I45"/>
    <mergeCell ref="F46:I46"/>
    <mergeCell ref="F47:I47"/>
    <mergeCell ref="F48:I48"/>
    <mergeCell ref="F49:I49"/>
    <mergeCell ref="F50:I50"/>
    <mergeCell ref="F35:I35"/>
    <mergeCell ref="F73:I73"/>
    <mergeCell ref="F71:I71"/>
    <mergeCell ref="F36:I36"/>
    <mergeCell ref="F38:I38"/>
    <mergeCell ref="F33:I33"/>
    <mergeCell ref="F34:I34"/>
    <mergeCell ref="F69:I69"/>
    <mergeCell ref="F70:I70"/>
    <mergeCell ref="F52:I52"/>
    <mergeCell ref="F53:I53"/>
    <mergeCell ref="F64:I64"/>
    <mergeCell ref="F58:I58"/>
    <mergeCell ref="F68:I68"/>
    <mergeCell ref="F60:I60"/>
    <mergeCell ref="F61:I61"/>
    <mergeCell ref="F65:I65"/>
  </mergeCells>
  <conditionalFormatting sqref="W1:W14 W16:W1048576">
    <cfRule type="dataBar" priority="4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{3D5DD773-88B0-406F-8350-4D5742425398}</x14:id>
        </ext>
      </extLst>
    </cfRule>
  </conditionalFormatting>
  <conditionalFormatting sqref="AD1:AD14 AD16:AD1048576">
    <cfRule type="dataBar" priority="3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{A367D1DC-9D27-413A-92DC-CD51107ACC0D}</x14:id>
        </ext>
      </extLst>
    </cfRule>
  </conditionalFormatting>
  <conditionalFormatting sqref="AD20:AD73">
    <cfRule type="colorScale" priority="38">
      <colorScale>
        <cfvo type="min"/>
        <cfvo type="max"/>
        <color rgb="FFF8696B"/>
        <color rgb="FFFCFCFF"/>
      </colorScale>
    </cfRule>
  </conditionalFormatting>
  <conditionalFormatting sqref="AV1:AV14 AV16:AV1048576">
    <cfRule type="dataBar" priority="3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{6170CB63-5807-4454-954F-B7AC8276B403}</x14:id>
        </ext>
      </extLst>
    </cfRule>
  </conditionalFormatting>
  <conditionalFormatting sqref="BC1:BC14 BC42 BC16 BC18:BC19 BC23 BC28 BC37 BC51 BC57 BC72 BC74:BC1048576">
    <cfRule type="dataBar" priority="3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{720F712C-216B-46A5-B097-83CB1DA4B834}</x14:id>
        </ext>
      </extLst>
    </cfRule>
  </conditionalFormatting>
  <conditionalFormatting sqref="BC39:BC41">
    <cfRule type="dataBar" priority="3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{4476A069-C722-42A6-A448-265A948367FF}</x14:id>
        </ext>
      </extLst>
    </cfRule>
  </conditionalFormatting>
  <conditionalFormatting sqref="Q20:V73">
    <cfRule type="cellIs" dxfId="68" priority="34" operator="greaterThan">
      <formula>0</formula>
    </cfRule>
  </conditionalFormatting>
  <conditionalFormatting sqref="AP17:AU73">
    <cfRule type="cellIs" dxfId="67" priority="11" operator="lessThan">
      <formula>0</formula>
    </cfRule>
    <cfRule type="cellIs" dxfId="66" priority="33" operator="greaterThan">
      <formula>0</formula>
    </cfRule>
  </conditionalFormatting>
  <conditionalFormatting sqref="AW17:BB73">
    <cfRule type="cellIs" dxfId="65" priority="32" operator="lessThan">
      <formula>0</formula>
    </cfRule>
  </conditionalFormatting>
  <conditionalFormatting sqref="BC17">
    <cfRule type="dataBar" priority="3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{7661A9B5-CEEA-4A83-9CE8-013427D8016F}</x14:id>
        </ext>
      </extLst>
    </cfRule>
  </conditionalFormatting>
  <conditionalFormatting sqref="X20:AC73">
    <cfRule type="cellIs" dxfId="64" priority="30" operator="lessThan">
      <formula>0</formula>
    </cfRule>
  </conditionalFormatting>
  <conditionalFormatting sqref="BC20:BC22">
    <cfRule type="dataBar" priority="2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{E722CDA0-1A7F-4E95-96BE-86AA7C21CED8}</x14:id>
        </ext>
      </extLst>
    </cfRule>
  </conditionalFormatting>
  <conditionalFormatting sqref="BC20:BC22">
    <cfRule type="colorScale" priority="28">
      <colorScale>
        <cfvo type="min"/>
        <cfvo type="max"/>
        <color rgb="FFF8696B"/>
        <color rgb="FFFCFCFF"/>
      </colorScale>
    </cfRule>
  </conditionalFormatting>
  <conditionalFormatting sqref="BC24:BC27">
    <cfRule type="dataBar" priority="2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{0C82729E-F28F-415C-A247-EDBAB0F83136}</x14:id>
        </ext>
      </extLst>
    </cfRule>
  </conditionalFormatting>
  <conditionalFormatting sqref="BC24:BC27">
    <cfRule type="colorScale" priority="26">
      <colorScale>
        <cfvo type="min"/>
        <cfvo type="max"/>
        <color rgb="FFF8696B"/>
        <color rgb="FFFCFCFF"/>
      </colorScale>
    </cfRule>
  </conditionalFormatting>
  <conditionalFormatting sqref="BC29:BC36">
    <cfRule type="dataBar" priority="2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{91B50E57-1C48-4F18-B792-CAD1EE94AD02}</x14:id>
        </ext>
      </extLst>
    </cfRule>
  </conditionalFormatting>
  <conditionalFormatting sqref="BC29:BC36">
    <cfRule type="colorScale" priority="24">
      <colorScale>
        <cfvo type="min"/>
        <cfvo type="max"/>
        <color rgb="FFF8696B"/>
        <color rgb="FFFCFCFF"/>
      </colorScale>
    </cfRule>
  </conditionalFormatting>
  <conditionalFormatting sqref="BC38">
    <cfRule type="dataBar" priority="2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{C67752D3-8ACA-41BC-824E-71182C658C69}</x14:id>
        </ext>
      </extLst>
    </cfRule>
  </conditionalFormatting>
  <conditionalFormatting sqref="BC38">
    <cfRule type="colorScale" priority="22">
      <colorScale>
        <cfvo type="min"/>
        <cfvo type="max"/>
        <color rgb="FFF8696B"/>
        <color rgb="FFFCFCFF"/>
      </colorScale>
    </cfRule>
  </conditionalFormatting>
  <conditionalFormatting sqref="BC43:BC50">
    <cfRule type="dataBar" priority="2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{E76AC79F-219D-4661-931B-6407DC5B7D4E}</x14:id>
        </ext>
      </extLst>
    </cfRule>
  </conditionalFormatting>
  <conditionalFormatting sqref="BC43:BC50">
    <cfRule type="colorScale" priority="20">
      <colorScale>
        <cfvo type="min"/>
        <cfvo type="max"/>
        <color rgb="FFF8696B"/>
        <color rgb="FFFCFCFF"/>
      </colorScale>
    </cfRule>
  </conditionalFormatting>
  <conditionalFormatting sqref="BC52:BC56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{45AE8DCD-7B8A-4AEB-9950-8FB72066A4AE}</x14:id>
        </ext>
      </extLst>
    </cfRule>
  </conditionalFormatting>
  <conditionalFormatting sqref="BC52:BC56">
    <cfRule type="colorScale" priority="18">
      <colorScale>
        <cfvo type="min"/>
        <cfvo type="max"/>
        <color rgb="FFF8696B"/>
        <color rgb="FFFCFCFF"/>
      </colorScale>
    </cfRule>
  </conditionalFormatting>
  <conditionalFormatting sqref="BC58:BC71">
    <cfRule type="dataBar" priority="1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{64793303-7D7E-4A38-BE50-A329A5160835}</x14:id>
        </ext>
      </extLst>
    </cfRule>
  </conditionalFormatting>
  <conditionalFormatting sqref="BC58:BC71">
    <cfRule type="colorScale" priority="16">
      <colorScale>
        <cfvo type="min"/>
        <cfvo type="max"/>
        <color rgb="FFF8696B"/>
        <color rgb="FFFCFCFF"/>
      </colorScale>
    </cfRule>
  </conditionalFormatting>
  <conditionalFormatting sqref="BC73">
    <cfRule type="dataBar" priority="1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{75B5A1DE-6F1A-411F-997A-F30EFCFAE997}</x14:id>
        </ext>
      </extLst>
    </cfRule>
  </conditionalFormatting>
  <conditionalFormatting sqref="BC73">
    <cfRule type="colorScale" priority="14">
      <colorScale>
        <cfvo type="min"/>
        <cfvo type="max"/>
        <color rgb="FFF8696B"/>
        <color rgb="FFFCFCFF"/>
      </colorScale>
    </cfRule>
  </conditionalFormatting>
  <conditionalFormatting sqref="K20:P73">
    <cfRule type="cellIs" dxfId="63" priority="13" operator="lessThan">
      <formula>0</formula>
    </cfRule>
  </conditionalFormatting>
  <conditionalFormatting sqref="AJ17:AO39 AJ42:AO73 AO40:AO41">
    <cfRule type="cellIs" dxfId="62" priority="12" operator="lessThan">
      <formula>0</formula>
    </cfRule>
  </conditionalFormatting>
  <conditionalFormatting sqref="AJ40">
    <cfRule type="cellIs" dxfId="61" priority="10" operator="lessThan">
      <formula>0</formula>
    </cfRule>
  </conditionalFormatting>
  <conditionalFormatting sqref="AK40">
    <cfRule type="cellIs" dxfId="60" priority="9" operator="lessThan">
      <formula>0</formula>
    </cfRule>
  </conditionalFormatting>
  <conditionalFormatting sqref="AL40">
    <cfRule type="cellIs" dxfId="59" priority="8" operator="lessThan">
      <formula>0</formula>
    </cfRule>
  </conditionalFormatting>
  <conditionalFormatting sqref="AM40">
    <cfRule type="cellIs" dxfId="58" priority="7" operator="lessThan">
      <formula>0</formula>
    </cfRule>
  </conditionalFormatting>
  <conditionalFormatting sqref="AN40">
    <cfRule type="cellIs" dxfId="57" priority="6" operator="lessThan">
      <formula>0</formula>
    </cfRule>
  </conditionalFormatting>
  <conditionalFormatting sqref="AJ41">
    <cfRule type="cellIs" dxfId="56" priority="5" operator="lessThan">
      <formula>0</formula>
    </cfRule>
  </conditionalFormatting>
  <conditionalFormatting sqref="AK41">
    <cfRule type="cellIs" dxfId="55" priority="4" operator="lessThan">
      <formula>0</formula>
    </cfRule>
  </conditionalFormatting>
  <conditionalFormatting sqref="AL41">
    <cfRule type="cellIs" dxfId="54" priority="3" operator="lessThan">
      <formula>0</formula>
    </cfRule>
  </conditionalFormatting>
  <conditionalFormatting sqref="AM41">
    <cfRule type="cellIs" dxfId="53" priority="2" operator="lessThan">
      <formula>0</formula>
    </cfRule>
  </conditionalFormatting>
  <conditionalFormatting sqref="AN41">
    <cfRule type="cellIs" dxfId="52" priority="1" operator="lessThan">
      <formula>0</formula>
    </cfRule>
  </conditionalFormatting>
  <pageMargins left="0.58333330000000005" right="0.58333330000000005" top="0.5" bottom="0.46666669999999999" header="0" footer="0"/>
  <pageSetup paperSize="8" scale="59" fitToHeight="100" orientation="landscape" blackAndWhite="1" r:id="rId1"/>
  <headerFooter>
    <oddFooter>&amp;CStrana &amp;P z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5DD773-88B0-406F-8350-4D574242539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W1:W14 W16:W1048576</xm:sqref>
        </x14:conditionalFormatting>
        <x14:conditionalFormatting xmlns:xm="http://schemas.microsoft.com/office/excel/2006/main">
          <x14:cfRule type="dataBar" id="{A367D1DC-9D27-413A-92DC-CD51107ACC0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AD1:AD14 AD16:AD1048576</xm:sqref>
        </x14:conditionalFormatting>
        <x14:conditionalFormatting xmlns:xm="http://schemas.microsoft.com/office/excel/2006/main">
          <x14:cfRule type="dataBar" id="{6170CB63-5807-4454-954F-B7AC8276B40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AV1:AV14 AV16:AV1048576</xm:sqref>
        </x14:conditionalFormatting>
        <x14:conditionalFormatting xmlns:xm="http://schemas.microsoft.com/office/excel/2006/main">
          <x14:cfRule type="dataBar" id="{720F712C-216B-46A5-B097-83CB1DA4B83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BC1:BC14 BC42 BC16 BC18:BC19 BC23 BC28 BC37 BC51 BC57 BC72 BC74:BC1048576</xm:sqref>
        </x14:conditionalFormatting>
        <x14:conditionalFormatting xmlns:xm="http://schemas.microsoft.com/office/excel/2006/main">
          <x14:cfRule type="dataBar" id="{4476A069-C722-42A6-A448-265A948367F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BC39:BC41</xm:sqref>
        </x14:conditionalFormatting>
        <x14:conditionalFormatting xmlns:xm="http://schemas.microsoft.com/office/excel/2006/main">
          <x14:cfRule type="dataBar" id="{7661A9B5-CEEA-4A83-9CE8-013427D8016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BC17</xm:sqref>
        </x14:conditionalFormatting>
        <x14:conditionalFormatting xmlns:xm="http://schemas.microsoft.com/office/excel/2006/main">
          <x14:cfRule type="dataBar" id="{E722CDA0-1A7F-4E95-96BE-86AA7C21CED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BC20:BC22</xm:sqref>
        </x14:conditionalFormatting>
        <x14:conditionalFormatting xmlns:xm="http://schemas.microsoft.com/office/excel/2006/main">
          <x14:cfRule type="dataBar" id="{0C82729E-F28F-415C-A247-EDBAB0F8313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BC24:BC27</xm:sqref>
        </x14:conditionalFormatting>
        <x14:conditionalFormatting xmlns:xm="http://schemas.microsoft.com/office/excel/2006/main">
          <x14:cfRule type="dataBar" id="{91B50E57-1C48-4F18-B792-CAD1EE94AD0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BC29:BC36</xm:sqref>
        </x14:conditionalFormatting>
        <x14:conditionalFormatting xmlns:xm="http://schemas.microsoft.com/office/excel/2006/main">
          <x14:cfRule type="dataBar" id="{C67752D3-8ACA-41BC-824E-71182C658C6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BC38</xm:sqref>
        </x14:conditionalFormatting>
        <x14:conditionalFormatting xmlns:xm="http://schemas.microsoft.com/office/excel/2006/main">
          <x14:cfRule type="dataBar" id="{E76AC79F-219D-4661-931B-6407DC5B7D4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BC43:BC50</xm:sqref>
        </x14:conditionalFormatting>
        <x14:conditionalFormatting xmlns:xm="http://schemas.microsoft.com/office/excel/2006/main">
          <x14:cfRule type="dataBar" id="{45AE8DCD-7B8A-4AEB-9950-8FB72066A4A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BC52:BC56</xm:sqref>
        </x14:conditionalFormatting>
        <x14:conditionalFormatting xmlns:xm="http://schemas.microsoft.com/office/excel/2006/main">
          <x14:cfRule type="dataBar" id="{64793303-7D7E-4A38-BE50-A329A516083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BC58:BC71</xm:sqref>
        </x14:conditionalFormatting>
        <x14:conditionalFormatting xmlns:xm="http://schemas.microsoft.com/office/excel/2006/main">
          <x14:cfRule type="dataBar" id="{75B5A1DE-6F1A-411F-997A-F30EFCFAE99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BC73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CK105"/>
  <sheetViews>
    <sheetView showGridLines="0" view="pageBreakPreview" zoomScale="115" zoomScaleNormal="70" zoomScaleSheetLayoutView="115" workbookViewId="0">
      <pane ySplit="1" topLeftCell="A47" activePane="bottomLeft" state="frozen"/>
      <selection pane="bottomLeft" activeCell="AB57" sqref="AB57"/>
    </sheetView>
  </sheetViews>
  <sheetFormatPr defaultRowHeight="13.5" outlineLevelRow="1" outlineLevelCol="1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4" width="11.5" style="121" customWidth="1"/>
    <col min="15" max="24" width="11.5" style="121" hidden="1" customWidth="1" outlineLevel="1"/>
    <col min="25" max="25" width="12.83203125" bestFit="1" customWidth="1" collapsed="1"/>
    <col min="26" max="26" width="13.33203125" style="121" customWidth="1"/>
    <col min="27" max="27" width="13.83203125" style="121" customWidth="1"/>
    <col min="28" max="28" width="18.6640625" bestFit="1" customWidth="1"/>
    <col min="29" max="31" width="18.6640625" style="121" customWidth="1"/>
    <col min="32" max="35" width="18.6640625" style="121" hidden="1" customWidth="1" outlineLevel="1"/>
    <col min="36" max="36" width="8.33203125" style="121" hidden="1" customWidth="1" outlineLevel="1"/>
    <col min="37" max="40" width="18.6640625" style="121" hidden="1" customWidth="1" outlineLevel="1"/>
    <col min="41" max="41" width="12.33203125" style="121" hidden="1" customWidth="1" outlineLevel="1"/>
    <col min="42" max="42" width="1.6640625" customWidth="1" collapsed="1"/>
    <col min="43" max="43" width="6.6640625" customWidth="1"/>
    <col min="44" max="44" width="29.6640625" hidden="1" customWidth="1"/>
    <col min="45" max="45" width="16.33203125" hidden="1" customWidth="1"/>
    <col min="46" max="46" width="12.33203125" hidden="1" customWidth="1"/>
    <col min="47" max="47" width="16.33203125" hidden="1" customWidth="1"/>
    <col min="48" max="48" width="12.1640625" hidden="1" customWidth="1"/>
    <col min="49" max="49" width="15" hidden="1" customWidth="1"/>
    <col min="50" max="50" width="11" hidden="1" customWidth="1"/>
    <col min="51" max="51" width="15" hidden="1" customWidth="1"/>
    <col min="52" max="52" width="16.33203125" hidden="1" customWidth="1"/>
    <col min="53" max="53" width="14.33203125" customWidth="1"/>
    <col min="54" max="54" width="7.6640625" hidden="1" customWidth="1"/>
    <col min="55" max="55" width="16.33203125" hidden="1" customWidth="1"/>
    <col min="68" max="89" width="9.33203125" hidden="1"/>
  </cols>
  <sheetData>
    <row r="4" spans="2:42" s="1" customFormat="1" ht="6.95" customHeight="1"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8"/>
    </row>
    <row r="5" spans="2:42" s="1" customFormat="1" ht="36.950000000000003" customHeight="1">
      <c r="B5" s="15"/>
      <c r="C5" s="485" t="s">
        <v>134</v>
      </c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123"/>
      <c r="AD5" s="123"/>
      <c r="AE5" s="123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17"/>
    </row>
    <row r="6" spans="2:42" s="1" customFormat="1" ht="6.95" customHeight="1">
      <c r="B6" s="15"/>
      <c r="C6" s="16"/>
      <c r="D6" s="16"/>
      <c r="E6" s="16"/>
      <c r="F6" s="16"/>
      <c r="G6" s="16"/>
      <c r="H6" s="16"/>
      <c r="I6" s="16"/>
      <c r="J6" s="16"/>
      <c r="K6" s="16"/>
      <c r="L6" s="123"/>
      <c r="M6" s="123"/>
      <c r="N6" s="123"/>
      <c r="O6" s="254"/>
      <c r="P6" s="254"/>
      <c r="Q6" s="254"/>
      <c r="R6" s="254"/>
      <c r="S6" s="274"/>
      <c r="T6" s="274"/>
      <c r="U6" s="274"/>
      <c r="V6" s="274"/>
      <c r="W6" s="274"/>
      <c r="X6" s="274"/>
      <c r="Y6" s="16"/>
      <c r="Z6" s="123"/>
      <c r="AA6" s="123"/>
      <c r="AB6" s="16"/>
      <c r="AC6" s="123"/>
      <c r="AD6" s="123"/>
      <c r="AE6" s="123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17"/>
    </row>
    <row r="7" spans="2:42" s="1" customFormat="1" ht="30" customHeight="1">
      <c r="B7" s="15"/>
      <c r="C7" s="14" t="s">
        <v>3</v>
      </c>
      <c r="D7" s="16"/>
      <c r="E7" s="16"/>
      <c r="F7" s="513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6"/>
      <c r="S7" s="516"/>
      <c r="T7" s="516"/>
      <c r="U7" s="516"/>
      <c r="V7" s="516"/>
      <c r="W7" s="516"/>
      <c r="X7" s="516"/>
      <c r="Y7" s="516"/>
      <c r="Z7" s="516"/>
      <c r="AA7" s="516"/>
      <c r="AB7" s="516"/>
      <c r="AC7" s="122"/>
      <c r="AD7" s="122"/>
      <c r="AE7" s="122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17"/>
    </row>
    <row r="8" spans="2:42" ht="30" customHeight="1">
      <c r="B8" s="10"/>
      <c r="C8" s="14" t="s">
        <v>121</v>
      </c>
      <c r="D8" s="12"/>
      <c r="E8" s="12"/>
      <c r="F8" s="513" t="s">
        <v>475</v>
      </c>
      <c r="G8" s="517"/>
      <c r="H8" s="517"/>
      <c r="I8" s="517"/>
      <c r="J8" s="517"/>
      <c r="K8" s="517"/>
      <c r="L8" s="517"/>
      <c r="M8" s="517"/>
      <c r="N8" s="517"/>
      <c r="O8" s="517"/>
      <c r="P8" s="517"/>
      <c r="Q8" s="517"/>
      <c r="R8" s="517"/>
      <c r="S8" s="517"/>
      <c r="T8" s="517"/>
      <c r="U8" s="517"/>
      <c r="V8" s="517"/>
      <c r="W8" s="517"/>
      <c r="X8" s="517"/>
      <c r="Y8" s="517"/>
      <c r="Z8" s="517"/>
      <c r="AA8" s="517"/>
      <c r="AB8" s="517"/>
      <c r="AC8" s="120"/>
      <c r="AD8" s="120"/>
      <c r="AE8" s="120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11"/>
    </row>
    <row r="9" spans="2:42" s="1" customFormat="1" ht="36.950000000000003" customHeight="1">
      <c r="B9" s="15"/>
      <c r="C9" s="33" t="s">
        <v>123</v>
      </c>
      <c r="D9" s="16"/>
      <c r="E9" s="16"/>
      <c r="F9" s="487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515"/>
      <c r="R9" s="515"/>
      <c r="S9" s="515"/>
      <c r="T9" s="515"/>
      <c r="U9" s="515"/>
      <c r="V9" s="515"/>
      <c r="W9" s="515"/>
      <c r="X9" s="515"/>
      <c r="Y9" s="515"/>
      <c r="Z9" s="515"/>
      <c r="AA9" s="515"/>
      <c r="AB9" s="515"/>
      <c r="AC9" s="123"/>
      <c r="AD9" s="123"/>
      <c r="AE9" s="123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17"/>
    </row>
    <row r="10" spans="2:42" s="1" customFormat="1" ht="6.95" customHeight="1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23"/>
      <c r="M10" s="123"/>
      <c r="N10" s="123"/>
      <c r="O10" s="254"/>
      <c r="P10" s="254"/>
      <c r="Q10" s="254"/>
      <c r="R10" s="254"/>
      <c r="S10" s="274"/>
      <c r="T10" s="274"/>
      <c r="U10" s="274"/>
      <c r="V10" s="274"/>
      <c r="W10" s="274"/>
      <c r="X10" s="274"/>
      <c r="Y10" s="16"/>
      <c r="Z10" s="123"/>
      <c r="AA10" s="123"/>
      <c r="AB10" s="16"/>
      <c r="AC10" s="123"/>
      <c r="AD10" s="123"/>
      <c r="AE10" s="123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17"/>
    </row>
    <row r="11" spans="2:42" s="1" customFormat="1" ht="18" customHeight="1">
      <c r="B11" s="15"/>
      <c r="C11" s="14" t="s">
        <v>4</v>
      </c>
      <c r="D11" s="16"/>
      <c r="E11" s="16"/>
      <c r="F11" s="13"/>
      <c r="G11" s="16"/>
      <c r="H11" s="16"/>
      <c r="I11" s="16"/>
      <c r="J11" s="16"/>
      <c r="K11" s="14" t="s">
        <v>5</v>
      </c>
      <c r="L11" s="122"/>
      <c r="M11" s="122"/>
      <c r="N11" s="122"/>
      <c r="O11" s="255"/>
      <c r="P11" s="255"/>
      <c r="Q11" s="255"/>
      <c r="R11" s="255"/>
      <c r="S11" s="275"/>
      <c r="T11" s="275"/>
      <c r="U11" s="275"/>
      <c r="V11" s="275"/>
      <c r="W11" s="275"/>
      <c r="X11" s="275"/>
      <c r="Y11" s="16"/>
      <c r="Z11" s="123"/>
      <c r="AA11" s="123"/>
      <c r="AB11" s="124"/>
      <c r="AC11" s="124"/>
      <c r="AD11" s="124"/>
      <c r="AE11" s="124"/>
      <c r="AF11" s="273"/>
      <c r="AG11" s="273"/>
      <c r="AH11" s="273"/>
      <c r="AI11" s="273"/>
      <c r="AJ11" s="273"/>
      <c r="AK11" s="273"/>
      <c r="AL11" s="273"/>
      <c r="AM11" s="273"/>
      <c r="AN11" s="273"/>
      <c r="AO11" s="273"/>
      <c r="AP11" s="17"/>
    </row>
    <row r="12" spans="2:42" s="1" customFormat="1" ht="6.95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23"/>
      <c r="M12" s="123"/>
      <c r="N12" s="123"/>
      <c r="O12" s="254"/>
      <c r="P12" s="254"/>
      <c r="Q12" s="254"/>
      <c r="R12" s="254"/>
      <c r="S12" s="274"/>
      <c r="T12" s="274"/>
      <c r="U12" s="274"/>
      <c r="V12" s="274"/>
      <c r="W12" s="274"/>
      <c r="X12" s="274"/>
      <c r="Y12" s="16"/>
      <c r="Z12" s="123"/>
      <c r="AA12" s="123"/>
      <c r="AB12" s="16"/>
      <c r="AC12" s="123"/>
      <c r="AD12" s="123"/>
      <c r="AE12" s="123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17"/>
    </row>
    <row r="13" spans="2:42" s="1" customFormat="1" ht="15">
      <c r="B13" s="15"/>
      <c r="C13" s="14" t="s">
        <v>6</v>
      </c>
      <c r="D13" s="16"/>
      <c r="E13" s="16"/>
      <c r="F13" s="13"/>
      <c r="G13" s="16"/>
      <c r="H13" s="16"/>
      <c r="I13" s="16"/>
      <c r="J13" s="16"/>
      <c r="K13" s="14" t="s">
        <v>8</v>
      </c>
      <c r="L13" s="122"/>
      <c r="M13" s="122"/>
      <c r="N13" s="122"/>
      <c r="O13" s="255"/>
      <c r="P13" s="255"/>
      <c r="Q13" s="255"/>
      <c r="R13" s="255"/>
      <c r="S13" s="275"/>
      <c r="T13" s="275"/>
      <c r="U13" s="275"/>
      <c r="V13" s="275"/>
      <c r="W13" s="275"/>
      <c r="X13" s="275"/>
      <c r="Y13" s="16"/>
      <c r="Z13" s="123"/>
      <c r="AA13" s="123"/>
      <c r="AB13" s="119"/>
      <c r="AC13" s="119"/>
      <c r="AD13" s="119"/>
      <c r="AE13" s="119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17"/>
    </row>
    <row r="14" spans="2:42" s="1" customFormat="1" ht="14.45" customHeight="1">
      <c r="B14" s="15"/>
      <c r="C14" s="14" t="s">
        <v>7</v>
      </c>
      <c r="D14" s="16"/>
      <c r="E14" s="16"/>
      <c r="F14" s="13"/>
      <c r="G14" s="16"/>
      <c r="H14" s="16"/>
      <c r="I14" s="16"/>
      <c r="J14" s="16"/>
      <c r="K14" s="14" t="s">
        <v>9</v>
      </c>
      <c r="L14" s="122"/>
      <c r="M14" s="122"/>
      <c r="N14" s="122"/>
      <c r="O14" s="255"/>
      <c r="P14" s="255"/>
      <c r="Q14" s="255"/>
      <c r="R14" s="255"/>
      <c r="S14" s="275"/>
      <c r="T14" s="275"/>
      <c r="U14" s="275"/>
      <c r="V14" s="275"/>
      <c r="W14" s="275"/>
      <c r="X14" s="275"/>
      <c r="Y14" s="16"/>
      <c r="Z14" s="123"/>
      <c r="AA14" s="123"/>
      <c r="AB14" s="119"/>
      <c r="AC14" s="119"/>
      <c r="AD14" s="119"/>
      <c r="AE14" s="119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17"/>
    </row>
    <row r="15" spans="2:42" s="1" customFormat="1" ht="14.45" customHeight="1">
      <c r="B15" s="15"/>
      <c r="C15" s="255"/>
      <c r="D15" s="254"/>
      <c r="E15" s="254"/>
      <c r="F15" s="252"/>
      <c r="G15" s="254"/>
      <c r="H15" s="254"/>
      <c r="I15" s="254"/>
      <c r="J15" s="254"/>
      <c r="K15" s="255"/>
      <c r="L15" s="255"/>
      <c r="M15" s="255"/>
      <c r="N15" s="255"/>
      <c r="O15" s="255"/>
      <c r="P15" s="255"/>
      <c r="Q15" s="255"/>
      <c r="R15" s="255"/>
      <c r="S15" s="275"/>
      <c r="T15" s="275"/>
      <c r="U15" s="275"/>
      <c r="V15" s="275"/>
      <c r="W15" s="275"/>
      <c r="X15" s="275"/>
      <c r="Y15" s="254"/>
      <c r="Z15" s="254"/>
      <c r="AA15" s="254"/>
      <c r="AB15" s="252"/>
      <c r="AC15" s="252"/>
      <c r="AD15" s="252"/>
      <c r="AE15" s="252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17"/>
    </row>
    <row r="16" spans="2:42" s="1" customFormat="1" ht="16.5" customHeight="1">
      <c r="B16" s="15"/>
      <c r="C16" s="16"/>
      <c r="D16" s="16"/>
      <c r="E16" s="16"/>
      <c r="F16" s="16"/>
      <c r="G16" s="16"/>
      <c r="H16" s="16"/>
      <c r="I16" s="16"/>
      <c r="J16" s="16"/>
      <c r="K16" s="512" t="s">
        <v>1408</v>
      </c>
      <c r="L16" s="512"/>
      <c r="M16" s="512"/>
      <c r="N16" s="512"/>
      <c r="O16" s="497" t="s">
        <v>1409</v>
      </c>
      <c r="P16" s="497"/>
      <c r="Q16" s="497"/>
      <c r="R16" s="497"/>
      <c r="S16" s="497"/>
      <c r="T16" s="496" t="s">
        <v>1410</v>
      </c>
      <c r="U16" s="496"/>
      <c r="V16" s="496"/>
      <c r="W16" s="496"/>
      <c r="X16" s="496"/>
      <c r="Y16" s="405"/>
      <c r="Z16" s="405"/>
      <c r="AA16" s="405"/>
      <c r="AB16" s="512" t="s">
        <v>1408</v>
      </c>
      <c r="AC16" s="512"/>
      <c r="AD16" s="512"/>
      <c r="AE16" s="512"/>
      <c r="AF16" s="518" t="s">
        <v>1409</v>
      </c>
      <c r="AG16" s="518"/>
      <c r="AH16" s="518"/>
      <c r="AI16" s="518"/>
      <c r="AJ16" s="518"/>
      <c r="AK16" s="496" t="s">
        <v>1410</v>
      </c>
      <c r="AL16" s="496"/>
      <c r="AM16" s="496"/>
      <c r="AN16" s="496"/>
      <c r="AO16" s="496"/>
      <c r="AP16" s="17"/>
    </row>
    <row r="17" spans="2:89" s="6" customFormat="1" ht="29.25" customHeight="1">
      <c r="B17" s="75"/>
      <c r="C17" s="76" t="s">
        <v>135</v>
      </c>
      <c r="D17" s="77" t="s">
        <v>136</v>
      </c>
      <c r="E17" s="77" t="s">
        <v>14</v>
      </c>
      <c r="F17" s="511" t="s">
        <v>137</v>
      </c>
      <c r="G17" s="511"/>
      <c r="H17" s="511"/>
      <c r="I17" s="511"/>
      <c r="J17" s="77" t="s">
        <v>138</v>
      </c>
      <c r="K17" s="125" t="s">
        <v>1089</v>
      </c>
      <c r="L17" s="125" t="s">
        <v>1090</v>
      </c>
      <c r="M17" s="125" t="s">
        <v>1091</v>
      </c>
      <c r="N17" s="125" t="s">
        <v>1106</v>
      </c>
      <c r="O17" s="253" t="s">
        <v>1089</v>
      </c>
      <c r="P17" s="253" t="s">
        <v>1090</v>
      </c>
      <c r="Q17" s="253" t="s">
        <v>1091</v>
      </c>
      <c r="R17" s="253" t="s">
        <v>1106</v>
      </c>
      <c r="S17" s="272" t="s">
        <v>883</v>
      </c>
      <c r="T17" s="272" t="s">
        <v>1089</v>
      </c>
      <c r="U17" s="272" t="s">
        <v>1090</v>
      </c>
      <c r="V17" s="272" t="s">
        <v>1091</v>
      </c>
      <c r="W17" s="272" t="s">
        <v>1106</v>
      </c>
      <c r="X17" s="272" t="s">
        <v>883</v>
      </c>
      <c r="Y17" s="126" t="s">
        <v>1108</v>
      </c>
      <c r="Z17" s="126" t="s">
        <v>1096</v>
      </c>
      <c r="AA17" s="126" t="s">
        <v>1098</v>
      </c>
      <c r="AB17" s="125" t="s">
        <v>1094</v>
      </c>
      <c r="AC17" s="125" t="s">
        <v>1097</v>
      </c>
      <c r="AD17" s="125" t="s">
        <v>1099</v>
      </c>
      <c r="AE17" s="291" t="s">
        <v>1107</v>
      </c>
      <c r="AF17" s="272" t="s">
        <v>1094</v>
      </c>
      <c r="AG17" s="272" t="s">
        <v>1097</v>
      </c>
      <c r="AH17" s="272" t="s">
        <v>1099</v>
      </c>
      <c r="AI17" s="272" t="s">
        <v>1107</v>
      </c>
      <c r="AJ17" s="406" t="s">
        <v>883</v>
      </c>
      <c r="AK17" s="272" t="s">
        <v>1094</v>
      </c>
      <c r="AL17" s="272" t="s">
        <v>1097</v>
      </c>
      <c r="AM17" s="272" t="s">
        <v>1099</v>
      </c>
      <c r="AN17" s="272" t="s">
        <v>1107</v>
      </c>
      <c r="AO17" s="406" t="s">
        <v>883</v>
      </c>
      <c r="AQ17" s="6" t="s">
        <v>950</v>
      </c>
      <c r="AR17" s="39" t="s">
        <v>141</v>
      </c>
      <c r="AS17" s="40" t="s">
        <v>10</v>
      </c>
      <c r="AT17" s="40" t="s">
        <v>142</v>
      </c>
      <c r="AU17" s="40" t="s">
        <v>143</v>
      </c>
      <c r="AV17" s="40" t="s">
        <v>144</v>
      </c>
      <c r="AW17" s="40" t="s">
        <v>145</v>
      </c>
      <c r="AX17" s="40" t="s">
        <v>146</v>
      </c>
      <c r="AY17" s="41" t="s">
        <v>147</v>
      </c>
      <c r="BA17" s="6" t="s">
        <v>136</v>
      </c>
    </row>
    <row r="18" spans="2:89" s="1" customFormat="1" ht="29.25" customHeight="1">
      <c r="B18" s="15"/>
      <c r="C18" s="43" t="s">
        <v>1109</v>
      </c>
      <c r="D18" s="16"/>
      <c r="E18" s="16"/>
      <c r="F18" s="16"/>
      <c r="G18" s="16"/>
      <c r="H18" s="16"/>
      <c r="I18" s="16"/>
      <c r="J18" s="16"/>
      <c r="K18" s="16"/>
      <c r="L18" s="123"/>
      <c r="M18" s="123"/>
      <c r="N18" s="123"/>
      <c r="O18" s="254"/>
      <c r="P18" s="254"/>
      <c r="Q18" s="254"/>
      <c r="R18" s="254"/>
      <c r="S18" s="274"/>
      <c r="T18" s="274"/>
      <c r="U18" s="274"/>
      <c r="V18" s="274"/>
      <c r="W18" s="274"/>
      <c r="X18" s="274"/>
      <c r="Y18" s="16"/>
      <c r="Z18" s="123"/>
      <c r="AA18" s="123"/>
      <c r="AB18" s="129">
        <f t="shared" ref="AB18:AE18" si="0">AB19+AB30</f>
        <v>6799.8049999999994</v>
      </c>
      <c r="AC18" s="129">
        <f t="shared" si="0"/>
        <v>6799.8049999999994</v>
      </c>
      <c r="AD18" s="129">
        <f t="shared" si="0"/>
        <v>13605.822</v>
      </c>
      <c r="AE18" s="430">
        <f t="shared" si="0"/>
        <v>27205.432000000004</v>
      </c>
      <c r="AF18" s="129">
        <f t="shared" ref="AF18:AI18" si="1">AF19+AF30</f>
        <v>0</v>
      </c>
      <c r="AG18" s="129">
        <f t="shared" si="1"/>
        <v>538.20000000000005</v>
      </c>
      <c r="AH18" s="129">
        <f t="shared" si="1"/>
        <v>0</v>
      </c>
      <c r="AI18" s="129">
        <f t="shared" si="1"/>
        <v>538.20000000000005</v>
      </c>
      <c r="AJ18" s="429"/>
      <c r="AK18" s="129">
        <f t="shared" ref="AK18:AN18" si="2">AK19+AK30</f>
        <v>6799.8049999999994</v>
      </c>
      <c r="AL18" s="129">
        <f t="shared" si="2"/>
        <v>6261.6049999999996</v>
      </c>
      <c r="AM18" s="129">
        <f t="shared" si="2"/>
        <v>13605.822</v>
      </c>
      <c r="AN18" s="129">
        <f t="shared" si="2"/>
        <v>26667.232000000004</v>
      </c>
      <c r="AO18" s="435">
        <f>AN18/AE18</f>
        <v>0.98021718603843522</v>
      </c>
      <c r="AP18" s="17"/>
      <c r="AR18" s="42"/>
      <c r="AS18" s="19"/>
      <c r="AT18" s="19"/>
      <c r="AU18" s="79">
        <f>AU19+AU30+AU56</f>
        <v>0</v>
      </c>
      <c r="AV18" s="19"/>
      <c r="AW18" s="79">
        <f>AW19+AW30+AW56</f>
        <v>0</v>
      </c>
      <c r="AX18" s="19"/>
      <c r="AY18" s="80">
        <f>AY19+AY30+AY56</f>
        <v>0</v>
      </c>
      <c r="BB18" s="1">
        <v>1.04</v>
      </c>
      <c r="BR18" s="9" t="s">
        <v>30</v>
      </c>
      <c r="BS18" s="9" t="s">
        <v>126</v>
      </c>
      <c r="CI18" s="81">
        <f>CI19+CI30+CI56</f>
        <v>6799.8049999999994</v>
      </c>
    </row>
    <row r="19" spans="2:89" s="7" customFormat="1" ht="37.35" customHeight="1">
      <c r="B19" s="82"/>
      <c r="C19" s="83"/>
      <c r="D19" s="84" t="s">
        <v>127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130">
        <f t="shared" ref="AB19:AE19" si="3">AB20+AB24+AB28</f>
        <v>1324.7860000000001</v>
      </c>
      <c r="AC19" s="130">
        <f t="shared" si="3"/>
        <v>1324.7860000000001</v>
      </c>
      <c r="AD19" s="130">
        <f t="shared" si="3"/>
        <v>2458.7930000000001</v>
      </c>
      <c r="AE19" s="431">
        <f t="shared" si="3"/>
        <v>5108.3650000000007</v>
      </c>
      <c r="AF19" s="130">
        <f t="shared" ref="AF19:AI19" si="4">AF20+AF24+AF28</f>
        <v>0</v>
      </c>
      <c r="AG19" s="130">
        <f t="shared" si="4"/>
        <v>529.25800000000004</v>
      </c>
      <c r="AH19" s="130">
        <f t="shared" si="4"/>
        <v>0</v>
      </c>
      <c r="AI19" s="130">
        <f t="shared" si="4"/>
        <v>529.25800000000004</v>
      </c>
      <c r="AJ19" s="130"/>
      <c r="AK19" s="130">
        <f t="shared" ref="AK19:AN19" si="5">AK20+AK24+AK28</f>
        <v>1324.7860000000001</v>
      </c>
      <c r="AL19" s="130">
        <f t="shared" si="5"/>
        <v>795.52800000000002</v>
      </c>
      <c r="AM19" s="130">
        <f t="shared" si="5"/>
        <v>2458.7930000000001</v>
      </c>
      <c r="AN19" s="130">
        <f t="shared" si="5"/>
        <v>4579.107</v>
      </c>
      <c r="AO19" s="130"/>
      <c r="AP19" s="85"/>
      <c r="AR19" s="86"/>
      <c r="AS19" s="83"/>
      <c r="AT19" s="83"/>
      <c r="AU19" s="87">
        <f>AU20+AU24+AU28</f>
        <v>0</v>
      </c>
      <c r="AV19" s="83"/>
      <c r="AW19" s="87">
        <f>AW20+AW24+AW28</f>
        <v>0</v>
      </c>
      <c r="AX19" s="83"/>
      <c r="AY19" s="88">
        <f>AY20+AY24+AY28</f>
        <v>0</v>
      </c>
      <c r="BP19" s="89" t="s">
        <v>38</v>
      </c>
      <c r="BR19" s="90" t="s">
        <v>30</v>
      </c>
      <c r="BS19" s="90" t="s">
        <v>31</v>
      </c>
      <c r="BW19" s="89" t="s">
        <v>148</v>
      </c>
      <c r="CI19" s="91">
        <f>CI20+CI24+CI28</f>
        <v>1324.7860000000001</v>
      </c>
    </row>
    <row r="20" spans="2:89" s="7" customFormat="1" ht="19.899999999999999" customHeight="1">
      <c r="B20" s="82"/>
      <c r="C20" s="83"/>
      <c r="D20" s="92" t="s">
        <v>245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131">
        <f t="shared" ref="AB20:AE20" si="6">SUM(AB21:AB23)</f>
        <v>672.57600000000002</v>
      </c>
      <c r="AC20" s="131">
        <f t="shared" si="6"/>
        <v>672.57600000000002</v>
      </c>
      <c r="AD20" s="131">
        <f t="shared" si="6"/>
        <v>1726.08</v>
      </c>
      <c r="AE20" s="432">
        <f t="shared" si="6"/>
        <v>3071.232</v>
      </c>
      <c r="AF20" s="131">
        <f t="shared" ref="AF20:AI20" si="7">SUM(AF21:AF23)</f>
        <v>0</v>
      </c>
      <c r="AG20" s="131">
        <f t="shared" si="7"/>
        <v>0</v>
      </c>
      <c r="AH20" s="131">
        <f t="shared" si="7"/>
        <v>0</v>
      </c>
      <c r="AI20" s="131">
        <f t="shared" si="7"/>
        <v>0</v>
      </c>
      <c r="AJ20" s="163"/>
      <c r="AK20" s="131">
        <f t="shared" ref="AK20:AN20" si="8">SUM(AK21:AK23)</f>
        <v>672.57600000000002</v>
      </c>
      <c r="AL20" s="131">
        <f t="shared" si="8"/>
        <v>672.57600000000002</v>
      </c>
      <c r="AM20" s="131">
        <f t="shared" si="8"/>
        <v>1726.08</v>
      </c>
      <c r="AN20" s="131">
        <f t="shared" si="8"/>
        <v>3071.232</v>
      </c>
      <c r="AO20" s="163"/>
      <c r="AP20" s="85"/>
      <c r="AR20" s="86"/>
      <c r="AS20" s="83"/>
      <c r="AT20" s="83"/>
      <c r="AU20" s="87">
        <f>SUM(AU21:AU23)</f>
        <v>0</v>
      </c>
      <c r="AV20" s="83"/>
      <c r="AW20" s="87">
        <f>SUM(AW21:AW23)</f>
        <v>0</v>
      </c>
      <c r="AX20" s="83"/>
      <c r="AY20" s="88">
        <f>SUM(AY21:AY23)</f>
        <v>0</v>
      </c>
      <c r="BP20" s="89" t="s">
        <v>38</v>
      </c>
      <c r="BR20" s="90" t="s">
        <v>30</v>
      </c>
      <c r="BS20" s="90" t="s">
        <v>38</v>
      </c>
      <c r="BW20" s="89" t="s">
        <v>148</v>
      </c>
      <c r="CI20" s="91">
        <f>SUM(CI21:CI23)</f>
        <v>672.57600000000002</v>
      </c>
    </row>
    <row r="21" spans="2:89" s="1" customFormat="1" ht="31.5" customHeight="1">
      <c r="B21" s="73"/>
      <c r="C21" s="93">
        <v>1</v>
      </c>
      <c r="D21" s="93" t="s">
        <v>149</v>
      </c>
      <c r="E21" s="94" t="s">
        <v>432</v>
      </c>
      <c r="F21" s="498" t="s">
        <v>492</v>
      </c>
      <c r="G21" s="498"/>
      <c r="H21" s="498"/>
      <c r="I21" s="498"/>
      <c r="J21" s="95" t="s">
        <v>168</v>
      </c>
      <c r="K21" s="128">
        <v>22.6</v>
      </c>
      <c r="L21" s="128">
        <v>22.6</v>
      </c>
      <c r="M21" s="128">
        <v>58</v>
      </c>
      <c r="N21" s="403">
        <f>SUM(K21:M21)</f>
        <v>103.2</v>
      </c>
      <c r="O21" s="400">
        <v>0</v>
      </c>
      <c r="P21" s="400">
        <v>0</v>
      </c>
      <c r="Q21" s="400">
        <v>0</v>
      </c>
      <c r="R21" s="165">
        <f>SUM(O21:Q21)</f>
        <v>0</v>
      </c>
      <c r="S21" s="289">
        <f>R21/N21</f>
        <v>0</v>
      </c>
      <c r="T21" s="400">
        <f>K21-O21</f>
        <v>22.6</v>
      </c>
      <c r="U21" s="400">
        <f t="shared" ref="U21:U23" si="9">L21-P21</f>
        <v>22.6</v>
      </c>
      <c r="V21" s="400">
        <f t="shared" ref="V21:V23" si="10">M21-Q21</f>
        <v>58</v>
      </c>
      <c r="W21" s="165">
        <f>SUM(T21:V21)</f>
        <v>103.2</v>
      </c>
      <c r="X21" s="289">
        <f>W21/N21</f>
        <v>1</v>
      </c>
      <c r="Y21" s="127">
        <v>9.07</v>
      </c>
      <c r="Z21" s="127">
        <v>9.07</v>
      </c>
      <c r="AA21" s="127">
        <v>9.07</v>
      </c>
      <c r="AB21" s="128">
        <f t="shared" ref="AB21:AD23" si="11">ROUND(Y21*K21,3)</f>
        <v>204.982</v>
      </c>
      <c r="AC21" s="128">
        <f t="shared" si="11"/>
        <v>204.982</v>
      </c>
      <c r="AD21" s="128">
        <f t="shared" si="11"/>
        <v>526.05999999999995</v>
      </c>
      <c r="AE21" s="411">
        <f>AB21+AC21+AD21</f>
        <v>936.02399999999989</v>
      </c>
      <c r="AF21" s="400">
        <f>ROUND(Y21*O21,3)</f>
        <v>0</v>
      </c>
      <c r="AG21" s="400">
        <f t="shared" ref="AG21:AG23" si="12">ROUND(Z21*P21,3)</f>
        <v>0</v>
      </c>
      <c r="AH21" s="400">
        <f t="shared" ref="AH21:AH23" si="13">ROUND(AA21*Q21,3)</f>
        <v>0</v>
      </c>
      <c r="AI21" s="128">
        <f>AF21+AG21+AH21</f>
        <v>0</v>
      </c>
      <c r="AJ21" s="289">
        <f>AI21/AE21</f>
        <v>0</v>
      </c>
      <c r="AK21" s="400">
        <f>AB21-AF21</f>
        <v>204.982</v>
      </c>
      <c r="AL21" s="400">
        <f t="shared" ref="AL21:AL23" si="14">AC21-AG21</f>
        <v>204.982</v>
      </c>
      <c r="AM21" s="400">
        <f t="shared" ref="AM21:AM23" si="15">AD21-AH21</f>
        <v>526.05999999999995</v>
      </c>
      <c r="AN21" s="128">
        <f>AK21+AL21+AM21</f>
        <v>936.02399999999989</v>
      </c>
      <c r="AO21" s="289">
        <f>AN21/AE21</f>
        <v>1</v>
      </c>
      <c r="AP21" s="74"/>
      <c r="AR21" s="98" t="s">
        <v>0</v>
      </c>
      <c r="AS21" s="18" t="s">
        <v>11</v>
      </c>
      <c r="AT21" s="16"/>
      <c r="AU21" s="99">
        <f>AT21*K21</f>
        <v>0</v>
      </c>
      <c r="AV21" s="99">
        <v>0</v>
      </c>
      <c r="AW21" s="99">
        <f>AV21*K21</f>
        <v>0</v>
      </c>
      <c r="AX21" s="99">
        <v>0</v>
      </c>
      <c r="AY21" s="100">
        <f>AX21*K21</f>
        <v>0</v>
      </c>
      <c r="BC21" s="1">
        <v>8.7200000000000006</v>
      </c>
      <c r="BP21" s="9" t="s">
        <v>153</v>
      </c>
      <c r="BR21" s="9" t="s">
        <v>149</v>
      </c>
      <c r="BS21" s="9" t="s">
        <v>42</v>
      </c>
      <c r="BW21" s="9" t="s">
        <v>148</v>
      </c>
      <c r="CC21" s="72">
        <f>IF(AS21="základná",AB21,0)</f>
        <v>0</v>
      </c>
      <c r="CD21" s="72">
        <f>IF(AS21="znížená",AB21,0)</f>
        <v>204.982</v>
      </c>
      <c r="CE21" s="72">
        <f>IF(AS21="zákl. prenesená",AB21,0)</f>
        <v>0</v>
      </c>
      <c r="CF21" s="72">
        <f>IF(AS21="zníž. prenesená",AB21,0)</f>
        <v>0</v>
      </c>
      <c r="CG21" s="72">
        <f>IF(AS21="nulová",AB21,0)</f>
        <v>0</v>
      </c>
      <c r="CH21" s="9" t="s">
        <v>42</v>
      </c>
      <c r="CI21" s="101">
        <f>ROUND(Y21*K21,3)</f>
        <v>204.982</v>
      </c>
      <c r="CJ21" s="9" t="s">
        <v>153</v>
      </c>
      <c r="CK21" s="9" t="s">
        <v>493</v>
      </c>
    </row>
    <row r="22" spans="2:89" s="1" customFormat="1" ht="44.25" customHeight="1">
      <c r="B22" s="73"/>
      <c r="C22" s="93" t="s">
        <v>42</v>
      </c>
      <c r="D22" s="93" t="s">
        <v>149</v>
      </c>
      <c r="E22" s="94" t="s">
        <v>433</v>
      </c>
      <c r="F22" s="498" t="s">
        <v>434</v>
      </c>
      <c r="G22" s="498"/>
      <c r="H22" s="498"/>
      <c r="I22" s="498"/>
      <c r="J22" s="95" t="s">
        <v>168</v>
      </c>
      <c r="K22" s="128">
        <v>22.6</v>
      </c>
      <c r="L22" s="128">
        <v>22.6</v>
      </c>
      <c r="M22" s="128">
        <v>58</v>
      </c>
      <c r="N22" s="403">
        <f>SUM(K22:M22)</f>
        <v>103.2</v>
      </c>
      <c r="O22" s="400">
        <v>0</v>
      </c>
      <c r="P22" s="400">
        <v>0</v>
      </c>
      <c r="Q22" s="400">
        <v>0</v>
      </c>
      <c r="R22" s="165">
        <f>SUM(O22:Q22)</f>
        <v>0</v>
      </c>
      <c r="S22" s="289">
        <f t="shared" ref="S22:S23" si="16">R22/N22</f>
        <v>0</v>
      </c>
      <c r="T22" s="400">
        <f t="shared" ref="T22:T23" si="17">K22-O22</f>
        <v>22.6</v>
      </c>
      <c r="U22" s="400">
        <f t="shared" si="9"/>
        <v>22.6</v>
      </c>
      <c r="V22" s="400">
        <f t="shared" si="10"/>
        <v>58</v>
      </c>
      <c r="W22" s="165">
        <f>SUM(T22:V22)</f>
        <v>103.2</v>
      </c>
      <c r="X22" s="289">
        <f t="shared" ref="X22:X23" si="18">W22/N22</f>
        <v>1</v>
      </c>
      <c r="Y22" s="127">
        <v>6.4</v>
      </c>
      <c r="Z22" s="127">
        <v>6.4</v>
      </c>
      <c r="AA22" s="127">
        <v>6.4</v>
      </c>
      <c r="AB22" s="128">
        <f t="shared" si="11"/>
        <v>144.63999999999999</v>
      </c>
      <c r="AC22" s="128">
        <f t="shared" si="11"/>
        <v>144.63999999999999</v>
      </c>
      <c r="AD22" s="128">
        <f t="shared" si="11"/>
        <v>371.2</v>
      </c>
      <c r="AE22" s="411">
        <f>AB22+AC22+AD22</f>
        <v>660.48</v>
      </c>
      <c r="AF22" s="400">
        <f t="shared" ref="AF22:AF23" si="19">ROUND(Y22*O22,3)</f>
        <v>0</v>
      </c>
      <c r="AG22" s="400">
        <f t="shared" si="12"/>
        <v>0</v>
      </c>
      <c r="AH22" s="400">
        <f t="shared" si="13"/>
        <v>0</v>
      </c>
      <c r="AI22" s="128">
        <f>AF22+AG22+AH22</f>
        <v>0</v>
      </c>
      <c r="AJ22" s="289">
        <f t="shared" ref="AJ22:AJ23" si="20">AI22/AE22</f>
        <v>0</v>
      </c>
      <c r="AK22" s="400">
        <f t="shared" ref="AK22:AK23" si="21">AB22-AF22</f>
        <v>144.63999999999999</v>
      </c>
      <c r="AL22" s="400">
        <f t="shared" si="14"/>
        <v>144.63999999999999</v>
      </c>
      <c r="AM22" s="400">
        <f t="shared" si="15"/>
        <v>371.2</v>
      </c>
      <c r="AN22" s="128">
        <f>AK22+AL22+AM22</f>
        <v>660.48</v>
      </c>
      <c r="AO22" s="289">
        <f t="shared" ref="AO22:AO23" si="22">AN22/AE22</f>
        <v>1</v>
      </c>
      <c r="AP22" s="74"/>
      <c r="AQ22" s="1" t="s">
        <v>954</v>
      </c>
      <c r="AR22" s="98" t="s">
        <v>0</v>
      </c>
      <c r="AS22" s="18" t="s">
        <v>11</v>
      </c>
      <c r="AT22" s="112"/>
      <c r="AU22" s="99">
        <f>AT22*K22</f>
        <v>0</v>
      </c>
      <c r="AV22" s="99">
        <v>0</v>
      </c>
      <c r="AW22" s="99">
        <f>AV22*K22</f>
        <v>0</v>
      </c>
      <c r="AX22" s="99">
        <v>0</v>
      </c>
      <c r="AY22" s="100">
        <f>AX22*K22</f>
        <v>0</v>
      </c>
      <c r="BA22" s="113" t="s">
        <v>985</v>
      </c>
      <c r="BC22" s="1">
        <v>6.15</v>
      </c>
      <c r="BP22" s="9" t="s">
        <v>153</v>
      </c>
      <c r="BR22" s="9" t="s">
        <v>149</v>
      </c>
      <c r="BS22" s="9" t="s">
        <v>42</v>
      </c>
      <c r="BW22" s="9" t="s">
        <v>148</v>
      </c>
      <c r="CC22" s="72">
        <f>IF(AS22="základná",AB22,0)</f>
        <v>0</v>
      </c>
      <c r="CD22" s="72">
        <f>IF(AS22="znížená",AB22,0)</f>
        <v>144.63999999999999</v>
      </c>
      <c r="CE22" s="72">
        <f>IF(AS22="zákl. prenesená",AB22,0)</f>
        <v>0</v>
      </c>
      <c r="CF22" s="72">
        <f>IF(AS22="zníž. prenesená",AB22,0)</f>
        <v>0</v>
      </c>
      <c r="CG22" s="72">
        <f>IF(AS22="nulová",AB22,0)</f>
        <v>0</v>
      </c>
      <c r="CH22" s="9" t="s">
        <v>42</v>
      </c>
      <c r="CI22" s="101">
        <f>ROUND(Y22*K22,3)</f>
        <v>144.63999999999999</v>
      </c>
      <c r="CJ22" s="9" t="s">
        <v>153</v>
      </c>
      <c r="CK22" s="9" t="s">
        <v>494</v>
      </c>
    </row>
    <row r="23" spans="2:89" s="1" customFormat="1" ht="44.25" customHeight="1">
      <c r="B23" s="73"/>
      <c r="C23" s="93" t="s">
        <v>105</v>
      </c>
      <c r="D23" s="93" t="s">
        <v>149</v>
      </c>
      <c r="E23" s="94" t="s">
        <v>435</v>
      </c>
      <c r="F23" s="498" t="s">
        <v>436</v>
      </c>
      <c r="G23" s="498"/>
      <c r="H23" s="498"/>
      <c r="I23" s="498"/>
      <c r="J23" s="95" t="s">
        <v>168</v>
      </c>
      <c r="K23" s="128">
        <v>22.6</v>
      </c>
      <c r="L23" s="128">
        <v>22.6</v>
      </c>
      <c r="M23" s="128">
        <v>58</v>
      </c>
      <c r="N23" s="403">
        <f>SUM(K23:M23)</f>
        <v>103.2</v>
      </c>
      <c r="O23" s="400">
        <v>0</v>
      </c>
      <c r="P23" s="400">
        <v>0</v>
      </c>
      <c r="Q23" s="400">
        <v>0</v>
      </c>
      <c r="R23" s="165">
        <f>SUM(O23:Q23)</f>
        <v>0</v>
      </c>
      <c r="S23" s="289">
        <f t="shared" si="16"/>
        <v>0</v>
      </c>
      <c r="T23" s="400">
        <f t="shared" si="17"/>
        <v>22.6</v>
      </c>
      <c r="U23" s="400">
        <f t="shared" si="9"/>
        <v>22.6</v>
      </c>
      <c r="V23" s="400">
        <f t="shared" si="10"/>
        <v>58</v>
      </c>
      <c r="W23" s="165">
        <f>SUM(T23:V23)</f>
        <v>103.2</v>
      </c>
      <c r="X23" s="289">
        <f t="shared" si="18"/>
        <v>1</v>
      </c>
      <c r="Y23" s="127">
        <v>14.29</v>
      </c>
      <c r="Z23" s="127">
        <v>14.29</v>
      </c>
      <c r="AA23" s="127">
        <v>14.29</v>
      </c>
      <c r="AB23" s="128">
        <f t="shared" si="11"/>
        <v>322.95400000000001</v>
      </c>
      <c r="AC23" s="128">
        <f t="shared" si="11"/>
        <v>322.95400000000001</v>
      </c>
      <c r="AD23" s="128">
        <f t="shared" si="11"/>
        <v>828.82</v>
      </c>
      <c r="AE23" s="411">
        <f>AB23+AC23+AD23</f>
        <v>1474.7280000000001</v>
      </c>
      <c r="AF23" s="400">
        <f t="shared" si="19"/>
        <v>0</v>
      </c>
      <c r="AG23" s="400">
        <f t="shared" si="12"/>
        <v>0</v>
      </c>
      <c r="AH23" s="400">
        <f t="shared" si="13"/>
        <v>0</v>
      </c>
      <c r="AI23" s="128">
        <f>AF23+AG23+AH23</f>
        <v>0</v>
      </c>
      <c r="AJ23" s="289">
        <f t="shared" si="20"/>
        <v>0</v>
      </c>
      <c r="AK23" s="400">
        <f t="shared" si="21"/>
        <v>322.95400000000001</v>
      </c>
      <c r="AL23" s="400">
        <f t="shared" si="14"/>
        <v>322.95400000000001</v>
      </c>
      <c r="AM23" s="400">
        <f t="shared" si="15"/>
        <v>828.82</v>
      </c>
      <c r="AN23" s="128">
        <f>AK23+AL23+AM23</f>
        <v>1474.7280000000001</v>
      </c>
      <c r="AO23" s="289">
        <f t="shared" si="22"/>
        <v>1</v>
      </c>
      <c r="AP23" s="74"/>
      <c r="AQ23" s="1" t="s">
        <v>954</v>
      </c>
      <c r="AR23" s="98" t="s">
        <v>0</v>
      </c>
      <c r="AS23" s="18" t="s">
        <v>11</v>
      </c>
      <c r="AT23" s="112"/>
      <c r="AU23" s="99">
        <f>AT23*K23</f>
        <v>0</v>
      </c>
      <c r="AV23" s="99">
        <v>0</v>
      </c>
      <c r="AW23" s="99">
        <f>AV23*K23</f>
        <v>0</v>
      </c>
      <c r="AX23" s="99">
        <v>0</v>
      </c>
      <c r="AY23" s="100">
        <f>AX23*K23</f>
        <v>0</v>
      </c>
      <c r="BA23" s="1" t="s">
        <v>986</v>
      </c>
      <c r="BC23" s="1">
        <v>13.74</v>
      </c>
      <c r="BP23" s="9" t="s">
        <v>153</v>
      </c>
      <c r="BR23" s="9" t="s">
        <v>149</v>
      </c>
      <c r="BS23" s="9" t="s">
        <v>42</v>
      </c>
      <c r="BW23" s="9" t="s">
        <v>148</v>
      </c>
      <c r="CC23" s="72">
        <f>IF(AS23="základná",AB23,0)</f>
        <v>0</v>
      </c>
      <c r="CD23" s="72">
        <f>IF(AS23="znížená",AB23,0)</f>
        <v>322.95400000000001</v>
      </c>
      <c r="CE23" s="72">
        <f>IF(AS23="zákl. prenesená",AB23,0)</f>
        <v>0</v>
      </c>
      <c r="CF23" s="72">
        <f>IF(AS23="zníž. prenesená",AB23,0)</f>
        <v>0</v>
      </c>
      <c r="CG23" s="72">
        <f>IF(AS23="nulová",AB23,0)</f>
        <v>0</v>
      </c>
      <c r="CH23" s="9" t="s">
        <v>42</v>
      </c>
      <c r="CI23" s="101">
        <f>ROUND(Y23*K23,3)</f>
        <v>322.95400000000001</v>
      </c>
      <c r="CJ23" s="9" t="s">
        <v>153</v>
      </c>
      <c r="CK23" s="9" t="s">
        <v>495</v>
      </c>
    </row>
    <row r="24" spans="2:89" s="7" customFormat="1" ht="29.85" customHeight="1">
      <c r="B24" s="82"/>
      <c r="C24" s="83"/>
      <c r="D24" s="92" t="s">
        <v>128</v>
      </c>
      <c r="E24" s="92"/>
      <c r="F24" s="92"/>
      <c r="G24" s="92"/>
      <c r="H24" s="92"/>
      <c r="I24" s="92"/>
      <c r="J24" s="92"/>
      <c r="K24" s="92"/>
      <c r="L24" s="92"/>
      <c r="M24" s="92"/>
      <c r="N24" s="176"/>
      <c r="O24" s="92"/>
      <c r="P24" s="92"/>
      <c r="Q24" s="92"/>
      <c r="R24" s="176"/>
      <c r="S24" s="176"/>
      <c r="T24" s="92"/>
      <c r="U24" s="92"/>
      <c r="V24" s="92"/>
      <c r="W24" s="176"/>
      <c r="X24" s="176"/>
      <c r="Y24" s="92"/>
      <c r="Z24" s="92"/>
      <c r="AA24" s="92"/>
      <c r="AB24" s="134">
        <f t="shared" ref="AB24:AE24" si="23">SUM(AB25:AB27)</f>
        <v>639.23800000000006</v>
      </c>
      <c r="AC24" s="134">
        <f t="shared" si="23"/>
        <v>639.23800000000006</v>
      </c>
      <c r="AD24" s="134">
        <f t="shared" si="23"/>
        <v>719.74099999999999</v>
      </c>
      <c r="AE24" s="434">
        <f t="shared" si="23"/>
        <v>1998.2170000000001</v>
      </c>
      <c r="AF24" s="134">
        <f t="shared" ref="AF24:AI24" si="24">SUM(AF25:AF27)</f>
        <v>0</v>
      </c>
      <c r="AG24" s="134">
        <f t="shared" si="24"/>
        <v>529.25800000000004</v>
      </c>
      <c r="AH24" s="134">
        <f t="shared" si="24"/>
        <v>0</v>
      </c>
      <c r="AI24" s="134">
        <f t="shared" si="24"/>
        <v>529.25800000000004</v>
      </c>
      <c r="AJ24" s="163"/>
      <c r="AK24" s="134">
        <f t="shared" ref="AK24:AN24" si="25">SUM(AK25:AK27)</f>
        <v>639.23800000000006</v>
      </c>
      <c r="AL24" s="134">
        <f t="shared" si="25"/>
        <v>109.98</v>
      </c>
      <c r="AM24" s="134">
        <f t="shared" si="25"/>
        <v>719.74099999999999</v>
      </c>
      <c r="AN24" s="134">
        <f t="shared" si="25"/>
        <v>1468.9589999999998</v>
      </c>
      <c r="AO24" s="163"/>
      <c r="AP24" s="85"/>
      <c r="AR24" s="86"/>
      <c r="AS24" s="83"/>
      <c r="AT24" s="83"/>
      <c r="AU24" s="87">
        <f>SUM(AU25:AU27)</f>
        <v>0</v>
      </c>
      <c r="AV24" s="83"/>
      <c r="AW24" s="87">
        <f>SUM(AW25:AW27)</f>
        <v>0</v>
      </c>
      <c r="AX24" s="83"/>
      <c r="AY24" s="88">
        <f>SUM(AY25:AY27)</f>
        <v>0</v>
      </c>
      <c r="BP24" s="89" t="s">
        <v>38</v>
      </c>
      <c r="BR24" s="90" t="s">
        <v>30</v>
      </c>
      <c r="BS24" s="90" t="s">
        <v>38</v>
      </c>
      <c r="BW24" s="89" t="s">
        <v>148</v>
      </c>
      <c r="CI24" s="91">
        <f>SUM(CI25:CI27)</f>
        <v>639.23800000000006</v>
      </c>
    </row>
    <row r="25" spans="2:89" s="1" customFormat="1" ht="31.5" customHeight="1">
      <c r="B25" s="73"/>
      <c r="C25" s="93" t="s">
        <v>153</v>
      </c>
      <c r="D25" s="93" t="s">
        <v>149</v>
      </c>
      <c r="E25" s="94" t="s">
        <v>437</v>
      </c>
      <c r="F25" s="498" t="s">
        <v>438</v>
      </c>
      <c r="G25" s="498"/>
      <c r="H25" s="498"/>
      <c r="I25" s="498"/>
      <c r="J25" s="95" t="s">
        <v>168</v>
      </c>
      <c r="K25" s="128">
        <v>23.5</v>
      </c>
      <c r="L25" s="128">
        <v>23.5</v>
      </c>
      <c r="M25" s="128">
        <v>58</v>
      </c>
      <c r="N25" s="403">
        <f>SUM(K25:M25)</f>
        <v>105</v>
      </c>
      <c r="O25" s="400">
        <v>0</v>
      </c>
      <c r="P25" s="400">
        <v>0</v>
      </c>
      <c r="Q25" s="400">
        <v>0</v>
      </c>
      <c r="R25" s="165">
        <f>SUM(O25:Q25)</f>
        <v>0</v>
      </c>
      <c r="S25" s="289">
        <f t="shared" ref="S25:S27" si="26">R25/N25</f>
        <v>0</v>
      </c>
      <c r="T25" s="400">
        <f t="shared" ref="T25:T27" si="27">K25-O25</f>
        <v>23.5</v>
      </c>
      <c r="U25" s="400">
        <f t="shared" ref="U25:U27" si="28">L25-P25</f>
        <v>23.5</v>
      </c>
      <c r="V25" s="400">
        <f t="shared" ref="V25:V27" si="29">M25-Q25</f>
        <v>58</v>
      </c>
      <c r="W25" s="165">
        <f>SUM(T25:V25)</f>
        <v>105</v>
      </c>
      <c r="X25" s="289">
        <f t="shared" ref="X25:X27" si="30">W25/N25</f>
        <v>1</v>
      </c>
      <c r="Y25" s="127">
        <v>4.68</v>
      </c>
      <c r="Z25" s="127">
        <v>4.68</v>
      </c>
      <c r="AA25" s="127">
        <v>4.68</v>
      </c>
      <c r="AB25" s="128">
        <f t="shared" ref="AB25:AD27" si="31">ROUND(Y25*K25,3)</f>
        <v>109.98</v>
      </c>
      <c r="AC25" s="128">
        <f t="shared" si="31"/>
        <v>109.98</v>
      </c>
      <c r="AD25" s="128">
        <f t="shared" si="31"/>
        <v>271.44</v>
      </c>
      <c r="AE25" s="411">
        <f>AB25+AC25+AD25</f>
        <v>491.4</v>
      </c>
      <c r="AF25" s="400">
        <f t="shared" ref="AF25:AF27" si="32">ROUND(Y25*O25,3)</f>
        <v>0</v>
      </c>
      <c r="AG25" s="400">
        <f t="shared" ref="AG25:AG27" si="33">ROUND(Z25*P25,3)</f>
        <v>0</v>
      </c>
      <c r="AH25" s="400">
        <f t="shared" ref="AH25:AH27" si="34">ROUND(AA25*Q25,3)</f>
        <v>0</v>
      </c>
      <c r="AI25" s="128">
        <f>AF25+AG25+AH25</f>
        <v>0</v>
      </c>
      <c r="AJ25" s="289">
        <f t="shared" ref="AJ25:AJ27" si="35">AI25/AE25</f>
        <v>0</v>
      </c>
      <c r="AK25" s="400">
        <f t="shared" ref="AK25:AK27" si="36">AB25-AF25</f>
        <v>109.98</v>
      </c>
      <c r="AL25" s="400">
        <f t="shared" ref="AL25:AL27" si="37">AC25-AG25</f>
        <v>109.98</v>
      </c>
      <c r="AM25" s="400">
        <f t="shared" ref="AM25:AM27" si="38">AD25-AH25</f>
        <v>271.44</v>
      </c>
      <c r="AN25" s="128">
        <f>AK25+AL25+AM25</f>
        <v>491.4</v>
      </c>
      <c r="AO25" s="289">
        <f t="shared" ref="AO25:AO27" si="39">AN25/AE25</f>
        <v>1</v>
      </c>
      <c r="AP25" s="74"/>
      <c r="AR25" s="98" t="s">
        <v>0</v>
      </c>
      <c r="AS25" s="18" t="s">
        <v>11</v>
      </c>
      <c r="AT25" s="16"/>
      <c r="AU25" s="99">
        <f>AT25*K25</f>
        <v>0</v>
      </c>
      <c r="AV25" s="99">
        <v>0</v>
      </c>
      <c r="AW25" s="99">
        <f>AV25*K25</f>
        <v>0</v>
      </c>
      <c r="AX25" s="99">
        <v>0</v>
      </c>
      <c r="AY25" s="100">
        <f>AX25*K25</f>
        <v>0</v>
      </c>
      <c r="BC25" s="1">
        <v>4.5</v>
      </c>
      <c r="BP25" s="9" t="s">
        <v>153</v>
      </c>
      <c r="BR25" s="9" t="s">
        <v>149</v>
      </c>
      <c r="BS25" s="9" t="s">
        <v>42</v>
      </c>
      <c r="BW25" s="9" t="s">
        <v>148</v>
      </c>
      <c r="CC25" s="72">
        <f>IF(AS25="základná",AB25,0)</f>
        <v>0</v>
      </c>
      <c r="CD25" s="72">
        <f>IF(AS25="znížená",AB25,0)</f>
        <v>109.98</v>
      </c>
      <c r="CE25" s="72">
        <f>IF(AS25="zákl. prenesená",AB25,0)</f>
        <v>0</v>
      </c>
      <c r="CF25" s="72">
        <f>IF(AS25="zníž. prenesená",AB25,0)</f>
        <v>0</v>
      </c>
      <c r="CG25" s="72">
        <f>IF(AS25="nulová",AB25,0)</f>
        <v>0</v>
      </c>
      <c r="CH25" s="9" t="s">
        <v>42</v>
      </c>
      <c r="CI25" s="101">
        <f>ROUND(Y25*K25,3)</f>
        <v>109.98</v>
      </c>
      <c r="CJ25" s="9" t="s">
        <v>153</v>
      </c>
      <c r="CK25" s="9" t="s">
        <v>496</v>
      </c>
    </row>
    <row r="26" spans="2:89" s="1" customFormat="1" ht="44.25" customHeight="1">
      <c r="B26" s="73"/>
      <c r="C26" s="93" t="s">
        <v>156</v>
      </c>
      <c r="D26" s="93" t="s">
        <v>149</v>
      </c>
      <c r="E26" s="94" t="s">
        <v>439</v>
      </c>
      <c r="F26" s="498" t="s">
        <v>440</v>
      </c>
      <c r="G26" s="498"/>
      <c r="H26" s="498"/>
      <c r="I26" s="498"/>
      <c r="J26" s="95" t="s">
        <v>396</v>
      </c>
      <c r="K26" s="128">
        <v>2.7970000000000002</v>
      </c>
      <c r="L26" s="128">
        <v>2.7970000000000002</v>
      </c>
      <c r="M26" s="128">
        <v>4.0599999999999996</v>
      </c>
      <c r="N26" s="403">
        <f>SUM(K26:M26)</f>
        <v>9.6539999999999999</v>
      </c>
      <c r="O26" s="400">
        <v>0</v>
      </c>
      <c r="P26" s="400">
        <v>2.7970000000000002</v>
      </c>
      <c r="Q26" s="400">
        <v>0</v>
      </c>
      <c r="R26" s="165">
        <f>SUM(O26:Q26)</f>
        <v>2.7970000000000002</v>
      </c>
      <c r="S26" s="289">
        <f t="shared" si="26"/>
        <v>0.28972446654236589</v>
      </c>
      <c r="T26" s="400">
        <f t="shared" si="27"/>
        <v>2.7970000000000002</v>
      </c>
      <c r="U26" s="400">
        <f t="shared" si="28"/>
        <v>0</v>
      </c>
      <c r="V26" s="400">
        <f t="shared" si="29"/>
        <v>4.0599999999999996</v>
      </c>
      <c r="W26" s="165">
        <f>SUM(T26:V26)</f>
        <v>6.8569999999999993</v>
      </c>
      <c r="X26" s="289">
        <f t="shared" si="30"/>
        <v>0.71027553345763406</v>
      </c>
      <c r="Y26" s="127">
        <v>102.6</v>
      </c>
      <c r="Z26" s="127">
        <v>102.6</v>
      </c>
      <c r="AA26" s="127">
        <v>102.6</v>
      </c>
      <c r="AB26" s="128">
        <f t="shared" si="31"/>
        <v>286.97199999999998</v>
      </c>
      <c r="AC26" s="128">
        <f t="shared" si="31"/>
        <v>286.97199999999998</v>
      </c>
      <c r="AD26" s="128">
        <f t="shared" si="31"/>
        <v>416.55599999999998</v>
      </c>
      <c r="AE26" s="411">
        <f>AB26+AC26+AD26</f>
        <v>990.5</v>
      </c>
      <c r="AF26" s="400">
        <f t="shared" si="32"/>
        <v>0</v>
      </c>
      <c r="AG26" s="400">
        <f t="shared" si="33"/>
        <v>286.97199999999998</v>
      </c>
      <c r="AH26" s="400">
        <f t="shared" si="34"/>
        <v>0</v>
      </c>
      <c r="AI26" s="128">
        <f>AF26+AG26+AH26</f>
        <v>286.97199999999998</v>
      </c>
      <c r="AJ26" s="289">
        <f t="shared" si="35"/>
        <v>0.28972438162544167</v>
      </c>
      <c r="AK26" s="400">
        <f t="shared" si="36"/>
        <v>286.97199999999998</v>
      </c>
      <c r="AL26" s="400">
        <f t="shared" si="37"/>
        <v>0</v>
      </c>
      <c r="AM26" s="400">
        <f t="shared" si="38"/>
        <v>416.55599999999998</v>
      </c>
      <c r="AN26" s="128">
        <f>AK26+AL26+AM26</f>
        <v>703.52800000000002</v>
      </c>
      <c r="AO26" s="289">
        <f t="shared" si="39"/>
        <v>0.71027561837455833</v>
      </c>
      <c r="AP26" s="74"/>
      <c r="AR26" s="98" t="s">
        <v>0</v>
      </c>
      <c r="AS26" s="18" t="s">
        <v>11</v>
      </c>
      <c r="AT26" s="16"/>
      <c r="AU26" s="99">
        <f>AT26*K26</f>
        <v>0</v>
      </c>
      <c r="AV26" s="99">
        <v>0</v>
      </c>
      <c r="AW26" s="99">
        <f>AV26*K26</f>
        <v>0</v>
      </c>
      <c r="AX26" s="99">
        <v>0</v>
      </c>
      <c r="AY26" s="100">
        <f>AX26*K26</f>
        <v>0</v>
      </c>
      <c r="BC26" s="1">
        <v>98.65</v>
      </c>
      <c r="BP26" s="9" t="s">
        <v>153</v>
      </c>
      <c r="BR26" s="9" t="s">
        <v>149</v>
      </c>
      <c r="BS26" s="9" t="s">
        <v>42</v>
      </c>
      <c r="BW26" s="9" t="s">
        <v>148</v>
      </c>
      <c r="CC26" s="72">
        <f>IF(AS26="základná",AB26,0)</f>
        <v>0</v>
      </c>
      <c r="CD26" s="72">
        <f>IF(AS26="znížená",AB26,0)</f>
        <v>286.97199999999998</v>
      </c>
      <c r="CE26" s="72">
        <f>IF(AS26="zákl. prenesená",AB26,0)</f>
        <v>0</v>
      </c>
      <c r="CF26" s="72">
        <f>IF(AS26="zníž. prenesená",AB26,0)</f>
        <v>0</v>
      </c>
      <c r="CG26" s="72">
        <f>IF(AS26="nulová",AB26,0)</f>
        <v>0</v>
      </c>
      <c r="CH26" s="9" t="s">
        <v>42</v>
      </c>
      <c r="CI26" s="101">
        <f>ROUND(Y26*K26,3)</f>
        <v>286.97199999999998</v>
      </c>
      <c r="CJ26" s="9" t="s">
        <v>153</v>
      </c>
      <c r="CK26" s="9" t="s">
        <v>497</v>
      </c>
    </row>
    <row r="27" spans="2:89" s="1" customFormat="1" ht="44.25" customHeight="1">
      <c r="B27" s="73"/>
      <c r="C27" s="93" t="s">
        <v>159</v>
      </c>
      <c r="D27" s="93" t="s">
        <v>149</v>
      </c>
      <c r="E27" s="94" t="s">
        <v>441</v>
      </c>
      <c r="F27" s="498" t="s">
        <v>442</v>
      </c>
      <c r="G27" s="498"/>
      <c r="H27" s="498"/>
      <c r="I27" s="498"/>
      <c r="J27" s="95" t="s">
        <v>168</v>
      </c>
      <c r="K27" s="128">
        <v>23.965</v>
      </c>
      <c r="L27" s="128">
        <v>23.965</v>
      </c>
      <c r="M27" s="128">
        <v>3.14</v>
      </c>
      <c r="N27" s="403">
        <f>SUM(K27:M27)</f>
        <v>51.07</v>
      </c>
      <c r="O27" s="400">
        <v>0</v>
      </c>
      <c r="P27" s="400">
        <v>23.965</v>
      </c>
      <c r="Q27" s="400">
        <v>0</v>
      </c>
      <c r="R27" s="165">
        <f>SUM(O27:Q27)</f>
        <v>23.965</v>
      </c>
      <c r="S27" s="289">
        <f t="shared" si="26"/>
        <v>0.46925788133933816</v>
      </c>
      <c r="T27" s="400">
        <f t="shared" si="27"/>
        <v>23.965</v>
      </c>
      <c r="U27" s="400">
        <f t="shared" si="28"/>
        <v>0</v>
      </c>
      <c r="V27" s="400">
        <f t="shared" si="29"/>
        <v>3.14</v>
      </c>
      <c r="W27" s="165">
        <f>SUM(T27:V27)</f>
        <v>27.105</v>
      </c>
      <c r="X27" s="289">
        <f t="shared" si="30"/>
        <v>0.53074211866066179</v>
      </c>
      <c r="Y27" s="127">
        <v>10.11</v>
      </c>
      <c r="Z27" s="127">
        <v>10.11</v>
      </c>
      <c r="AA27" s="127">
        <v>10.11</v>
      </c>
      <c r="AB27" s="128">
        <f t="shared" si="31"/>
        <v>242.286</v>
      </c>
      <c r="AC27" s="128">
        <f t="shared" si="31"/>
        <v>242.286</v>
      </c>
      <c r="AD27" s="128">
        <f t="shared" si="31"/>
        <v>31.745000000000001</v>
      </c>
      <c r="AE27" s="411">
        <f>AB27+AC27+AD27</f>
        <v>516.31700000000001</v>
      </c>
      <c r="AF27" s="400">
        <f t="shared" si="32"/>
        <v>0</v>
      </c>
      <c r="AG27" s="400">
        <f t="shared" si="33"/>
        <v>242.286</v>
      </c>
      <c r="AH27" s="400">
        <f t="shared" si="34"/>
        <v>0</v>
      </c>
      <c r="AI27" s="128">
        <f>AF27+AG27+AH27</f>
        <v>242.286</v>
      </c>
      <c r="AJ27" s="289">
        <f t="shared" si="35"/>
        <v>0.46925822701944736</v>
      </c>
      <c r="AK27" s="400">
        <f t="shared" si="36"/>
        <v>242.286</v>
      </c>
      <c r="AL27" s="400">
        <f t="shared" si="37"/>
        <v>0</v>
      </c>
      <c r="AM27" s="400">
        <f t="shared" si="38"/>
        <v>31.745000000000001</v>
      </c>
      <c r="AN27" s="128">
        <f>AK27+AL27+AM27</f>
        <v>274.03100000000001</v>
      </c>
      <c r="AO27" s="289">
        <f t="shared" si="39"/>
        <v>0.5307417729805527</v>
      </c>
      <c r="AP27" s="74"/>
      <c r="AR27" s="98" t="s">
        <v>0</v>
      </c>
      <c r="AS27" s="18" t="s">
        <v>11</v>
      </c>
      <c r="AT27" s="16"/>
      <c r="AU27" s="99">
        <f>AT27*K27</f>
        <v>0</v>
      </c>
      <c r="AV27" s="99">
        <v>0</v>
      </c>
      <c r="AW27" s="99">
        <f>AV27*K27</f>
        <v>0</v>
      </c>
      <c r="AX27" s="99">
        <v>0</v>
      </c>
      <c r="AY27" s="100">
        <f>AX27*K27</f>
        <v>0</v>
      </c>
      <c r="BC27" s="1">
        <v>9.7200000000000006</v>
      </c>
      <c r="BP27" s="9" t="s">
        <v>153</v>
      </c>
      <c r="BR27" s="9" t="s">
        <v>149</v>
      </c>
      <c r="BS27" s="9" t="s">
        <v>42</v>
      </c>
      <c r="BW27" s="9" t="s">
        <v>148</v>
      </c>
      <c r="CC27" s="72">
        <f>IF(AS27="základná",AB27,0)</f>
        <v>0</v>
      </c>
      <c r="CD27" s="72">
        <f>IF(AS27="znížená",AB27,0)</f>
        <v>242.286</v>
      </c>
      <c r="CE27" s="72">
        <f>IF(AS27="zákl. prenesená",AB27,0)</f>
        <v>0</v>
      </c>
      <c r="CF27" s="72">
        <f>IF(AS27="zníž. prenesená",AB27,0)</f>
        <v>0</v>
      </c>
      <c r="CG27" s="72">
        <f>IF(AS27="nulová",AB27,0)</f>
        <v>0</v>
      </c>
      <c r="CH27" s="9" t="s">
        <v>42</v>
      </c>
      <c r="CI27" s="101">
        <f>ROUND(Y27*K27,3)</f>
        <v>242.286</v>
      </c>
      <c r="CJ27" s="9" t="s">
        <v>153</v>
      </c>
      <c r="CK27" s="9" t="s">
        <v>498</v>
      </c>
    </row>
    <row r="28" spans="2:89" s="7" customFormat="1" ht="29.85" customHeight="1">
      <c r="B28" s="82"/>
      <c r="C28" s="83"/>
      <c r="D28" s="92" t="s">
        <v>129</v>
      </c>
      <c r="E28" s="92"/>
      <c r="F28" s="92"/>
      <c r="G28" s="92"/>
      <c r="H28" s="92"/>
      <c r="I28" s="92"/>
      <c r="J28" s="92"/>
      <c r="K28" s="92"/>
      <c r="L28" s="92"/>
      <c r="M28" s="92"/>
      <c r="N28" s="176"/>
      <c r="O28" s="92"/>
      <c r="P28" s="92"/>
      <c r="Q28" s="92"/>
      <c r="R28" s="176"/>
      <c r="S28" s="176"/>
      <c r="T28" s="92"/>
      <c r="U28" s="92"/>
      <c r="V28" s="92"/>
      <c r="W28" s="176"/>
      <c r="X28" s="176"/>
      <c r="Y28" s="92"/>
      <c r="Z28" s="92"/>
      <c r="AA28" s="92"/>
      <c r="AB28" s="131">
        <f t="shared" ref="AB28:AN28" si="40">SUM(AB29)</f>
        <v>12.972</v>
      </c>
      <c r="AC28" s="131">
        <f t="shared" si="40"/>
        <v>12.972</v>
      </c>
      <c r="AD28" s="131">
        <f t="shared" si="40"/>
        <v>12.972</v>
      </c>
      <c r="AE28" s="432">
        <f t="shared" si="40"/>
        <v>38.915999999999997</v>
      </c>
      <c r="AF28" s="131">
        <f t="shared" si="40"/>
        <v>0</v>
      </c>
      <c r="AG28" s="131">
        <f t="shared" si="40"/>
        <v>0</v>
      </c>
      <c r="AH28" s="131">
        <f t="shared" si="40"/>
        <v>0</v>
      </c>
      <c r="AI28" s="131">
        <f t="shared" si="40"/>
        <v>0</v>
      </c>
      <c r="AJ28" s="163"/>
      <c r="AK28" s="131">
        <f t="shared" si="40"/>
        <v>12.972</v>
      </c>
      <c r="AL28" s="131">
        <f t="shared" si="40"/>
        <v>12.972</v>
      </c>
      <c r="AM28" s="131">
        <f t="shared" si="40"/>
        <v>12.972</v>
      </c>
      <c r="AN28" s="131">
        <f t="shared" si="40"/>
        <v>38.915999999999997</v>
      </c>
      <c r="AO28" s="163"/>
      <c r="AP28" s="85"/>
      <c r="AR28" s="86"/>
      <c r="AS28" s="83"/>
      <c r="AT28" s="83"/>
      <c r="AU28" s="87">
        <f>AU29</f>
        <v>0</v>
      </c>
      <c r="AV28" s="83"/>
      <c r="AW28" s="87">
        <f>AW29</f>
        <v>0</v>
      </c>
      <c r="AX28" s="83"/>
      <c r="AY28" s="88">
        <f>AY29</f>
        <v>0</v>
      </c>
      <c r="BP28" s="89" t="s">
        <v>38</v>
      </c>
      <c r="BR28" s="90" t="s">
        <v>30</v>
      </c>
      <c r="BS28" s="90" t="s">
        <v>38</v>
      </c>
      <c r="BW28" s="89" t="s">
        <v>148</v>
      </c>
      <c r="CI28" s="91">
        <f>CI29</f>
        <v>12.972</v>
      </c>
    </row>
    <row r="29" spans="2:89" s="1" customFormat="1" ht="31.5" customHeight="1">
      <c r="B29" s="73"/>
      <c r="C29" s="93" t="s">
        <v>162</v>
      </c>
      <c r="D29" s="93" t="s">
        <v>149</v>
      </c>
      <c r="E29" s="94" t="s">
        <v>163</v>
      </c>
      <c r="F29" s="498" t="s">
        <v>164</v>
      </c>
      <c r="G29" s="498"/>
      <c r="H29" s="498"/>
      <c r="I29" s="498"/>
      <c r="J29" s="95" t="s">
        <v>152</v>
      </c>
      <c r="K29" s="128">
        <v>1.278</v>
      </c>
      <c r="L29" s="128">
        <v>1.278</v>
      </c>
      <c r="M29" s="128">
        <v>1.278</v>
      </c>
      <c r="N29" s="403">
        <f>SUM(K29:M29)</f>
        <v>3.8340000000000001</v>
      </c>
      <c r="O29" s="400">
        <v>0</v>
      </c>
      <c r="P29" s="400">
        <v>0</v>
      </c>
      <c r="Q29" s="400">
        <v>0</v>
      </c>
      <c r="R29" s="165">
        <f>SUM(O29:Q29)</f>
        <v>0</v>
      </c>
      <c r="S29" s="289">
        <f>R29/N29</f>
        <v>0</v>
      </c>
      <c r="T29" s="400">
        <f t="shared" ref="T29:V29" si="41">K29-O29</f>
        <v>1.278</v>
      </c>
      <c r="U29" s="400">
        <f t="shared" si="41"/>
        <v>1.278</v>
      </c>
      <c r="V29" s="400">
        <f t="shared" si="41"/>
        <v>1.278</v>
      </c>
      <c r="W29" s="165">
        <f>SUM(T29:V29)</f>
        <v>3.8340000000000001</v>
      </c>
      <c r="X29" s="289">
        <f>W29/N29</f>
        <v>1</v>
      </c>
      <c r="Y29" s="127">
        <v>10.15</v>
      </c>
      <c r="Z29" s="127">
        <v>10.15</v>
      </c>
      <c r="AA29" s="127">
        <v>10.15</v>
      </c>
      <c r="AB29" s="128">
        <f>ROUND(Y29*K29,3)</f>
        <v>12.972</v>
      </c>
      <c r="AC29" s="128">
        <f>ROUND(Z29*L29,3)</f>
        <v>12.972</v>
      </c>
      <c r="AD29" s="128">
        <f>ROUND(AA29*M29,3)</f>
        <v>12.972</v>
      </c>
      <c r="AE29" s="411">
        <f>AB29+AC29+AD29</f>
        <v>38.915999999999997</v>
      </c>
      <c r="AF29" s="400">
        <f t="shared" ref="AF29:AH29" si="42">ROUND(Y29*O29,3)</f>
        <v>0</v>
      </c>
      <c r="AG29" s="400">
        <f t="shared" si="42"/>
        <v>0</v>
      </c>
      <c r="AH29" s="400">
        <f t="shared" si="42"/>
        <v>0</v>
      </c>
      <c r="AI29" s="128">
        <f>AF29+AG29+AH29</f>
        <v>0</v>
      </c>
      <c r="AJ29" s="289">
        <f>AI29/AE29</f>
        <v>0</v>
      </c>
      <c r="AK29" s="400">
        <f t="shared" ref="AK29:AM29" si="43">AB29-AF29</f>
        <v>12.972</v>
      </c>
      <c r="AL29" s="400">
        <f t="shared" si="43"/>
        <v>12.972</v>
      </c>
      <c r="AM29" s="400">
        <f t="shared" si="43"/>
        <v>12.972</v>
      </c>
      <c r="AN29" s="128">
        <f>AK29+AL29+AM29</f>
        <v>38.915999999999997</v>
      </c>
      <c r="AO29" s="289">
        <f>AN29/AE29</f>
        <v>1</v>
      </c>
      <c r="AP29" s="74"/>
      <c r="AR29" s="98" t="s">
        <v>0</v>
      </c>
      <c r="AS29" s="18" t="s">
        <v>11</v>
      </c>
      <c r="AT29" s="16"/>
      <c r="AU29" s="99">
        <f>AT29*K29</f>
        <v>0</v>
      </c>
      <c r="AV29" s="99">
        <v>0</v>
      </c>
      <c r="AW29" s="99">
        <f>AV29*K29</f>
        <v>0</v>
      </c>
      <c r="AX29" s="99">
        <v>0</v>
      </c>
      <c r="AY29" s="100">
        <f>AX29*K29</f>
        <v>0</v>
      </c>
      <c r="BC29" s="1">
        <v>9.76</v>
      </c>
      <c r="BP29" s="9" t="s">
        <v>153</v>
      </c>
      <c r="BR29" s="9" t="s">
        <v>149</v>
      </c>
      <c r="BS29" s="9" t="s">
        <v>42</v>
      </c>
      <c r="BW29" s="9" t="s">
        <v>148</v>
      </c>
      <c r="CC29" s="72">
        <f>IF(AS29="základná",AB29,0)</f>
        <v>0</v>
      </c>
      <c r="CD29" s="72">
        <f>IF(AS29="znížená",AB29,0)</f>
        <v>12.972</v>
      </c>
      <c r="CE29" s="72">
        <f>IF(AS29="zákl. prenesená",AB29,0)</f>
        <v>0</v>
      </c>
      <c r="CF29" s="72">
        <f>IF(AS29="zníž. prenesená",AB29,0)</f>
        <v>0</v>
      </c>
      <c r="CG29" s="72">
        <f>IF(AS29="nulová",AB29,0)</f>
        <v>0</v>
      </c>
      <c r="CH29" s="9" t="s">
        <v>42</v>
      </c>
      <c r="CI29" s="101">
        <f>ROUND(Y29*K29,3)</f>
        <v>12.972</v>
      </c>
      <c r="CJ29" s="9" t="s">
        <v>153</v>
      </c>
      <c r="CK29" s="9" t="s">
        <v>499</v>
      </c>
    </row>
    <row r="30" spans="2:89" s="7" customFormat="1" ht="37.35" customHeight="1">
      <c r="B30" s="82"/>
      <c r="C30" s="83"/>
      <c r="D30" s="84" t="s">
        <v>130</v>
      </c>
      <c r="E30" s="84"/>
      <c r="F30" s="84"/>
      <c r="G30" s="84"/>
      <c r="H30" s="84"/>
      <c r="I30" s="84"/>
      <c r="J30" s="84"/>
      <c r="K30" s="84"/>
      <c r="L30" s="84"/>
      <c r="M30" s="84"/>
      <c r="N30" s="175"/>
      <c r="O30" s="84"/>
      <c r="P30" s="84"/>
      <c r="Q30" s="84"/>
      <c r="R30" s="175"/>
      <c r="S30" s="175"/>
      <c r="T30" s="84"/>
      <c r="U30" s="84"/>
      <c r="V30" s="84"/>
      <c r="W30" s="175"/>
      <c r="X30" s="175"/>
      <c r="Y30" s="84"/>
      <c r="Z30" s="84"/>
      <c r="AA30" s="84"/>
      <c r="AB30" s="135">
        <f t="shared" ref="AB30:AE30" si="44">AB31+AB41+AB45+AB50</f>
        <v>5475.0189999999993</v>
      </c>
      <c r="AC30" s="135">
        <f t="shared" si="44"/>
        <v>5475.0189999999993</v>
      </c>
      <c r="AD30" s="135">
        <f t="shared" si="44"/>
        <v>11147.029</v>
      </c>
      <c r="AE30" s="433">
        <f t="shared" si="44"/>
        <v>22097.067000000003</v>
      </c>
      <c r="AF30" s="135">
        <f t="shared" ref="AF30:AI30" si="45">AF31+AF41+AF45+AF50</f>
        <v>0</v>
      </c>
      <c r="AG30" s="135">
        <f t="shared" si="45"/>
        <v>8.9420000000000002</v>
      </c>
      <c r="AH30" s="135">
        <f t="shared" si="45"/>
        <v>0</v>
      </c>
      <c r="AI30" s="135">
        <f t="shared" si="45"/>
        <v>8.9420000000000002</v>
      </c>
      <c r="AJ30" s="130"/>
      <c r="AK30" s="135">
        <f t="shared" ref="AK30:AN30" si="46">AK31+AK41+AK45+AK50</f>
        <v>5475.0189999999993</v>
      </c>
      <c r="AL30" s="135">
        <f t="shared" si="46"/>
        <v>5466.0769999999993</v>
      </c>
      <c r="AM30" s="135">
        <f t="shared" si="46"/>
        <v>11147.029</v>
      </c>
      <c r="AN30" s="135">
        <f t="shared" si="46"/>
        <v>22088.125000000004</v>
      </c>
      <c r="AO30" s="130"/>
      <c r="AP30" s="85"/>
      <c r="AR30" s="86"/>
      <c r="AS30" s="83"/>
      <c r="AT30" s="83"/>
      <c r="AU30" s="87">
        <f>AU31+AU41+AU45+AU50</f>
        <v>0</v>
      </c>
      <c r="AV30" s="83"/>
      <c r="AW30" s="87">
        <f>AW31+AW41+AW45+AW50</f>
        <v>0</v>
      </c>
      <c r="AX30" s="83"/>
      <c r="AY30" s="88">
        <f>AY31+AY41+AY45+AY50</f>
        <v>0</v>
      </c>
      <c r="BP30" s="89" t="s">
        <v>42</v>
      </c>
      <c r="BR30" s="90" t="s">
        <v>30</v>
      </c>
      <c r="BS30" s="90" t="s">
        <v>31</v>
      </c>
      <c r="BW30" s="89" t="s">
        <v>148</v>
      </c>
      <c r="CI30" s="91">
        <f>CI31+CI41+CI45+CI50</f>
        <v>5475.0189999999993</v>
      </c>
    </row>
    <row r="31" spans="2:89" s="7" customFormat="1" ht="19.899999999999999" customHeight="1">
      <c r="B31" s="82"/>
      <c r="C31" s="83"/>
      <c r="D31" s="92" t="s">
        <v>246</v>
      </c>
      <c r="E31" s="92"/>
      <c r="F31" s="92"/>
      <c r="G31" s="92"/>
      <c r="H31" s="92"/>
      <c r="I31" s="92"/>
      <c r="J31" s="92"/>
      <c r="K31" s="92"/>
      <c r="L31" s="92"/>
      <c r="M31" s="92"/>
      <c r="N31" s="176"/>
      <c r="O31" s="92"/>
      <c r="P31" s="92"/>
      <c r="Q31" s="92"/>
      <c r="R31" s="176"/>
      <c r="S31" s="176"/>
      <c r="T31" s="92"/>
      <c r="U31" s="92"/>
      <c r="V31" s="92"/>
      <c r="W31" s="176"/>
      <c r="X31" s="176"/>
      <c r="Y31" s="92"/>
      <c r="Z31" s="92"/>
      <c r="AA31" s="92"/>
      <c r="AB31" s="131">
        <f t="shared" ref="AB31:AE31" si="47">SUM(AB32:AB40)</f>
        <v>1525.2920000000001</v>
      </c>
      <c r="AC31" s="131">
        <f t="shared" si="47"/>
        <v>1525.2920000000001</v>
      </c>
      <c r="AD31" s="131">
        <f t="shared" si="47"/>
        <v>3517.0440000000003</v>
      </c>
      <c r="AE31" s="432">
        <f t="shared" si="47"/>
        <v>6567.6279999999997</v>
      </c>
      <c r="AF31" s="131">
        <f t="shared" ref="AF31:AI31" si="48">SUM(AF32:AF40)</f>
        <v>0</v>
      </c>
      <c r="AG31" s="131">
        <f t="shared" si="48"/>
        <v>0</v>
      </c>
      <c r="AH31" s="131">
        <f t="shared" si="48"/>
        <v>0</v>
      </c>
      <c r="AI31" s="131">
        <f t="shared" si="48"/>
        <v>0</v>
      </c>
      <c r="AJ31" s="163"/>
      <c r="AK31" s="131">
        <f t="shared" ref="AK31:AN31" si="49">SUM(AK32:AK40)</f>
        <v>1525.2920000000001</v>
      </c>
      <c r="AL31" s="131">
        <f t="shared" si="49"/>
        <v>1525.2920000000001</v>
      </c>
      <c r="AM31" s="131">
        <f t="shared" si="49"/>
        <v>3517.0440000000003</v>
      </c>
      <c r="AN31" s="131">
        <f t="shared" si="49"/>
        <v>6567.6279999999997</v>
      </c>
      <c r="AO31" s="163"/>
      <c r="AP31" s="85"/>
      <c r="AR31" s="86"/>
      <c r="AS31" s="83"/>
      <c r="AT31" s="83"/>
      <c r="AU31" s="87">
        <f>SUM(AU32:AU40)</f>
        <v>0</v>
      </c>
      <c r="AV31" s="83"/>
      <c r="AW31" s="87">
        <f>SUM(AW32:AW40)</f>
        <v>0</v>
      </c>
      <c r="AX31" s="83"/>
      <c r="AY31" s="88">
        <f>SUM(AY32:AY40)</f>
        <v>0</v>
      </c>
      <c r="BP31" s="89" t="s">
        <v>42</v>
      </c>
      <c r="BR31" s="90" t="s">
        <v>30</v>
      </c>
      <c r="BS31" s="90" t="s">
        <v>38</v>
      </c>
      <c r="BW31" s="89" t="s">
        <v>148</v>
      </c>
      <c r="CI31" s="91">
        <f>SUM(CI32:CI40)</f>
        <v>1525.2920000000001</v>
      </c>
    </row>
    <row r="32" spans="2:89" s="1" customFormat="1" ht="31.5" customHeight="1">
      <c r="B32" s="73"/>
      <c r="C32" s="93" t="s">
        <v>165</v>
      </c>
      <c r="D32" s="93" t="s">
        <v>149</v>
      </c>
      <c r="E32" s="94" t="s">
        <v>443</v>
      </c>
      <c r="F32" s="498" t="s">
        <v>444</v>
      </c>
      <c r="G32" s="498"/>
      <c r="H32" s="498"/>
      <c r="I32" s="498"/>
      <c r="J32" s="95" t="s">
        <v>168</v>
      </c>
      <c r="K32" s="128">
        <v>23.5</v>
      </c>
      <c r="L32" s="128">
        <v>23.5</v>
      </c>
      <c r="M32" s="128">
        <v>58</v>
      </c>
      <c r="N32" s="403">
        <f t="shared" ref="N32:N40" si="50">SUM(K32:M32)</f>
        <v>105</v>
      </c>
      <c r="O32" s="400">
        <v>0</v>
      </c>
      <c r="P32" s="128">
        <v>0</v>
      </c>
      <c r="Q32" s="128">
        <v>0</v>
      </c>
      <c r="R32" s="165">
        <f t="shared" ref="R32:R40" si="51">SUM(O32:Q32)</f>
        <v>0</v>
      </c>
      <c r="S32" s="289">
        <f t="shared" ref="S32:S40" si="52">R32/N32</f>
        <v>0</v>
      </c>
      <c r="T32" s="400">
        <f t="shared" ref="T32:T40" si="53">K32-O32</f>
        <v>23.5</v>
      </c>
      <c r="U32" s="128">
        <f t="shared" ref="U32:U40" si="54">L32-P32</f>
        <v>23.5</v>
      </c>
      <c r="V32" s="128">
        <f t="shared" ref="V32:V40" si="55">M32-Q32</f>
        <v>58</v>
      </c>
      <c r="W32" s="165">
        <f t="shared" ref="W32:W40" si="56">SUM(T32:V32)</f>
        <v>105</v>
      </c>
      <c r="X32" s="289">
        <f t="shared" ref="X32:X40" si="57">W32/N32</f>
        <v>1</v>
      </c>
      <c r="Y32" s="127">
        <v>7.99</v>
      </c>
      <c r="Z32" s="127">
        <v>7.99</v>
      </c>
      <c r="AA32" s="127">
        <v>7.99</v>
      </c>
      <c r="AB32" s="128">
        <f t="shared" ref="AB32:AB40" si="58">ROUND(Y32*K32,3)</f>
        <v>187.76499999999999</v>
      </c>
      <c r="AC32" s="128">
        <f t="shared" ref="AC32:AC40" si="59">ROUND(Z32*L32,3)</f>
        <v>187.76499999999999</v>
      </c>
      <c r="AD32" s="128">
        <f t="shared" ref="AD32:AD40" si="60">ROUND(AA32*M32,3)</f>
        <v>463.42</v>
      </c>
      <c r="AE32" s="411">
        <f t="shared" ref="AE32:AE40" si="61">AB32+AC32+AD32</f>
        <v>838.95</v>
      </c>
      <c r="AF32" s="400">
        <f t="shared" ref="AF32:AF40" si="62">ROUND(Y32*O32,3)</f>
        <v>0</v>
      </c>
      <c r="AG32" s="128">
        <f t="shared" ref="AG32:AG40" si="63">ROUND(Z32*P32,3)</f>
        <v>0</v>
      </c>
      <c r="AH32" s="128">
        <f t="shared" ref="AH32:AH40" si="64">ROUND(AA32*Q32,3)</f>
        <v>0</v>
      </c>
      <c r="AI32" s="128">
        <f t="shared" ref="AI32:AI40" si="65">AF32+AG32+AH32</f>
        <v>0</v>
      </c>
      <c r="AJ32" s="289">
        <f t="shared" ref="AJ32:AJ40" si="66">AI32/AE32</f>
        <v>0</v>
      </c>
      <c r="AK32" s="400">
        <f t="shared" ref="AK32:AK40" si="67">AB32-AF32</f>
        <v>187.76499999999999</v>
      </c>
      <c r="AL32" s="128">
        <f t="shared" ref="AL32:AL40" si="68">AC32-AG32</f>
        <v>187.76499999999999</v>
      </c>
      <c r="AM32" s="128">
        <f t="shared" ref="AM32:AM40" si="69">AD32-AH32</f>
        <v>463.42</v>
      </c>
      <c r="AN32" s="128">
        <f t="shared" ref="AN32:AN40" si="70">AK32+AL32+AM32</f>
        <v>838.95</v>
      </c>
      <c r="AO32" s="289">
        <f t="shared" ref="AO32:AO40" si="71">AN32/AE32</f>
        <v>1</v>
      </c>
      <c r="AP32" s="74"/>
      <c r="AR32" s="98" t="s">
        <v>0</v>
      </c>
      <c r="AS32" s="18" t="s">
        <v>11</v>
      </c>
      <c r="AT32" s="16"/>
      <c r="AU32" s="99">
        <f t="shared" ref="AU32:AU40" si="72">AT32*K32</f>
        <v>0</v>
      </c>
      <c r="AV32" s="99">
        <v>0</v>
      </c>
      <c r="AW32" s="99">
        <f t="shared" ref="AW32:AW40" si="73">AV32*K32</f>
        <v>0</v>
      </c>
      <c r="AX32" s="99">
        <v>0</v>
      </c>
      <c r="AY32" s="100">
        <f t="shared" ref="AY32:AY40" si="74">AX32*K32</f>
        <v>0</v>
      </c>
      <c r="BC32" s="1">
        <v>7.68</v>
      </c>
      <c r="BP32" s="9" t="s">
        <v>169</v>
      </c>
      <c r="BR32" s="9" t="s">
        <v>149</v>
      </c>
      <c r="BS32" s="9" t="s">
        <v>42</v>
      </c>
      <c r="BW32" s="9" t="s">
        <v>148</v>
      </c>
      <c r="CC32" s="72">
        <f t="shared" ref="CC32:CC40" si="75">IF(AS32="základná",AB32,0)</f>
        <v>0</v>
      </c>
      <c r="CD32" s="72">
        <f t="shared" ref="CD32:CD40" si="76">IF(AS32="znížená",AB32,0)</f>
        <v>187.76499999999999</v>
      </c>
      <c r="CE32" s="72">
        <f t="shared" ref="CE32:CE40" si="77">IF(AS32="zákl. prenesená",AB32,0)</f>
        <v>0</v>
      </c>
      <c r="CF32" s="72">
        <f t="shared" ref="CF32:CF40" si="78">IF(AS32="zníž. prenesená",AB32,0)</f>
        <v>0</v>
      </c>
      <c r="CG32" s="72">
        <f t="shared" ref="CG32:CG40" si="79">IF(AS32="nulová",AB32,0)</f>
        <v>0</v>
      </c>
      <c r="CH32" s="9" t="s">
        <v>42</v>
      </c>
      <c r="CI32" s="101">
        <f t="shared" ref="CI32:CI40" si="80">ROUND(Y32*K32,3)</f>
        <v>187.76499999999999</v>
      </c>
      <c r="CJ32" s="9" t="s">
        <v>169</v>
      </c>
      <c r="CK32" s="9" t="s">
        <v>500</v>
      </c>
    </row>
    <row r="33" spans="2:89" s="1" customFormat="1" ht="44.25" customHeight="1">
      <c r="B33" s="73"/>
      <c r="C33" s="102" t="s">
        <v>170</v>
      </c>
      <c r="D33" s="102" t="s">
        <v>171</v>
      </c>
      <c r="E33" s="103" t="s">
        <v>445</v>
      </c>
      <c r="F33" s="499" t="s">
        <v>446</v>
      </c>
      <c r="G33" s="499"/>
      <c r="H33" s="499"/>
      <c r="I33" s="499"/>
      <c r="J33" s="104" t="s">
        <v>168</v>
      </c>
      <c r="K33" s="133">
        <v>23.5</v>
      </c>
      <c r="L33" s="133">
        <v>23.5</v>
      </c>
      <c r="M33" s="133">
        <v>62</v>
      </c>
      <c r="N33" s="404">
        <f t="shared" si="50"/>
        <v>109</v>
      </c>
      <c r="O33" s="401">
        <v>0</v>
      </c>
      <c r="P33" s="133">
        <v>0</v>
      </c>
      <c r="Q33" s="133">
        <v>0</v>
      </c>
      <c r="R33" s="177">
        <f t="shared" si="51"/>
        <v>0</v>
      </c>
      <c r="S33" s="289">
        <f t="shared" si="52"/>
        <v>0</v>
      </c>
      <c r="T33" s="401">
        <f t="shared" si="53"/>
        <v>23.5</v>
      </c>
      <c r="U33" s="133">
        <f t="shared" si="54"/>
        <v>23.5</v>
      </c>
      <c r="V33" s="133">
        <f t="shared" si="55"/>
        <v>62</v>
      </c>
      <c r="W33" s="177">
        <f t="shared" si="56"/>
        <v>109</v>
      </c>
      <c r="X33" s="289">
        <f t="shared" si="57"/>
        <v>1</v>
      </c>
      <c r="Y33" s="132">
        <v>17.07</v>
      </c>
      <c r="Z33" s="132">
        <v>17.07</v>
      </c>
      <c r="AA33" s="132">
        <v>17.07</v>
      </c>
      <c r="AB33" s="133">
        <f t="shared" si="58"/>
        <v>401.14499999999998</v>
      </c>
      <c r="AC33" s="133">
        <f t="shared" si="59"/>
        <v>401.14499999999998</v>
      </c>
      <c r="AD33" s="133">
        <f t="shared" si="60"/>
        <v>1058.3399999999999</v>
      </c>
      <c r="AE33" s="414">
        <f t="shared" si="61"/>
        <v>1860.6299999999999</v>
      </c>
      <c r="AF33" s="401">
        <f t="shared" si="62"/>
        <v>0</v>
      </c>
      <c r="AG33" s="133">
        <f t="shared" si="63"/>
        <v>0</v>
      </c>
      <c r="AH33" s="133">
        <f t="shared" si="64"/>
        <v>0</v>
      </c>
      <c r="AI33" s="133">
        <f t="shared" si="65"/>
        <v>0</v>
      </c>
      <c r="AJ33" s="289">
        <f t="shared" si="66"/>
        <v>0</v>
      </c>
      <c r="AK33" s="401">
        <f t="shared" si="67"/>
        <v>401.14499999999998</v>
      </c>
      <c r="AL33" s="133">
        <f t="shared" si="68"/>
        <v>401.14499999999998</v>
      </c>
      <c r="AM33" s="133">
        <f t="shared" si="69"/>
        <v>1058.3399999999999</v>
      </c>
      <c r="AN33" s="133">
        <f t="shared" si="70"/>
        <v>1860.6299999999999</v>
      </c>
      <c r="AO33" s="289">
        <f t="shared" si="71"/>
        <v>1</v>
      </c>
      <c r="AP33" s="74"/>
      <c r="AQ33" s="1" t="s">
        <v>954</v>
      </c>
      <c r="AR33" s="98" t="s">
        <v>0</v>
      </c>
      <c r="AS33" s="18" t="s">
        <v>11</v>
      </c>
      <c r="AT33" s="112"/>
      <c r="AU33" s="99">
        <f t="shared" si="72"/>
        <v>0</v>
      </c>
      <c r="AV33" s="99">
        <v>0</v>
      </c>
      <c r="AW33" s="99">
        <f t="shared" si="73"/>
        <v>0</v>
      </c>
      <c r="AX33" s="99">
        <v>0</v>
      </c>
      <c r="AY33" s="100">
        <f t="shared" si="74"/>
        <v>0</v>
      </c>
      <c r="BA33" s="113" t="s">
        <v>987</v>
      </c>
      <c r="BC33" s="1">
        <v>16.41</v>
      </c>
      <c r="BP33" s="9" t="s">
        <v>174</v>
      </c>
      <c r="BR33" s="9" t="s">
        <v>171</v>
      </c>
      <c r="BS33" s="9" t="s">
        <v>42</v>
      </c>
      <c r="BW33" s="9" t="s">
        <v>148</v>
      </c>
      <c r="CC33" s="72">
        <f t="shared" si="75"/>
        <v>0</v>
      </c>
      <c r="CD33" s="72">
        <f t="shared" si="76"/>
        <v>401.14499999999998</v>
      </c>
      <c r="CE33" s="72">
        <f t="shared" si="77"/>
        <v>0</v>
      </c>
      <c r="CF33" s="72">
        <f t="shared" si="78"/>
        <v>0</v>
      </c>
      <c r="CG33" s="72">
        <f t="shared" si="79"/>
        <v>0</v>
      </c>
      <c r="CH33" s="9" t="s">
        <v>42</v>
      </c>
      <c r="CI33" s="101">
        <f t="shared" si="80"/>
        <v>401.14499999999998</v>
      </c>
      <c r="CJ33" s="9" t="s">
        <v>169</v>
      </c>
      <c r="CK33" s="9" t="s">
        <v>501</v>
      </c>
    </row>
    <row r="34" spans="2:89" s="1" customFormat="1" ht="31.5" customHeight="1">
      <c r="B34" s="73"/>
      <c r="C34" s="93" t="s">
        <v>175</v>
      </c>
      <c r="D34" s="93" t="s">
        <v>149</v>
      </c>
      <c r="E34" s="94" t="s">
        <v>447</v>
      </c>
      <c r="F34" s="498" t="s">
        <v>448</v>
      </c>
      <c r="G34" s="498"/>
      <c r="H34" s="498"/>
      <c r="I34" s="498"/>
      <c r="J34" s="95" t="s">
        <v>168</v>
      </c>
      <c r="K34" s="128">
        <v>23.5</v>
      </c>
      <c r="L34" s="128">
        <v>23.5</v>
      </c>
      <c r="M34" s="128">
        <v>62</v>
      </c>
      <c r="N34" s="403">
        <f t="shared" si="50"/>
        <v>109</v>
      </c>
      <c r="O34" s="400">
        <v>0</v>
      </c>
      <c r="P34" s="128">
        <v>0</v>
      </c>
      <c r="Q34" s="128">
        <v>0</v>
      </c>
      <c r="R34" s="165">
        <f t="shared" si="51"/>
        <v>0</v>
      </c>
      <c r="S34" s="289">
        <f t="shared" si="52"/>
        <v>0</v>
      </c>
      <c r="T34" s="400">
        <f t="shared" si="53"/>
        <v>23.5</v>
      </c>
      <c r="U34" s="128">
        <f t="shared" si="54"/>
        <v>23.5</v>
      </c>
      <c r="V34" s="128">
        <f t="shared" si="55"/>
        <v>62</v>
      </c>
      <c r="W34" s="165">
        <f t="shared" si="56"/>
        <v>109</v>
      </c>
      <c r="X34" s="289">
        <f t="shared" si="57"/>
        <v>1</v>
      </c>
      <c r="Y34" s="127">
        <v>3.4</v>
      </c>
      <c r="Z34" s="127">
        <v>3.4</v>
      </c>
      <c r="AA34" s="127">
        <v>3.4</v>
      </c>
      <c r="AB34" s="128">
        <f t="shared" si="58"/>
        <v>79.900000000000006</v>
      </c>
      <c r="AC34" s="128">
        <f t="shared" si="59"/>
        <v>79.900000000000006</v>
      </c>
      <c r="AD34" s="128">
        <f t="shared" si="60"/>
        <v>210.8</v>
      </c>
      <c r="AE34" s="411">
        <f t="shared" si="61"/>
        <v>370.6</v>
      </c>
      <c r="AF34" s="400">
        <f t="shared" si="62"/>
        <v>0</v>
      </c>
      <c r="AG34" s="128">
        <f t="shared" si="63"/>
        <v>0</v>
      </c>
      <c r="AH34" s="128">
        <f t="shared" si="64"/>
        <v>0</v>
      </c>
      <c r="AI34" s="128">
        <f t="shared" si="65"/>
        <v>0</v>
      </c>
      <c r="AJ34" s="289">
        <f t="shared" si="66"/>
        <v>0</v>
      </c>
      <c r="AK34" s="400">
        <f t="shared" si="67"/>
        <v>79.900000000000006</v>
      </c>
      <c r="AL34" s="128">
        <f t="shared" si="68"/>
        <v>79.900000000000006</v>
      </c>
      <c r="AM34" s="128">
        <f t="shared" si="69"/>
        <v>210.8</v>
      </c>
      <c r="AN34" s="128">
        <f t="shared" si="70"/>
        <v>370.6</v>
      </c>
      <c r="AO34" s="289">
        <f t="shared" si="71"/>
        <v>1</v>
      </c>
      <c r="AP34" s="74"/>
      <c r="AQ34" s="1" t="s">
        <v>954</v>
      </c>
      <c r="AR34" s="98" t="s">
        <v>0</v>
      </c>
      <c r="AS34" s="18" t="s">
        <v>11</v>
      </c>
      <c r="AT34" s="112"/>
      <c r="AU34" s="99">
        <f t="shared" si="72"/>
        <v>0</v>
      </c>
      <c r="AV34" s="99">
        <v>0</v>
      </c>
      <c r="AW34" s="99">
        <f t="shared" si="73"/>
        <v>0</v>
      </c>
      <c r="AX34" s="99">
        <v>0</v>
      </c>
      <c r="AY34" s="100">
        <f t="shared" si="74"/>
        <v>0</v>
      </c>
      <c r="BA34" s="113" t="s">
        <v>988</v>
      </c>
      <c r="BC34" s="1">
        <v>3.27</v>
      </c>
      <c r="BP34" s="9" t="s">
        <v>169</v>
      </c>
      <c r="BR34" s="9" t="s">
        <v>149</v>
      </c>
      <c r="BS34" s="9" t="s">
        <v>42</v>
      </c>
      <c r="BW34" s="9" t="s">
        <v>148</v>
      </c>
      <c r="CC34" s="72">
        <f t="shared" si="75"/>
        <v>0</v>
      </c>
      <c r="CD34" s="72">
        <f t="shared" si="76"/>
        <v>79.900000000000006</v>
      </c>
      <c r="CE34" s="72">
        <f t="shared" si="77"/>
        <v>0</v>
      </c>
      <c r="CF34" s="72">
        <f t="shared" si="78"/>
        <v>0</v>
      </c>
      <c r="CG34" s="72">
        <f t="shared" si="79"/>
        <v>0</v>
      </c>
      <c r="CH34" s="9" t="s">
        <v>42</v>
      </c>
      <c r="CI34" s="101">
        <f t="shared" si="80"/>
        <v>79.900000000000006</v>
      </c>
      <c r="CJ34" s="9" t="s">
        <v>169</v>
      </c>
      <c r="CK34" s="9" t="s">
        <v>502</v>
      </c>
    </row>
    <row r="35" spans="2:89" s="1" customFormat="1" ht="31.5" customHeight="1">
      <c r="B35" s="73"/>
      <c r="C35" s="102" t="s">
        <v>178</v>
      </c>
      <c r="D35" s="102" t="s">
        <v>171</v>
      </c>
      <c r="E35" s="103" t="s">
        <v>449</v>
      </c>
      <c r="F35" s="499" t="s">
        <v>450</v>
      </c>
      <c r="G35" s="499"/>
      <c r="H35" s="499"/>
      <c r="I35" s="499"/>
      <c r="J35" s="104" t="s">
        <v>194</v>
      </c>
      <c r="K35" s="133">
        <v>115.86</v>
      </c>
      <c r="L35" s="133">
        <v>115.86</v>
      </c>
      <c r="M35" s="133">
        <v>271.86</v>
      </c>
      <c r="N35" s="404">
        <f t="shared" si="50"/>
        <v>503.58000000000004</v>
      </c>
      <c r="O35" s="401">
        <v>0</v>
      </c>
      <c r="P35" s="133">
        <v>0</v>
      </c>
      <c r="Q35" s="133">
        <v>0</v>
      </c>
      <c r="R35" s="177">
        <f t="shared" si="51"/>
        <v>0</v>
      </c>
      <c r="S35" s="289">
        <f t="shared" si="52"/>
        <v>0</v>
      </c>
      <c r="T35" s="401">
        <f t="shared" si="53"/>
        <v>115.86</v>
      </c>
      <c r="U35" s="133">
        <f t="shared" si="54"/>
        <v>115.86</v>
      </c>
      <c r="V35" s="133">
        <f t="shared" si="55"/>
        <v>271.86</v>
      </c>
      <c r="W35" s="177">
        <f t="shared" si="56"/>
        <v>503.58000000000004</v>
      </c>
      <c r="X35" s="289">
        <f t="shared" si="57"/>
        <v>1</v>
      </c>
      <c r="Y35" s="132">
        <v>5.16</v>
      </c>
      <c r="Z35" s="132">
        <v>5.16</v>
      </c>
      <c r="AA35" s="132">
        <v>5.16</v>
      </c>
      <c r="AB35" s="133">
        <f t="shared" si="58"/>
        <v>597.83799999999997</v>
      </c>
      <c r="AC35" s="133">
        <f t="shared" si="59"/>
        <v>597.83799999999997</v>
      </c>
      <c r="AD35" s="133">
        <f t="shared" si="60"/>
        <v>1402.798</v>
      </c>
      <c r="AE35" s="414">
        <f t="shared" si="61"/>
        <v>2598.4740000000002</v>
      </c>
      <c r="AF35" s="401">
        <f t="shared" si="62"/>
        <v>0</v>
      </c>
      <c r="AG35" s="133">
        <f t="shared" si="63"/>
        <v>0</v>
      </c>
      <c r="AH35" s="133">
        <f t="shared" si="64"/>
        <v>0</v>
      </c>
      <c r="AI35" s="133">
        <f t="shared" si="65"/>
        <v>0</v>
      </c>
      <c r="AJ35" s="289">
        <f t="shared" si="66"/>
        <v>0</v>
      </c>
      <c r="AK35" s="401">
        <f t="shared" si="67"/>
        <v>597.83799999999997</v>
      </c>
      <c r="AL35" s="133">
        <f t="shared" si="68"/>
        <v>597.83799999999997</v>
      </c>
      <c r="AM35" s="133">
        <f t="shared" si="69"/>
        <v>1402.798</v>
      </c>
      <c r="AN35" s="133">
        <f t="shared" si="70"/>
        <v>2598.4740000000002</v>
      </c>
      <c r="AO35" s="289">
        <f t="shared" si="71"/>
        <v>1</v>
      </c>
      <c r="AP35" s="74"/>
      <c r="AQ35" s="1" t="s">
        <v>954</v>
      </c>
      <c r="AR35" s="98" t="s">
        <v>0</v>
      </c>
      <c r="AS35" s="18" t="s">
        <v>11</v>
      </c>
      <c r="AT35" s="112"/>
      <c r="AU35" s="99">
        <f t="shared" si="72"/>
        <v>0</v>
      </c>
      <c r="AV35" s="99">
        <v>0</v>
      </c>
      <c r="AW35" s="99">
        <f t="shared" si="73"/>
        <v>0</v>
      </c>
      <c r="AX35" s="99">
        <v>0</v>
      </c>
      <c r="AY35" s="100">
        <f t="shared" si="74"/>
        <v>0</v>
      </c>
      <c r="BA35" s="113" t="s">
        <v>989</v>
      </c>
      <c r="BC35" s="1">
        <v>4.96</v>
      </c>
      <c r="BP35" s="9" t="s">
        <v>174</v>
      </c>
      <c r="BR35" s="9" t="s">
        <v>171</v>
      </c>
      <c r="BS35" s="9" t="s">
        <v>42</v>
      </c>
      <c r="BW35" s="9" t="s">
        <v>148</v>
      </c>
      <c r="CC35" s="72">
        <f t="shared" si="75"/>
        <v>0</v>
      </c>
      <c r="CD35" s="72">
        <f t="shared" si="76"/>
        <v>597.83799999999997</v>
      </c>
      <c r="CE35" s="72">
        <f t="shared" si="77"/>
        <v>0</v>
      </c>
      <c r="CF35" s="72">
        <f t="shared" si="78"/>
        <v>0</v>
      </c>
      <c r="CG35" s="72">
        <f t="shared" si="79"/>
        <v>0</v>
      </c>
      <c r="CH35" s="9" t="s">
        <v>42</v>
      </c>
      <c r="CI35" s="101">
        <f t="shared" si="80"/>
        <v>597.83799999999997</v>
      </c>
      <c r="CJ35" s="9" t="s">
        <v>169</v>
      </c>
      <c r="CK35" s="9" t="s">
        <v>503</v>
      </c>
    </row>
    <row r="36" spans="2:89" s="1" customFormat="1" ht="31.5" customHeight="1">
      <c r="B36" s="73"/>
      <c r="C36" s="102" t="s">
        <v>181</v>
      </c>
      <c r="D36" s="102" t="s">
        <v>171</v>
      </c>
      <c r="E36" s="103" t="s">
        <v>451</v>
      </c>
      <c r="F36" s="499" t="s">
        <v>452</v>
      </c>
      <c r="G36" s="499"/>
      <c r="H36" s="499"/>
      <c r="I36" s="499"/>
      <c r="J36" s="104" t="s">
        <v>198</v>
      </c>
      <c r="K36" s="133">
        <v>27</v>
      </c>
      <c r="L36" s="133">
        <v>27</v>
      </c>
      <c r="M36" s="133">
        <v>53.2</v>
      </c>
      <c r="N36" s="404">
        <f t="shared" si="50"/>
        <v>107.2</v>
      </c>
      <c r="O36" s="401">
        <v>0</v>
      </c>
      <c r="P36" s="133">
        <v>0</v>
      </c>
      <c r="Q36" s="133">
        <v>0</v>
      </c>
      <c r="R36" s="177">
        <f t="shared" si="51"/>
        <v>0</v>
      </c>
      <c r="S36" s="289">
        <f t="shared" si="52"/>
        <v>0</v>
      </c>
      <c r="T36" s="401">
        <f t="shared" si="53"/>
        <v>27</v>
      </c>
      <c r="U36" s="133">
        <f t="shared" si="54"/>
        <v>27</v>
      </c>
      <c r="V36" s="133">
        <f t="shared" si="55"/>
        <v>53.2</v>
      </c>
      <c r="W36" s="177">
        <f t="shared" si="56"/>
        <v>107.2</v>
      </c>
      <c r="X36" s="289">
        <f t="shared" si="57"/>
        <v>1</v>
      </c>
      <c r="Y36" s="132">
        <v>3.66</v>
      </c>
      <c r="Z36" s="132">
        <v>3.66</v>
      </c>
      <c r="AA36" s="132">
        <v>3.66</v>
      </c>
      <c r="AB36" s="133">
        <f t="shared" si="58"/>
        <v>98.82</v>
      </c>
      <c r="AC36" s="133">
        <f t="shared" si="59"/>
        <v>98.82</v>
      </c>
      <c r="AD36" s="133">
        <f t="shared" si="60"/>
        <v>194.71199999999999</v>
      </c>
      <c r="AE36" s="414">
        <f t="shared" si="61"/>
        <v>392.35199999999998</v>
      </c>
      <c r="AF36" s="401">
        <f t="shared" si="62"/>
        <v>0</v>
      </c>
      <c r="AG36" s="133">
        <f t="shared" si="63"/>
        <v>0</v>
      </c>
      <c r="AH36" s="133">
        <f t="shared" si="64"/>
        <v>0</v>
      </c>
      <c r="AI36" s="133">
        <f t="shared" si="65"/>
        <v>0</v>
      </c>
      <c r="AJ36" s="289">
        <f t="shared" si="66"/>
        <v>0</v>
      </c>
      <c r="AK36" s="401">
        <f t="shared" si="67"/>
        <v>98.82</v>
      </c>
      <c r="AL36" s="133">
        <f t="shared" si="68"/>
        <v>98.82</v>
      </c>
      <c r="AM36" s="133">
        <f t="shared" si="69"/>
        <v>194.71199999999999</v>
      </c>
      <c r="AN36" s="133">
        <f t="shared" si="70"/>
        <v>392.35199999999998</v>
      </c>
      <c r="AO36" s="289">
        <f t="shared" si="71"/>
        <v>1</v>
      </c>
      <c r="AP36" s="74"/>
      <c r="AQ36" s="1" t="s">
        <v>954</v>
      </c>
      <c r="AR36" s="98" t="s">
        <v>0</v>
      </c>
      <c r="AS36" s="18" t="s">
        <v>11</v>
      </c>
      <c r="AT36" s="112"/>
      <c r="AU36" s="99">
        <f t="shared" si="72"/>
        <v>0</v>
      </c>
      <c r="AV36" s="99">
        <v>0</v>
      </c>
      <c r="AW36" s="99">
        <f t="shared" si="73"/>
        <v>0</v>
      </c>
      <c r="AX36" s="99">
        <v>0</v>
      </c>
      <c r="AY36" s="100">
        <f t="shared" si="74"/>
        <v>0</v>
      </c>
      <c r="BA36" s="113" t="s">
        <v>990</v>
      </c>
      <c r="BC36" s="1">
        <v>3.52</v>
      </c>
      <c r="BP36" s="9" t="s">
        <v>174</v>
      </c>
      <c r="BR36" s="9" t="s">
        <v>171</v>
      </c>
      <c r="BS36" s="9" t="s">
        <v>42</v>
      </c>
      <c r="BW36" s="9" t="s">
        <v>148</v>
      </c>
      <c r="CC36" s="72">
        <f t="shared" si="75"/>
        <v>0</v>
      </c>
      <c r="CD36" s="72">
        <f t="shared" si="76"/>
        <v>98.82</v>
      </c>
      <c r="CE36" s="72">
        <f t="shared" si="77"/>
        <v>0</v>
      </c>
      <c r="CF36" s="72">
        <f t="shared" si="78"/>
        <v>0</v>
      </c>
      <c r="CG36" s="72">
        <f t="shared" si="79"/>
        <v>0</v>
      </c>
      <c r="CH36" s="9" t="s">
        <v>42</v>
      </c>
      <c r="CI36" s="101">
        <f t="shared" si="80"/>
        <v>98.82</v>
      </c>
      <c r="CJ36" s="9" t="s">
        <v>169</v>
      </c>
      <c r="CK36" s="9" t="s">
        <v>504</v>
      </c>
    </row>
    <row r="37" spans="2:89" s="1" customFormat="1" ht="22.5" customHeight="1">
      <c r="B37" s="73"/>
      <c r="C37" s="102" t="s">
        <v>185</v>
      </c>
      <c r="D37" s="102" t="s">
        <v>171</v>
      </c>
      <c r="E37" s="103" t="s">
        <v>453</v>
      </c>
      <c r="F37" s="499" t="s">
        <v>454</v>
      </c>
      <c r="G37" s="499"/>
      <c r="H37" s="499"/>
      <c r="I37" s="499"/>
      <c r="J37" s="104" t="s">
        <v>168</v>
      </c>
      <c r="K37" s="133">
        <v>47</v>
      </c>
      <c r="L37" s="133">
        <v>47</v>
      </c>
      <c r="M37" s="133">
        <v>62</v>
      </c>
      <c r="N37" s="404">
        <f t="shared" si="50"/>
        <v>156</v>
      </c>
      <c r="O37" s="401">
        <v>0</v>
      </c>
      <c r="P37" s="133">
        <v>0</v>
      </c>
      <c r="Q37" s="133">
        <v>0</v>
      </c>
      <c r="R37" s="177">
        <f t="shared" si="51"/>
        <v>0</v>
      </c>
      <c r="S37" s="289">
        <f t="shared" si="52"/>
        <v>0</v>
      </c>
      <c r="T37" s="401">
        <f t="shared" si="53"/>
        <v>47</v>
      </c>
      <c r="U37" s="133">
        <f t="shared" si="54"/>
        <v>47</v>
      </c>
      <c r="V37" s="133">
        <f t="shared" si="55"/>
        <v>62</v>
      </c>
      <c r="W37" s="177">
        <f t="shared" si="56"/>
        <v>156</v>
      </c>
      <c r="X37" s="289">
        <f t="shared" si="57"/>
        <v>1</v>
      </c>
      <c r="Y37" s="132">
        <v>1.2</v>
      </c>
      <c r="Z37" s="132">
        <v>1.2</v>
      </c>
      <c r="AA37" s="132">
        <v>1.2</v>
      </c>
      <c r="AB37" s="133">
        <f t="shared" si="58"/>
        <v>56.4</v>
      </c>
      <c r="AC37" s="133">
        <f t="shared" si="59"/>
        <v>56.4</v>
      </c>
      <c r="AD37" s="133">
        <f t="shared" si="60"/>
        <v>74.400000000000006</v>
      </c>
      <c r="AE37" s="414">
        <f t="shared" si="61"/>
        <v>187.2</v>
      </c>
      <c r="AF37" s="401">
        <f t="shared" si="62"/>
        <v>0</v>
      </c>
      <c r="AG37" s="133">
        <f t="shared" si="63"/>
        <v>0</v>
      </c>
      <c r="AH37" s="133">
        <f t="shared" si="64"/>
        <v>0</v>
      </c>
      <c r="AI37" s="133">
        <f t="shared" si="65"/>
        <v>0</v>
      </c>
      <c r="AJ37" s="289">
        <f t="shared" si="66"/>
        <v>0</v>
      </c>
      <c r="AK37" s="401">
        <f t="shared" si="67"/>
        <v>56.4</v>
      </c>
      <c r="AL37" s="133">
        <f t="shared" si="68"/>
        <v>56.4</v>
      </c>
      <c r="AM37" s="133">
        <f t="shared" si="69"/>
        <v>74.400000000000006</v>
      </c>
      <c r="AN37" s="133">
        <f t="shared" si="70"/>
        <v>187.2</v>
      </c>
      <c r="AO37" s="289">
        <f t="shared" si="71"/>
        <v>1</v>
      </c>
      <c r="AP37" s="74"/>
      <c r="AR37" s="98" t="s">
        <v>0</v>
      </c>
      <c r="AS37" s="18" t="s">
        <v>11</v>
      </c>
      <c r="AT37" s="16"/>
      <c r="AU37" s="99">
        <f t="shared" si="72"/>
        <v>0</v>
      </c>
      <c r="AV37" s="99">
        <v>0</v>
      </c>
      <c r="AW37" s="99">
        <f t="shared" si="73"/>
        <v>0</v>
      </c>
      <c r="AX37" s="99">
        <v>0</v>
      </c>
      <c r="AY37" s="100">
        <f t="shared" si="74"/>
        <v>0</v>
      </c>
      <c r="BC37" s="1">
        <v>1.1499999999999999</v>
      </c>
      <c r="BP37" s="9" t="s">
        <v>174</v>
      </c>
      <c r="BR37" s="9" t="s">
        <v>171</v>
      </c>
      <c r="BS37" s="9" t="s">
        <v>42</v>
      </c>
      <c r="BW37" s="9" t="s">
        <v>148</v>
      </c>
      <c r="CC37" s="72">
        <f t="shared" si="75"/>
        <v>0</v>
      </c>
      <c r="CD37" s="72">
        <f t="shared" si="76"/>
        <v>56.4</v>
      </c>
      <c r="CE37" s="72">
        <f t="shared" si="77"/>
        <v>0</v>
      </c>
      <c r="CF37" s="72">
        <f t="shared" si="78"/>
        <v>0</v>
      </c>
      <c r="CG37" s="72">
        <f t="shared" si="79"/>
        <v>0</v>
      </c>
      <c r="CH37" s="9" t="s">
        <v>42</v>
      </c>
      <c r="CI37" s="101">
        <f t="shared" si="80"/>
        <v>56.4</v>
      </c>
      <c r="CJ37" s="9" t="s">
        <v>169</v>
      </c>
      <c r="CK37" s="9" t="s">
        <v>505</v>
      </c>
    </row>
    <row r="38" spans="2:89" s="1" customFormat="1" ht="31.5" customHeight="1">
      <c r="B38" s="73"/>
      <c r="C38" s="93" t="s">
        <v>188</v>
      </c>
      <c r="D38" s="93" t="s">
        <v>149</v>
      </c>
      <c r="E38" s="94" t="s">
        <v>455</v>
      </c>
      <c r="F38" s="498" t="s">
        <v>456</v>
      </c>
      <c r="G38" s="498"/>
      <c r="H38" s="498"/>
      <c r="I38" s="498"/>
      <c r="J38" s="95" t="s">
        <v>168</v>
      </c>
      <c r="K38" s="128">
        <v>47</v>
      </c>
      <c r="L38" s="128">
        <v>47</v>
      </c>
      <c r="M38" s="128">
        <v>62</v>
      </c>
      <c r="N38" s="403">
        <f t="shared" si="50"/>
        <v>156</v>
      </c>
      <c r="O38" s="400">
        <v>0</v>
      </c>
      <c r="P38" s="128">
        <v>0</v>
      </c>
      <c r="Q38" s="128">
        <v>0</v>
      </c>
      <c r="R38" s="165">
        <f t="shared" si="51"/>
        <v>0</v>
      </c>
      <c r="S38" s="289">
        <f t="shared" si="52"/>
        <v>0</v>
      </c>
      <c r="T38" s="400">
        <f t="shared" si="53"/>
        <v>47</v>
      </c>
      <c r="U38" s="128">
        <f t="shared" si="54"/>
        <v>47</v>
      </c>
      <c r="V38" s="128">
        <f t="shared" si="55"/>
        <v>62</v>
      </c>
      <c r="W38" s="165">
        <f t="shared" si="56"/>
        <v>156</v>
      </c>
      <c r="X38" s="289">
        <f t="shared" si="57"/>
        <v>1</v>
      </c>
      <c r="Y38" s="127">
        <v>0.61</v>
      </c>
      <c r="Z38" s="127">
        <v>0.61</v>
      </c>
      <c r="AA38" s="127">
        <v>0.61</v>
      </c>
      <c r="AB38" s="128">
        <f t="shared" si="58"/>
        <v>28.67</v>
      </c>
      <c r="AC38" s="128">
        <f t="shared" si="59"/>
        <v>28.67</v>
      </c>
      <c r="AD38" s="128">
        <f t="shared" si="60"/>
        <v>37.82</v>
      </c>
      <c r="AE38" s="411">
        <f t="shared" si="61"/>
        <v>95.16</v>
      </c>
      <c r="AF38" s="400">
        <f t="shared" si="62"/>
        <v>0</v>
      </c>
      <c r="AG38" s="128">
        <f t="shared" si="63"/>
        <v>0</v>
      </c>
      <c r="AH38" s="128">
        <f t="shared" si="64"/>
        <v>0</v>
      </c>
      <c r="AI38" s="128">
        <f t="shared" si="65"/>
        <v>0</v>
      </c>
      <c r="AJ38" s="289">
        <f t="shared" si="66"/>
        <v>0</v>
      </c>
      <c r="AK38" s="400">
        <f t="shared" si="67"/>
        <v>28.67</v>
      </c>
      <c r="AL38" s="128">
        <f t="shared" si="68"/>
        <v>28.67</v>
      </c>
      <c r="AM38" s="128">
        <f t="shared" si="69"/>
        <v>37.82</v>
      </c>
      <c r="AN38" s="128">
        <f t="shared" si="70"/>
        <v>95.16</v>
      </c>
      <c r="AO38" s="289">
        <f t="shared" si="71"/>
        <v>1</v>
      </c>
      <c r="AP38" s="74"/>
      <c r="AR38" s="98" t="s">
        <v>0</v>
      </c>
      <c r="AS38" s="18" t="s">
        <v>11</v>
      </c>
      <c r="AT38" s="16"/>
      <c r="AU38" s="99">
        <f t="shared" si="72"/>
        <v>0</v>
      </c>
      <c r="AV38" s="99">
        <v>0</v>
      </c>
      <c r="AW38" s="99">
        <f t="shared" si="73"/>
        <v>0</v>
      </c>
      <c r="AX38" s="99">
        <v>0</v>
      </c>
      <c r="AY38" s="100">
        <f t="shared" si="74"/>
        <v>0</v>
      </c>
      <c r="BC38" s="1">
        <v>0.59</v>
      </c>
      <c r="BP38" s="9" t="s">
        <v>169</v>
      </c>
      <c r="BR38" s="9" t="s">
        <v>149</v>
      </c>
      <c r="BS38" s="9" t="s">
        <v>42</v>
      </c>
      <c r="BW38" s="9" t="s">
        <v>148</v>
      </c>
      <c r="CC38" s="72">
        <f t="shared" si="75"/>
        <v>0</v>
      </c>
      <c r="CD38" s="72">
        <f t="shared" si="76"/>
        <v>28.67</v>
      </c>
      <c r="CE38" s="72">
        <f t="shared" si="77"/>
        <v>0</v>
      </c>
      <c r="CF38" s="72">
        <f t="shared" si="78"/>
        <v>0</v>
      </c>
      <c r="CG38" s="72">
        <f t="shared" si="79"/>
        <v>0</v>
      </c>
      <c r="CH38" s="9" t="s">
        <v>42</v>
      </c>
      <c r="CI38" s="101">
        <f t="shared" si="80"/>
        <v>28.67</v>
      </c>
      <c r="CJ38" s="9" t="s">
        <v>169</v>
      </c>
      <c r="CK38" s="9" t="s">
        <v>506</v>
      </c>
    </row>
    <row r="39" spans="2:89" s="1" customFormat="1" ht="31.5" customHeight="1">
      <c r="B39" s="73"/>
      <c r="C39" s="102" t="s">
        <v>191</v>
      </c>
      <c r="D39" s="102" t="s">
        <v>171</v>
      </c>
      <c r="E39" s="103" t="s">
        <v>457</v>
      </c>
      <c r="F39" s="499" t="s">
        <v>458</v>
      </c>
      <c r="G39" s="499"/>
      <c r="H39" s="499"/>
      <c r="I39" s="499"/>
      <c r="J39" s="104" t="s">
        <v>194</v>
      </c>
      <c r="K39" s="133">
        <v>13.593</v>
      </c>
      <c r="L39" s="133">
        <v>13.593</v>
      </c>
      <c r="M39" s="133">
        <v>13.593</v>
      </c>
      <c r="N39" s="404">
        <f t="shared" si="50"/>
        <v>40.778999999999996</v>
      </c>
      <c r="O39" s="401">
        <v>0</v>
      </c>
      <c r="P39" s="133">
        <v>0</v>
      </c>
      <c r="Q39" s="133">
        <v>0</v>
      </c>
      <c r="R39" s="177">
        <f t="shared" si="51"/>
        <v>0</v>
      </c>
      <c r="S39" s="289">
        <f t="shared" si="52"/>
        <v>0</v>
      </c>
      <c r="T39" s="401">
        <f t="shared" si="53"/>
        <v>13.593</v>
      </c>
      <c r="U39" s="133">
        <f t="shared" si="54"/>
        <v>13.593</v>
      </c>
      <c r="V39" s="133">
        <f t="shared" si="55"/>
        <v>13.593</v>
      </c>
      <c r="W39" s="177">
        <f t="shared" si="56"/>
        <v>40.778999999999996</v>
      </c>
      <c r="X39" s="289">
        <f t="shared" si="57"/>
        <v>1</v>
      </c>
      <c r="Y39" s="132">
        <v>3.7</v>
      </c>
      <c r="Z39" s="132">
        <v>3.7</v>
      </c>
      <c r="AA39" s="132">
        <v>3.7</v>
      </c>
      <c r="AB39" s="133">
        <f t="shared" si="58"/>
        <v>50.293999999999997</v>
      </c>
      <c r="AC39" s="133">
        <f t="shared" si="59"/>
        <v>50.293999999999997</v>
      </c>
      <c r="AD39" s="133">
        <f t="shared" si="60"/>
        <v>50.293999999999997</v>
      </c>
      <c r="AE39" s="414">
        <f t="shared" si="61"/>
        <v>150.88200000000001</v>
      </c>
      <c r="AF39" s="401">
        <f t="shared" si="62"/>
        <v>0</v>
      </c>
      <c r="AG39" s="133">
        <f t="shared" si="63"/>
        <v>0</v>
      </c>
      <c r="AH39" s="133">
        <f t="shared" si="64"/>
        <v>0</v>
      </c>
      <c r="AI39" s="133">
        <f t="shared" si="65"/>
        <v>0</v>
      </c>
      <c r="AJ39" s="289">
        <f t="shared" si="66"/>
        <v>0</v>
      </c>
      <c r="AK39" s="401">
        <f t="shared" si="67"/>
        <v>50.293999999999997</v>
      </c>
      <c r="AL39" s="133">
        <f t="shared" si="68"/>
        <v>50.293999999999997</v>
      </c>
      <c r="AM39" s="133">
        <f t="shared" si="69"/>
        <v>50.293999999999997</v>
      </c>
      <c r="AN39" s="133">
        <f t="shared" si="70"/>
        <v>150.88200000000001</v>
      </c>
      <c r="AO39" s="289">
        <f t="shared" si="71"/>
        <v>1</v>
      </c>
      <c r="AP39" s="74"/>
      <c r="AQ39" s="1" t="s">
        <v>954</v>
      </c>
      <c r="AR39" s="98" t="s">
        <v>0</v>
      </c>
      <c r="AS39" s="18" t="s">
        <v>11</v>
      </c>
      <c r="AT39" s="112"/>
      <c r="AU39" s="99">
        <f t="shared" si="72"/>
        <v>0</v>
      </c>
      <c r="AV39" s="99">
        <v>0</v>
      </c>
      <c r="AW39" s="99">
        <f t="shared" si="73"/>
        <v>0</v>
      </c>
      <c r="AX39" s="99">
        <v>0</v>
      </c>
      <c r="AY39" s="100">
        <f t="shared" si="74"/>
        <v>0</v>
      </c>
      <c r="BA39" s="113" t="s">
        <v>991</v>
      </c>
      <c r="BC39" s="1">
        <v>3.56</v>
      </c>
      <c r="BP39" s="9" t="s">
        <v>174</v>
      </c>
      <c r="BR39" s="9" t="s">
        <v>171</v>
      </c>
      <c r="BS39" s="9" t="s">
        <v>42</v>
      </c>
      <c r="BW39" s="9" t="s">
        <v>148</v>
      </c>
      <c r="CC39" s="72">
        <f t="shared" si="75"/>
        <v>0</v>
      </c>
      <c r="CD39" s="72">
        <f t="shared" si="76"/>
        <v>50.293999999999997</v>
      </c>
      <c r="CE39" s="72">
        <f t="shared" si="77"/>
        <v>0</v>
      </c>
      <c r="CF39" s="72">
        <f t="shared" si="78"/>
        <v>0</v>
      </c>
      <c r="CG39" s="72">
        <f t="shared" si="79"/>
        <v>0</v>
      </c>
      <c r="CH39" s="9" t="s">
        <v>42</v>
      </c>
      <c r="CI39" s="101">
        <f t="shared" si="80"/>
        <v>50.293999999999997</v>
      </c>
      <c r="CJ39" s="9" t="s">
        <v>169</v>
      </c>
      <c r="CK39" s="9" t="s">
        <v>507</v>
      </c>
    </row>
    <row r="40" spans="2:89" s="1" customFormat="1" ht="31.5" customHeight="1">
      <c r="B40" s="73"/>
      <c r="C40" s="93" t="s">
        <v>169</v>
      </c>
      <c r="D40" s="93" t="s">
        <v>149</v>
      </c>
      <c r="E40" s="94" t="s">
        <v>304</v>
      </c>
      <c r="F40" s="498" t="s">
        <v>305</v>
      </c>
      <c r="G40" s="498"/>
      <c r="H40" s="498"/>
      <c r="I40" s="498"/>
      <c r="J40" s="95" t="s">
        <v>152</v>
      </c>
      <c r="K40" s="128">
        <v>0.81100000000000005</v>
      </c>
      <c r="L40" s="128">
        <v>0.81100000000000005</v>
      </c>
      <c r="M40" s="128">
        <v>0.81100000000000005</v>
      </c>
      <c r="N40" s="403">
        <f t="shared" si="50"/>
        <v>2.4330000000000003</v>
      </c>
      <c r="O40" s="400">
        <v>0</v>
      </c>
      <c r="P40" s="128">
        <v>0</v>
      </c>
      <c r="Q40" s="128">
        <v>0</v>
      </c>
      <c r="R40" s="165">
        <f t="shared" si="51"/>
        <v>0</v>
      </c>
      <c r="S40" s="289">
        <f t="shared" si="52"/>
        <v>0</v>
      </c>
      <c r="T40" s="400">
        <f t="shared" si="53"/>
        <v>0.81100000000000005</v>
      </c>
      <c r="U40" s="128">
        <f t="shared" si="54"/>
        <v>0.81100000000000005</v>
      </c>
      <c r="V40" s="128">
        <f t="shared" si="55"/>
        <v>0.81100000000000005</v>
      </c>
      <c r="W40" s="165">
        <f t="shared" si="56"/>
        <v>2.4330000000000003</v>
      </c>
      <c r="X40" s="289">
        <f t="shared" si="57"/>
        <v>1</v>
      </c>
      <c r="Y40" s="127">
        <v>30.16</v>
      </c>
      <c r="Z40" s="127">
        <v>30.16</v>
      </c>
      <c r="AA40" s="127">
        <v>30.16</v>
      </c>
      <c r="AB40" s="128">
        <f t="shared" si="58"/>
        <v>24.46</v>
      </c>
      <c r="AC40" s="128">
        <f t="shared" si="59"/>
        <v>24.46</v>
      </c>
      <c r="AD40" s="128">
        <f t="shared" si="60"/>
        <v>24.46</v>
      </c>
      <c r="AE40" s="411">
        <f t="shared" si="61"/>
        <v>73.38</v>
      </c>
      <c r="AF40" s="400">
        <f t="shared" si="62"/>
        <v>0</v>
      </c>
      <c r="AG40" s="128">
        <f t="shared" si="63"/>
        <v>0</v>
      </c>
      <c r="AH40" s="128">
        <f t="shared" si="64"/>
        <v>0</v>
      </c>
      <c r="AI40" s="128">
        <f t="shared" si="65"/>
        <v>0</v>
      </c>
      <c r="AJ40" s="289">
        <f t="shared" si="66"/>
        <v>0</v>
      </c>
      <c r="AK40" s="400">
        <f t="shared" si="67"/>
        <v>24.46</v>
      </c>
      <c r="AL40" s="128">
        <f t="shared" si="68"/>
        <v>24.46</v>
      </c>
      <c r="AM40" s="128">
        <f t="shared" si="69"/>
        <v>24.46</v>
      </c>
      <c r="AN40" s="128">
        <f t="shared" si="70"/>
        <v>73.38</v>
      </c>
      <c r="AO40" s="289">
        <f t="shared" si="71"/>
        <v>1</v>
      </c>
      <c r="AP40" s="74"/>
      <c r="AR40" s="98" t="s">
        <v>0</v>
      </c>
      <c r="AS40" s="18" t="s">
        <v>11</v>
      </c>
      <c r="AT40" s="16"/>
      <c r="AU40" s="99">
        <f t="shared" si="72"/>
        <v>0</v>
      </c>
      <c r="AV40" s="99">
        <v>0</v>
      </c>
      <c r="AW40" s="99">
        <f t="shared" si="73"/>
        <v>0</v>
      </c>
      <c r="AX40" s="99">
        <v>0</v>
      </c>
      <c r="AY40" s="100">
        <f t="shared" si="74"/>
        <v>0</v>
      </c>
      <c r="BC40" s="1">
        <v>29</v>
      </c>
      <c r="BP40" s="9" t="s">
        <v>169</v>
      </c>
      <c r="BR40" s="9" t="s">
        <v>149</v>
      </c>
      <c r="BS40" s="9" t="s">
        <v>42</v>
      </c>
      <c r="BW40" s="9" t="s">
        <v>148</v>
      </c>
      <c r="CC40" s="72">
        <f t="shared" si="75"/>
        <v>0</v>
      </c>
      <c r="CD40" s="72">
        <f t="shared" si="76"/>
        <v>24.46</v>
      </c>
      <c r="CE40" s="72">
        <f t="shared" si="77"/>
        <v>0</v>
      </c>
      <c r="CF40" s="72">
        <f t="shared" si="78"/>
        <v>0</v>
      </c>
      <c r="CG40" s="72">
        <f t="shared" si="79"/>
        <v>0</v>
      </c>
      <c r="CH40" s="9" t="s">
        <v>42</v>
      </c>
      <c r="CI40" s="101">
        <f t="shared" si="80"/>
        <v>24.46</v>
      </c>
      <c r="CJ40" s="9" t="s">
        <v>169</v>
      </c>
      <c r="CK40" s="9" t="s">
        <v>508</v>
      </c>
    </row>
    <row r="41" spans="2:89" s="7" customFormat="1" ht="29.85" customHeight="1">
      <c r="B41" s="82"/>
      <c r="C41" s="83"/>
      <c r="D41" s="92" t="s">
        <v>335</v>
      </c>
      <c r="E41" s="92"/>
      <c r="F41" s="92"/>
      <c r="G41" s="92"/>
      <c r="H41" s="92"/>
      <c r="I41" s="92"/>
      <c r="J41" s="92"/>
      <c r="K41" s="92"/>
      <c r="L41" s="92"/>
      <c r="M41" s="92"/>
      <c r="N41" s="176"/>
      <c r="O41" s="92"/>
      <c r="P41" s="92"/>
      <c r="Q41" s="92"/>
      <c r="R41" s="176"/>
      <c r="S41" s="176"/>
      <c r="T41" s="92"/>
      <c r="U41" s="92"/>
      <c r="V41" s="92"/>
      <c r="W41" s="176"/>
      <c r="X41" s="176"/>
      <c r="Y41" s="92"/>
      <c r="Z41" s="92"/>
      <c r="AA41" s="92"/>
      <c r="AB41" s="134">
        <f t="shared" ref="AB41:AE41" si="81">SUM(AB42:AB44)</f>
        <v>481.10899999999998</v>
      </c>
      <c r="AC41" s="134">
        <f t="shared" si="81"/>
        <v>481.10899999999998</v>
      </c>
      <c r="AD41" s="134">
        <f t="shared" si="81"/>
        <v>144.821</v>
      </c>
      <c r="AE41" s="434">
        <f t="shared" si="81"/>
        <v>1107.0389999999998</v>
      </c>
      <c r="AF41" s="134">
        <f t="shared" ref="AF41:AI41" si="82">SUM(AF42:AF44)</f>
        <v>0</v>
      </c>
      <c r="AG41" s="134">
        <f t="shared" si="82"/>
        <v>8.9420000000000002</v>
      </c>
      <c r="AH41" s="134">
        <f t="shared" si="82"/>
        <v>0</v>
      </c>
      <c r="AI41" s="134">
        <f t="shared" si="82"/>
        <v>8.9420000000000002</v>
      </c>
      <c r="AJ41" s="163"/>
      <c r="AK41" s="134">
        <f t="shared" ref="AK41:AN41" si="83">SUM(AK42:AK44)</f>
        <v>481.10899999999998</v>
      </c>
      <c r="AL41" s="134">
        <f t="shared" si="83"/>
        <v>472.16699999999997</v>
      </c>
      <c r="AM41" s="134">
        <f t="shared" si="83"/>
        <v>144.821</v>
      </c>
      <c r="AN41" s="134">
        <f t="shared" si="83"/>
        <v>1098.0969999999998</v>
      </c>
      <c r="AO41" s="163"/>
      <c r="AP41" s="85"/>
      <c r="AR41" s="86"/>
      <c r="AS41" s="83"/>
      <c r="AT41" s="83"/>
      <c r="AU41" s="87">
        <f>SUM(AU42:AU44)</f>
        <v>0</v>
      </c>
      <c r="AV41" s="83"/>
      <c r="AW41" s="87">
        <f>SUM(AW42:AW44)</f>
        <v>0</v>
      </c>
      <c r="AX41" s="83"/>
      <c r="AY41" s="88">
        <f>SUM(AY42:AY44)</f>
        <v>0</v>
      </c>
      <c r="BP41" s="89" t="s">
        <v>42</v>
      </c>
      <c r="BR41" s="90" t="s">
        <v>30</v>
      </c>
      <c r="BS41" s="90" t="s">
        <v>38</v>
      </c>
      <c r="BW41" s="89" t="s">
        <v>148</v>
      </c>
      <c r="CI41" s="91">
        <f>SUM(CI42:CI44)</f>
        <v>481.10899999999998</v>
      </c>
    </row>
    <row r="42" spans="2:89" s="1" customFormat="1" ht="44.25" customHeight="1">
      <c r="B42" s="73"/>
      <c r="C42" s="93" t="s">
        <v>195</v>
      </c>
      <c r="D42" s="93" t="s">
        <v>149</v>
      </c>
      <c r="E42" s="94" t="s">
        <v>459</v>
      </c>
      <c r="F42" s="498" t="s">
        <v>460</v>
      </c>
      <c r="G42" s="498"/>
      <c r="H42" s="498"/>
      <c r="I42" s="498"/>
      <c r="J42" s="95" t="s">
        <v>198</v>
      </c>
      <c r="K42" s="128">
        <v>26.6</v>
      </c>
      <c r="L42" s="128">
        <v>26.6</v>
      </c>
      <c r="M42" s="128">
        <v>8</v>
      </c>
      <c r="N42" s="403">
        <f>SUM(K42:M42)</f>
        <v>61.2</v>
      </c>
      <c r="O42" s="400">
        <v>0</v>
      </c>
      <c r="P42" s="400">
        <v>13.15</v>
      </c>
      <c r="Q42" s="400">
        <v>0</v>
      </c>
      <c r="R42" s="165">
        <f>SUM(O42:Q42)</f>
        <v>13.15</v>
      </c>
      <c r="S42" s="289">
        <f t="shared" ref="S42:S44" si="84">R42/N42</f>
        <v>0.21486928104575162</v>
      </c>
      <c r="T42" s="400">
        <f t="shared" ref="T42:T44" si="85">K42-O42</f>
        <v>26.6</v>
      </c>
      <c r="U42" s="400">
        <f t="shared" ref="U42:U44" si="86">L42-P42</f>
        <v>13.450000000000001</v>
      </c>
      <c r="V42" s="400">
        <f t="shared" ref="V42:V44" si="87">M42-Q42</f>
        <v>8</v>
      </c>
      <c r="W42" s="165">
        <f>SUM(T42:V42)</f>
        <v>48.050000000000004</v>
      </c>
      <c r="X42" s="289">
        <f t="shared" ref="X42:X44" si="88">W42/N42</f>
        <v>0.78513071895424835</v>
      </c>
      <c r="Y42" s="127">
        <v>0.68</v>
      </c>
      <c r="Z42" s="127">
        <v>0.68</v>
      </c>
      <c r="AA42" s="127">
        <v>0.68</v>
      </c>
      <c r="AB42" s="128">
        <f t="shared" ref="AB42:AD44" si="89">ROUND(Y42*K42,3)</f>
        <v>18.088000000000001</v>
      </c>
      <c r="AC42" s="128">
        <f t="shared" si="89"/>
        <v>18.088000000000001</v>
      </c>
      <c r="AD42" s="128">
        <f t="shared" si="89"/>
        <v>5.44</v>
      </c>
      <c r="AE42" s="411">
        <f>AB42+AC42+AD42</f>
        <v>41.616</v>
      </c>
      <c r="AF42" s="400">
        <f t="shared" ref="AF42:AF44" si="90">ROUND(Y42*O42,3)</f>
        <v>0</v>
      </c>
      <c r="AG42" s="128">
        <f t="shared" ref="AG42:AG44" si="91">ROUND(Z42*P42,3)</f>
        <v>8.9420000000000002</v>
      </c>
      <c r="AH42" s="128">
        <f t="shared" ref="AH42:AH44" si="92">ROUND(AA42*Q42,3)</f>
        <v>0</v>
      </c>
      <c r="AI42" s="128">
        <f>AF42+AG42+AH42</f>
        <v>8.9420000000000002</v>
      </c>
      <c r="AJ42" s="289">
        <f t="shared" ref="AJ42:AJ44" si="93">AI42/AE42</f>
        <v>0.21486928104575165</v>
      </c>
      <c r="AK42" s="400">
        <f t="shared" ref="AK42:AK44" si="94">AB42-AF42</f>
        <v>18.088000000000001</v>
      </c>
      <c r="AL42" s="400">
        <f t="shared" ref="AL42:AL44" si="95">AC42-AG42</f>
        <v>9.1460000000000008</v>
      </c>
      <c r="AM42" s="400">
        <f t="shared" ref="AM42:AM44" si="96">AD42-AH42</f>
        <v>5.44</v>
      </c>
      <c r="AN42" s="128">
        <f>AK42+AL42+AM42</f>
        <v>32.673999999999999</v>
      </c>
      <c r="AO42" s="289">
        <f t="shared" ref="AO42:AO44" si="97">AN42/AE42</f>
        <v>0.78513071895424835</v>
      </c>
      <c r="AP42" s="74"/>
      <c r="AR42" s="98" t="s">
        <v>0</v>
      </c>
      <c r="AS42" s="18" t="s">
        <v>11</v>
      </c>
      <c r="AT42" s="16"/>
      <c r="AU42" s="99">
        <f>AT42*K42</f>
        <v>0</v>
      </c>
      <c r="AV42" s="99">
        <v>0</v>
      </c>
      <c r="AW42" s="99">
        <f>AV42*K42</f>
        <v>0</v>
      </c>
      <c r="AX42" s="99">
        <v>0</v>
      </c>
      <c r="AY42" s="100">
        <f>AX42*K42</f>
        <v>0</v>
      </c>
      <c r="BC42" s="1">
        <v>0.65</v>
      </c>
      <c r="BP42" s="9" t="s">
        <v>169</v>
      </c>
      <c r="BR42" s="9" t="s">
        <v>149</v>
      </c>
      <c r="BS42" s="9" t="s">
        <v>42</v>
      </c>
      <c r="BW42" s="9" t="s">
        <v>148</v>
      </c>
      <c r="CC42" s="72">
        <f>IF(AS42="základná",AB42,0)</f>
        <v>0</v>
      </c>
      <c r="CD42" s="72">
        <f>IF(AS42="znížená",AB42,0)</f>
        <v>18.088000000000001</v>
      </c>
      <c r="CE42" s="72">
        <f>IF(AS42="zákl. prenesená",AB42,0)</f>
        <v>0</v>
      </c>
      <c r="CF42" s="72">
        <f>IF(AS42="zníž. prenesená",AB42,0)</f>
        <v>0</v>
      </c>
      <c r="CG42" s="72">
        <f>IF(AS42="nulová",AB42,0)</f>
        <v>0</v>
      </c>
      <c r="CH42" s="9" t="s">
        <v>42</v>
      </c>
      <c r="CI42" s="101">
        <f>ROUND(Y42*K42,3)</f>
        <v>18.088000000000001</v>
      </c>
      <c r="CJ42" s="9" t="s">
        <v>169</v>
      </c>
      <c r="CK42" s="9" t="s">
        <v>509</v>
      </c>
    </row>
    <row r="43" spans="2:89" s="1" customFormat="1" ht="22.5" customHeight="1">
      <c r="B43" s="73"/>
      <c r="C43" s="93" t="s">
        <v>199</v>
      </c>
      <c r="D43" s="93" t="s">
        <v>149</v>
      </c>
      <c r="E43" s="94" t="s">
        <v>461</v>
      </c>
      <c r="F43" s="498" t="s">
        <v>462</v>
      </c>
      <c r="G43" s="498"/>
      <c r="H43" s="498"/>
      <c r="I43" s="498"/>
      <c r="J43" s="95" t="s">
        <v>198</v>
      </c>
      <c r="K43" s="128">
        <v>26.6</v>
      </c>
      <c r="L43" s="128">
        <v>26.6</v>
      </c>
      <c r="M43" s="128">
        <v>8</v>
      </c>
      <c r="N43" s="403">
        <f>SUM(K43:M43)</f>
        <v>61.2</v>
      </c>
      <c r="O43" s="400">
        <v>0</v>
      </c>
      <c r="P43" s="400">
        <v>0</v>
      </c>
      <c r="Q43" s="400">
        <v>0</v>
      </c>
      <c r="R43" s="165">
        <f>SUM(O43:Q43)</f>
        <v>0</v>
      </c>
      <c r="S43" s="289">
        <f t="shared" si="84"/>
        <v>0</v>
      </c>
      <c r="T43" s="400">
        <f t="shared" si="85"/>
        <v>26.6</v>
      </c>
      <c r="U43" s="400">
        <f t="shared" si="86"/>
        <v>26.6</v>
      </c>
      <c r="V43" s="400">
        <f t="shared" si="87"/>
        <v>8</v>
      </c>
      <c r="W43" s="165">
        <f>SUM(T43:V43)</f>
        <v>61.2</v>
      </c>
      <c r="X43" s="289">
        <f t="shared" si="88"/>
        <v>1</v>
      </c>
      <c r="Y43" s="127">
        <v>17.399999999999999</v>
      </c>
      <c r="Z43" s="127">
        <v>17.399999999999999</v>
      </c>
      <c r="AA43" s="127">
        <v>17.399999999999999</v>
      </c>
      <c r="AB43" s="128">
        <f t="shared" si="89"/>
        <v>462.84</v>
      </c>
      <c r="AC43" s="128">
        <f t="shared" si="89"/>
        <v>462.84</v>
      </c>
      <c r="AD43" s="128">
        <f t="shared" si="89"/>
        <v>139.19999999999999</v>
      </c>
      <c r="AE43" s="411">
        <f>AB43+AC43+AD43</f>
        <v>1064.8799999999999</v>
      </c>
      <c r="AF43" s="400">
        <f t="shared" si="90"/>
        <v>0</v>
      </c>
      <c r="AG43" s="128">
        <f t="shared" si="91"/>
        <v>0</v>
      </c>
      <c r="AH43" s="128">
        <f t="shared" si="92"/>
        <v>0</v>
      </c>
      <c r="AI43" s="128">
        <f>AF43+AG43+AH43</f>
        <v>0</v>
      </c>
      <c r="AJ43" s="289">
        <f t="shared" si="93"/>
        <v>0</v>
      </c>
      <c r="AK43" s="400">
        <f t="shared" si="94"/>
        <v>462.84</v>
      </c>
      <c r="AL43" s="400">
        <f t="shared" si="95"/>
        <v>462.84</v>
      </c>
      <c r="AM43" s="400">
        <f t="shared" si="96"/>
        <v>139.19999999999999</v>
      </c>
      <c r="AN43" s="128">
        <f>AK43+AL43+AM43</f>
        <v>1064.8799999999999</v>
      </c>
      <c r="AO43" s="289">
        <f t="shared" si="97"/>
        <v>1</v>
      </c>
      <c r="AP43" s="74"/>
      <c r="AQ43" s="1" t="s">
        <v>954</v>
      </c>
      <c r="AR43" s="98" t="s">
        <v>0</v>
      </c>
      <c r="AS43" s="18" t="s">
        <v>11</v>
      </c>
      <c r="AT43" s="112"/>
      <c r="AU43" s="99">
        <f>AT43*K43</f>
        <v>0</v>
      </c>
      <c r="AV43" s="99">
        <v>0</v>
      </c>
      <c r="AW43" s="99">
        <f>AV43*K43</f>
        <v>0</v>
      </c>
      <c r="AX43" s="99">
        <v>0</v>
      </c>
      <c r="AY43" s="100">
        <f>AX43*K43</f>
        <v>0</v>
      </c>
      <c r="BA43" s="113" t="s">
        <v>995</v>
      </c>
      <c r="BC43" s="1">
        <v>16.73</v>
      </c>
      <c r="BP43" s="9" t="s">
        <v>169</v>
      </c>
      <c r="BR43" s="9" t="s">
        <v>149</v>
      </c>
      <c r="BS43" s="9" t="s">
        <v>42</v>
      </c>
      <c r="BW43" s="9" t="s">
        <v>148</v>
      </c>
      <c r="CC43" s="72">
        <f>IF(AS43="základná",AB43,0)</f>
        <v>0</v>
      </c>
      <c r="CD43" s="72">
        <f>IF(AS43="znížená",AB43,0)</f>
        <v>462.84</v>
      </c>
      <c r="CE43" s="72">
        <f>IF(AS43="zákl. prenesená",AB43,0)</f>
        <v>0</v>
      </c>
      <c r="CF43" s="72">
        <f>IF(AS43="zníž. prenesená",AB43,0)</f>
        <v>0</v>
      </c>
      <c r="CG43" s="72">
        <f>IF(AS43="nulová",AB43,0)</f>
        <v>0</v>
      </c>
      <c r="CH43" s="9" t="s">
        <v>42</v>
      </c>
      <c r="CI43" s="101">
        <f>ROUND(Y43*K43,3)</f>
        <v>462.84</v>
      </c>
      <c r="CJ43" s="9" t="s">
        <v>169</v>
      </c>
      <c r="CK43" s="9" t="s">
        <v>510</v>
      </c>
    </row>
    <row r="44" spans="2:89" s="1" customFormat="1" ht="31.5" customHeight="1">
      <c r="B44" s="73"/>
      <c r="C44" s="93" t="s">
        <v>200</v>
      </c>
      <c r="D44" s="93" t="s">
        <v>149</v>
      </c>
      <c r="E44" s="94" t="s">
        <v>359</v>
      </c>
      <c r="F44" s="498" t="s">
        <v>360</v>
      </c>
      <c r="G44" s="498"/>
      <c r="H44" s="498"/>
      <c r="I44" s="498"/>
      <c r="J44" s="95" t="s">
        <v>152</v>
      </c>
      <c r="K44" s="128">
        <v>3.0000000000000001E-3</v>
      </c>
      <c r="L44" s="128">
        <v>3.0000000000000001E-3</v>
      </c>
      <c r="M44" s="128">
        <v>3.0000000000000001E-3</v>
      </c>
      <c r="N44" s="403">
        <f>SUM(K44:M44)</f>
        <v>9.0000000000000011E-3</v>
      </c>
      <c r="O44" s="400">
        <v>0</v>
      </c>
      <c r="P44" s="400">
        <v>0</v>
      </c>
      <c r="Q44" s="400">
        <v>0</v>
      </c>
      <c r="R44" s="165">
        <f>SUM(O44:Q44)</f>
        <v>0</v>
      </c>
      <c r="S44" s="289">
        <f t="shared" si="84"/>
        <v>0</v>
      </c>
      <c r="T44" s="400">
        <f t="shared" si="85"/>
        <v>3.0000000000000001E-3</v>
      </c>
      <c r="U44" s="400">
        <f t="shared" si="86"/>
        <v>3.0000000000000001E-3</v>
      </c>
      <c r="V44" s="400">
        <f t="shared" si="87"/>
        <v>3.0000000000000001E-3</v>
      </c>
      <c r="W44" s="165">
        <f>SUM(T44:V44)</f>
        <v>9.0000000000000011E-3</v>
      </c>
      <c r="X44" s="289">
        <f t="shared" si="88"/>
        <v>1</v>
      </c>
      <c r="Y44" s="127">
        <v>60.32</v>
      </c>
      <c r="Z44" s="127">
        <v>60.32</v>
      </c>
      <c r="AA44" s="127">
        <v>60.32</v>
      </c>
      <c r="AB44" s="128">
        <f t="shared" si="89"/>
        <v>0.18099999999999999</v>
      </c>
      <c r="AC44" s="128">
        <f t="shared" si="89"/>
        <v>0.18099999999999999</v>
      </c>
      <c r="AD44" s="128">
        <f t="shared" si="89"/>
        <v>0.18099999999999999</v>
      </c>
      <c r="AE44" s="411">
        <f>AB44+AC44+AD44</f>
        <v>0.54299999999999993</v>
      </c>
      <c r="AF44" s="400">
        <f t="shared" si="90"/>
        <v>0</v>
      </c>
      <c r="AG44" s="128">
        <f t="shared" si="91"/>
        <v>0</v>
      </c>
      <c r="AH44" s="128">
        <f t="shared" si="92"/>
        <v>0</v>
      </c>
      <c r="AI44" s="128">
        <f>AF44+AG44+AH44</f>
        <v>0</v>
      </c>
      <c r="AJ44" s="289">
        <f t="shared" si="93"/>
        <v>0</v>
      </c>
      <c r="AK44" s="400">
        <f t="shared" si="94"/>
        <v>0.18099999999999999</v>
      </c>
      <c r="AL44" s="400">
        <f t="shared" si="95"/>
        <v>0.18099999999999999</v>
      </c>
      <c r="AM44" s="400">
        <f t="shared" si="96"/>
        <v>0.18099999999999999</v>
      </c>
      <c r="AN44" s="128">
        <f>AK44+AL44+AM44</f>
        <v>0.54299999999999993</v>
      </c>
      <c r="AO44" s="289">
        <f t="shared" si="97"/>
        <v>1</v>
      </c>
      <c r="AP44" s="74"/>
      <c r="AR44" s="98" t="s">
        <v>0</v>
      </c>
      <c r="AS44" s="18" t="s">
        <v>11</v>
      </c>
      <c r="AT44" s="16"/>
      <c r="AU44" s="99">
        <f>AT44*K44</f>
        <v>0</v>
      </c>
      <c r="AV44" s="99">
        <v>0</v>
      </c>
      <c r="AW44" s="99">
        <f>AV44*K44</f>
        <v>0</v>
      </c>
      <c r="AX44" s="99">
        <v>0</v>
      </c>
      <c r="AY44" s="100">
        <f>AX44*K44</f>
        <v>0</v>
      </c>
      <c r="BC44" s="1">
        <v>58</v>
      </c>
      <c r="BP44" s="9" t="s">
        <v>169</v>
      </c>
      <c r="BR44" s="9" t="s">
        <v>149</v>
      </c>
      <c r="BS44" s="9" t="s">
        <v>42</v>
      </c>
      <c r="BW44" s="9" t="s">
        <v>148</v>
      </c>
      <c r="CC44" s="72">
        <f>IF(AS44="základná",AB44,0)</f>
        <v>0</v>
      </c>
      <c r="CD44" s="72">
        <f>IF(AS44="znížená",AB44,0)</f>
        <v>0.18099999999999999</v>
      </c>
      <c r="CE44" s="72">
        <f>IF(AS44="zákl. prenesená",AB44,0)</f>
        <v>0</v>
      </c>
      <c r="CF44" s="72">
        <f>IF(AS44="zníž. prenesená",AB44,0)</f>
        <v>0</v>
      </c>
      <c r="CG44" s="72">
        <f>IF(AS44="nulová",AB44,0)</f>
        <v>0</v>
      </c>
      <c r="CH44" s="9" t="s">
        <v>42</v>
      </c>
      <c r="CI44" s="101">
        <f>ROUND(Y44*K44,3)</f>
        <v>0.18099999999999999</v>
      </c>
      <c r="CJ44" s="9" t="s">
        <v>169</v>
      </c>
      <c r="CK44" s="9" t="s">
        <v>511</v>
      </c>
    </row>
    <row r="45" spans="2:89" s="7" customFormat="1" ht="29.85" customHeight="1">
      <c r="B45" s="82"/>
      <c r="C45" s="83"/>
      <c r="D45" s="92" t="s">
        <v>247</v>
      </c>
      <c r="E45" s="92"/>
      <c r="F45" s="92"/>
      <c r="G45" s="92"/>
      <c r="H45" s="92"/>
      <c r="I45" s="92"/>
      <c r="J45" s="92"/>
      <c r="K45" s="92"/>
      <c r="L45" s="92"/>
      <c r="M45" s="92"/>
      <c r="N45" s="176"/>
      <c r="O45" s="92"/>
      <c r="P45" s="92"/>
      <c r="Q45" s="92"/>
      <c r="R45" s="176"/>
      <c r="S45" s="176"/>
      <c r="T45" s="92"/>
      <c r="U45" s="92"/>
      <c r="V45" s="92"/>
      <c r="W45" s="176"/>
      <c r="X45" s="176"/>
      <c r="Y45" s="92"/>
      <c r="Z45" s="92"/>
      <c r="AA45" s="92"/>
      <c r="AB45" s="134">
        <f t="shared" ref="AB45:AE45" si="98">SUM(AB46:AB49)</f>
        <v>2526.7979999999998</v>
      </c>
      <c r="AC45" s="134">
        <f t="shared" si="98"/>
        <v>2526.7979999999998</v>
      </c>
      <c r="AD45" s="134">
        <f t="shared" si="98"/>
        <v>5173.5119999999997</v>
      </c>
      <c r="AE45" s="434">
        <f t="shared" si="98"/>
        <v>10227.108000000002</v>
      </c>
      <c r="AF45" s="134">
        <f t="shared" ref="AF45:AI45" si="99">SUM(AF46:AF49)</f>
        <v>0</v>
      </c>
      <c r="AG45" s="134">
        <f t="shared" si="99"/>
        <v>0</v>
      </c>
      <c r="AH45" s="134">
        <f t="shared" si="99"/>
        <v>0</v>
      </c>
      <c r="AI45" s="134">
        <f t="shared" si="99"/>
        <v>0</v>
      </c>
      <c r="AJ45" s="163"/>
      <c r="AK45" s="134">
        <f t="shared" ref="AK45:AN45" si="100">SUM(AK46:AK49)</f>
        <v>2526.7979999999998</v>
      </c>
      <c r="AL45" s="134">
        <f t="shared" si="100"/>
        <v>2526.7979999999998</v>
      </c>
      <c r="AM45" s="134">
        <f t="shared" si="100"/>
        <v>5173.5119999999997</v>
      </c>
      <c r="AN45" s="134">
        <f t="shared" si="100"/>
        <v>10227.108000000002</v>
      </c>
      <c r="AO45" s="163"/>
      <c r="AP45" s="85"/>
      <c r="AR45" s="86"/>
      <c r="AS45" s="83"/>
      <c r="AT45" s="83"/>
      <c r="AU45" s="87">
        <f>SUM(AU46:AU49)</f>
        <v>0</v>
      </c>
      <c r="AV45" s="83"/>
      <c r="AW45" s="87">
        <f>SUM(AW46:AW49)</f>
        <v>0</v>
      </c>
      <c r="AX45" s="83"/>
      <c r="AY45" s="88">
        <f>SUM(AY46:AY49)</f>
        <v>0</v>
      </c>
      <c r="BP45" s="89" t="s">
        <v>42</v>
      </c>
      <c r="BR45" s="90" t="s">
        <v>30</v>
      </c>
      <c r="BS45" s="90" t="s">
        <v>38</v>
      </c>
      <c r="BW45" s="89" t="s">
        <v>148</v>
      </c>
      <c r="CI45" s="91">
        <f>SUM(CI46:CI49)</f>
        <v>2526.7979999999998</v>
      </c>
    </row>
    <row r="46" spans="2:89" s="1" customFormat="1" ht="31.5" customHeight="1">
      <c r="B46" s="73"/>
      <c r="C46" s="93" t="s">
        <v>1</v>
      </c>
      <c r="D46" s="93" t="s">
        <v>149</v>
      </c>
      <c r="E46" s="94" t="s">
        <v>463</v>
      </c>
      <c r="F46" s="498" t="s">
        <v>512</v>
      </c>
      <c r="G46" s="498"/>
      <c r="H46" s="498"/>
      <c r="I46" s="498"/>
      <c r="J46" s="95" t="s">
        <v>198</v>
      </c>
      <c r="K46" s="128">
        <v>8.6999999999999993</v>
      </c>
      <c r="L46" s="128">
        <v>8.6999999999999993</v>
      </c>
      <c r="M46" s="128">
        <v>28</v>
      </c>
      <c r="N46" s="403">
        <f>SUM(K46:M46)</f>
        <v>45.4</v>
      </c>
      <c r="O46" s="400">
        <v>0</v>
      </c>
      <c r="P46" s="128">
        <v>0</v>
      </c>
      <c r="Q46" s="128">
        <v>0</v>
      </c>
      <c r="R46" s="165">
        <f>SUM(O46:Q46)</f>
        <v>0</v>
      </c>
      <c r="S46" s="289">
        <f t="shared" ref="S46:S49" si="101">R46/N46</f>
        <v>0</v>
      </c>
      <c r="T46" s="400">
        <f t="shared" ref="T46:T49" si="102">K46-O46</f>
        <v>8.6999999999999993</v>
      </c>
      <c r="U46" s="128">
        <f t="shared" ref="U46:U49" si="103">L46-P46</f>
        <v>8.6999999999999993</v>
      </c>
      <c r="V46" s="128">
        <f t="shared" ref="V46:V49" si="104">M46-Q46</f>
        <v>28</v>
      </c>
      <c r="W46" s="165">
        <f>SUM(T46:V46)</f>
        <v>45.4</v>
      </c>
      <c r="X46" s="289">
        <f t="shared" ref="X46:X49" si="105">W46/N46</f>
        <v>1</v>
      </c>
      <c r="Y46" s="127">
        <v>10.17</v>
      </c>
      <c r="Z46" s="127">
        <v>10.17</v>
      </c>
      <c r="AA46" s="127">
        <v>10.17</v>
      </c>
      <c r="AB46" s="128">
        <f t="shared" ref="AB46:AD49" si="106">ROUND(Y46*K46,3)</f>
        <v>88.478999999999999</v>
      </c>
      <c r="AC46" s="128">
        <f t="shared" si="106"/>
        <v>88.478999999999999</v>
      </c>
      <c r="AD46" s="128">
        <f t="shared" si="106"/>
        <v>284.76</v>
      </c>
      <c r="AE46" s="411">
        <f>AB46+AC46+AD46</f>
        <v>461.71799999999996</v>
      </c>
      <c r="AF46" s="400">
        <f t="shared" ref="AF46:AF49" si="107">ROUND(Y46*O46,3)</f>
        <v>0</v>
      </c>
      <c r="AG46" s="128">
        <f t="shared" ref="AG46:AG49" si="108">ROUND(Z46*P46,3)</f>
        <v>0</v>
      </c>
      <c r="AH46" s="128">
        <f t="shared" ref="AH46:AH49" si="109">ROUND(AA46*Q46,3)</f>
        <v>0</v>
      </c>
      <c r="AI46" s="128">
        <f>AF46+AG46+AH46</f>
        <v>0</v>
      </c>
      <c r="AJ46" s="289">
        <f t="shared" ref="AJ46:AJ49" si="110">AI46/AE46</f>
        <v>0</v>
      </c>
      <c r="AK46" s="400">
        <f t="shared" ref="AK46:AK49" si="111">AB46-AF46</f>
        <v>88.478999999999999</v>
      </c>
      <c r="AL46" s="128">
        <f t="shared" ref="AL46:AL49" si="112">AC46-AG46</f>
        <v>88.478999999999999</v>
      </c>
      <c r="AM46" s="128">
        <f t="shared" ref="AM46:AM49" si="113">AD46-AH46</f>
        <v>284.76</v>
      </c>
      <c r="AN46" s="128">
        <f>AK46+AL46+AM46</f>
        <v>461.71799999999996</v>
      </c>
      <c r="AO46" s="289">
        <f t="shared" ref="AO46:AO49" si="114">AN46/AE46</f>
        <v>1</v>
      </c>
      <c r="AP46" s="74"/>
      <c r="AR46" s="98" t="s">
        <v>0</v>
      </c>
      <c r="AS46" s="18" t="s">
        <v>11</v>
      </c>
      <c r="AT46" s="16"/>
      <c r="AU46" s="99">
        <f>AT46*K46</f>
        <v>0</v>
      </c>
      <c r="AV46" s="99">
        <v>0</v>
      </c>
      <c r="AW46" s="99">
        <f>AV46*K46</f>
        <v>0</v>
      </c>
      <c r="AX46" s="99">
        <v>0</v>
      </c>
      <c r="AY46" s="100">
        <f>AX46*K46</f>
        <v>0</v>
      </c>
      <c r="BC46" s="1">
        <v>9.7799999999999994</v>
      </c>
      <c r="BP46" s="9" t="s">
        <v>169</v>
      </c>
      <c r="BR46" s="9" t="s">
        <v>149</v>
      </c>
      <c r="BS46" s="9" t="s">
        <v>42</v>
      </c>
      <c r="BW46" s="9" t="s">
        <v>148</v>
      </c>
      <c r="CC46" s="72">
        <f>IF(AS46="základná",AB46,0)</f>
        <v>0</v>
      </c>
      <c r="CD46" s="72">
        <f>IF(AS46="znížená",AB46,0)</f>
        <v>88.478999999999999</v>
      </c>
      <c r="CE46" s="72">
        <f>IF(AS46="zákl. prenesená",AB46,0)</f>
        <v>0</v>
      </c>
      <c r="CF46" s="72">
        <f>IF(AS46="zníž. prenesená",AB46,0)</f>
        <v>0</v>
      </c>
      <c r="CG46" s="72">
        <f>IF(AS46="nulová",AB46,0)</f>
        <v>0</v>
      </c>
      <c r="CH46" s="9" t="s">
        <v>42</v>
      </c>
      <c r="CI46" s="101">
        <f>ROUND(Y46*K46,3)</f>
        <v>88.478999999999999</v>
      </c>
      <c r="CJ46" s="9" t="s">
        <v>169</v>
      </c>
      <c r="CK46" s="9" t="s">
        <v>513</v>
      </c>
    </row>
    <row r="47" spans="2:89" s="1" customFormat="1" ht="57" customHeight="1">
      <c r="B47" s="73"/>
      <c r="C47" s="102" t="s">
        <v>205</v>
      </c>
      <c r="D47" s="102" t="s">
        <v>171</v>
      </c>
      <c r="E47" s="103" t="s">
        <v>464</v>
      </c>
      <c r="F47" s="499" t="s">
        <v>514</v>
      </c>
      <c r="G47" s="499"/>
      <c r="H47" s="499"/>
      <c r="I47" s="499"/>
      <c r="J47" s="104" t="s">
        <v>198</v>
      </c>
      <c r="K47" s="133">
        <v>13.5</v>
      </c>
      <c r="L47" s="133">
        <v>13.5</v>
      </c>
      <c r="M47" s="133">
        <v>28</v>
      </c>
      <c r="N47" s="404">
        <f>SUM(K47:M47)</f>
        <v>55</v>
      </c>
      <c r="O47" s="401">
        <v>0</v>
      </c>
      <c r="P47" s="133">
        <v>0</v>
      </c>
      <c r="Q47" s="133">
        <v>0</v>
      </c>
      <c r="R47" s="177">
        <f>SUM(O47:Q47)</f>
        <v>0</v>
      </c>
      <c r="S47" s="289">
        <f t="shared" si="101"/>
        <v>0</v>
      </c>
      <c r="T47" s="401">
        <f t="shared" si="102"/>
        <v>13.5</v>
      </c>
      <c r="U47" s="133">
        <f t="shared" si="103"/>
        <v>13.5</v>
      </c>
      <c r="V47" s="133">
        <f t="shared" si="104"/>
        <v>28</v>
      </c>
      <c r="W47" s="177">
        <f>SUM(T47:V47)</f>
        <v>55</v>
      </c>
      <c r="X47" s="289">
        <f t="shared" si="105"/>
        <v>1</v>
      </c>
      <c r="Y47" s="132">
        <v>163.25</v>
      </c>
      <c r="Z47" s="132">
        <v>163.25</v>
      </c>
      <c r="AA47" s="132">
        <v>163.25</v>
      </c>
      <c r="AB47" s="133">
        <f t="shared" si="106"/>
        <v>2203.875</v>
      </c>
      <c r="AC47" s="133">
        <f t="shared" si="106"/>
        <v>2203.875</v>
      </c>
      <c r="AD47" s="133">
        <f t="shared" si="106"/>
        <v>4571</v>
      </c>
      <c r="AE47" s="414">
        <f>AB47+AC47+AD47</f>
        <v>8978.75</v>
      </c>
      <c r="AF47" s="401">
        <f t="shared" si="107"/>
        <v>0</v>
      </c>
      <c r="AG47" s="133">
        <f t="shared" si="108"/>
        <v>0</v>
      </c>
      <c r="AH47" s="133">
        <f t="shared" si="109"/>
        <v>0</v>
      </c>
      <c r="AI47" s="133">
        <f>AF47+AG47+AH47</f>
        <v>0</v>
      </c>
      <c r="AJ47" s="289">
        <f t="shared" si="110"/>
        <v>0</v>
      </c>
      <c r="AK47" s="401">
        <f t="shared" si="111"/>
        <v>2203.875</v>
      </c>
      <c r="AL47" s="133">
        <f t="shared" si="112"/>
        <v>2203.875</v>
      </c>
      <c r="AM47" s="133">
        <f t="shared" si="113"/>
        <v>4571</v>
      </c>
      <c r="AN47" s="133">
        <f>AK47+AL47+AM47</f>
        <v>8978.75</v>
      </c>
      <c r="AO47" s="289">
        <f t="shared" si="114"/>
        <v>1</v>
      </c>
      <c r="AP47" s="74"/>
      <c r="AQ47" s="1" t="s">
        <v>993</v>
      </c>
      <c r="AR47" s="98" t="s">
        <v>0</v>
      </c>
      <c r="AS47" s="18" t="s">
        <v>11</v>
      </c>
      <c r="AT47" s="112"/>
      <c r="AU47" s="99">
        <f>AT47*K47</f>
        <v>0</v>
      </c>
      <c r="AV47" s="99">
        <v>0</v>
      </c>
      <c r="AW47" s="99">
        <f>AV47*K47</f>
        <v>0</v>
      </c>
      <c r="AX47" s="99">
        <v>0</v>
      </c>
      <c r="AY47" s="100">
        <f>AX47*K47</f>
        <v>0</v>
      </c>
      <c r="BA47" s="113" t="s">
        <v>994</v>
      </c>
      <c r="BC47" s="1">
        <v>156.97</v>
      </c>
      <c r="BP47" s="9" t="s">
        <v>174</v>
      </c>
      <c r="BR47" s="9" t="s">
        <v>171</v>
      </c>
      <c r="BS47" s="9" t="s">
        <v>42</v>
      </c>
      <c r="BW47" s="9" t="s">
        <v>148</v>
      </c>
      <c r="CC47" s="72">
        <f>IF(AS47="základná",AB47,0)</f>
        <v>0</v>
      </c>
      <c r="CD47" s="72">
        <f>IF(AS47="znížená",AB47,0)</f>
        <v>2203.875</v>
      </c>
      <c r="CE47" s="72">
        <f>IF(AS47="zákl. prenesená",AB47,0)</f>
        <v>0</v>
      </c>
      <c r="CF47" s="72">
        <f>IF(AS47="zníž. prenesená",AB47,0)</f>
        <v>0</v>
      </c>
      <c r="CG47" s="72">
        <f>IF(AS47="nulová",AB47,0)</f>
        <v>0</v>
      </c>
      <c r="CH47" s="9" t="s">
        <v>42</v>
      </c>
      <c r="CI47" s="101">
        <f>ROUND(Y47*K47,3)</f>
        <v>2203.875</v>
      </c>
      <c r="CJ47" s="9" t="s">
        <v>169</v>
      </c>
      <c r="CK47" s="9" t="s">
        <v>515</v>
      </c>
    </row>
    <row r="48" spans="2:89" s="1" customFormat="1" ht="22.5" customHeight="1">
      <c r="B48" s="73"/>
      <c r="C48" s="93" t="s">
        <v>208</v>
      </c>
      <c r="D48" s="93" t="s">
        <v>149</v>
      </c>
      <c r="E48" s="94" t="s">
        <v>320</v>
      </c>
      <c r="F48" s="498" t="s">
        <v>321</v>
      </c>
      <c r="G48" s="498"/>
      <c r="H48" s="498"/>
      <c r="I48" s="498"/>
      <c r="J48" s="95" t="s">
        <v>194</v>
      </c>
      <c r="K48" s="128">
        <v>269.14999999999998</v>
      </c>
      <c r="L48" s="128">
        <v>269.14999999999998</v>
      </c>
      <c r="M48" s="128">
        <v>372</v>
      </c>
      <c r="N48" s="403">
        <f>SUM(K48:M48)</f>
        <v>910.3</v>
      </c>
      <c r="O48" s="400">
        <v>0</v>
      </c>
      <c r="P48" s="128">
        <v>0</v>
      </c>
      <c r="Q48" s="128">
        <v>0</v>
      </c>
      <c r="R48" s="165">
        <f>SUM(O48:Q48)</f>
        <v>0</v>
      </c>
      <c r="S48" s="289">
        <f t="shared" si="101"/>
        <v>0</v>
      </c>
      <c r="T48" s="400">
        <f t="shared" si="102"/>
        <v>269.14999999999998</v>
      </c>
      <c r="U48" s="128">
        <f t="shared" si="103"/>
        <v>269.14999999999998</v>
      </c>
      <c r="V48" s="128">
        <f t="shared" si="104"/>
        <v>372</v>
      </c>
      <c r="W48" s="165">
        <f>SUM(T48:V48)</f>
        <v>910.3</v>
      </c>
      <c r="X48" s="289">
        <f t="shared" si="105"/>
        <v>1</v>
      </c>
      <c r="Y48" s="127">
        <v>0.81</v>
      </c>
      <c r="Z48" s="127">
        <v>0.81</v>
      </c>
      <c r="AA48" s="127">
        <v>0.81</v>
      </c>
      <c r="AB48" s="128">
        <f t="shared" si="106"/>
        <v>218.012</v>
      </c>
      <c r="AC48" s="128">
        <f t="shared" si="106"/>
        <v>218.012</v>
      </c>
      <c r="AD48" s="128">
        <f t="shared" si="106"/>
        <v>301.32</v>
      </c>
      <c r="AE48" s="411">
        <f>AB48+AC48+AD48</f>
        <v>737.34400000000005</v>
      </c>
      <c r="AF48" s="400">
        <f t="shared" si="107"/>
        <v>0</v>
      </c>
      <c r="AG48" s="128">
        <f t="shared" si="108"/>
        <v>0</v>
      </c>
      <c r="AH48" s="128">
        <f t="shared" si="109"/>
        <v>0</v>
      </c>
      <c r="AI48" s="128">
        <f>AF48+AG48+AH48</f>
        <v>0</v>
      </c>
      <c r="AJ48" s="289">
        <f t="shared" si="110"/>
        <v>0</v>
      </c>
      <c r="AK48" s="400">
        <f t="shared" si="111"/>
        <v>218.012</v>
      </c>
      <c r="AL48" s="128">
        <f t="shared" si="112"/>
        <v>218.012</v>
      </c>
      <c r="AM48" s="128">
        <f t="shared" si="113"/>
        <v>301.32</v>
      </c>
      <c r="AN48" s="128">
        <f>AK48+AL48+AM48</f>
        <v>737.34400000000005</v>
      </c>
      <c r="AO48" s="289">
        <f t="shared" si="114"/>
        <v>1</v>
      </c>
      <c r="AP48" s="74"/>
      <c r="AR48" s="98" t="s">
        <v>0</v>
      </c>
      <c r="AS48" s="18" t="s">
        <v>11</v>
      </c>
      <c r="AT48" s="16"/>
      <c r="AU48" s="99">
        <f>AT48*K48</f>
        <v>0</v>
      </c>
      <c r="AV48" s="99">
        <v>0</v>
      </c>
      <c r="AW48" s="99">
        <f>AV48*K48</f>
        <v>0</v>
      </c>
      <c r="AX48" s="99">
        <v>0</v>
      </c>
      <c r="AY48" s="100">
        <f>AX48*K48</f>
        <v>0</v>
      </c>
      <c r="BC48" s="1">
        <v>0.78</v>
      </c>
      <c r="BP48" s="9" t="s">
        <v>169</v>
      </c>
      <c r="BR48" s="9" t="s">
        <v>149</v>
      </c>
      <c r="BS48" s="9" t="s">
        <v>42</v>
      </c>
      <c r="BW48" s="9" t="s">
        <v>148</v>
      </c>
      <c r="CC48" s="72">
        <f>IF(AS48="základná",AB48,0)</f>
        <v>0</v>
      </c>
      <c r="CD48" s="72">
        <f>IF(AS48="znížená",AB48,0)</f>
        <v>218.012</v>
      </c>
      <c r="CE48" s="72">
        <f>IF(AS48="zákl. prenesená",AB48,0)</f>
        <v>0</v>
      </c>
      <c r="CF48" s="72">
        <f>IF(AS48="zníž. prenesená",AB48,0)</f>
        <v>0</v>
      </c>
      <c r="CG48" s="72">
        <f>IF(AS48="nulová",AB48,0)</f>
        <v>0</v>
      </c>
      <c r="CH48" s="9" t="s">
        <v>42</v>
      </c>
      <c r="CI48" s="101">
        <f>ROUND(Y48*K48,3)</f>
        <v>218.012</v>
      </c>
      <c r="CJ48" s="9" t="s">
        <v>169</v>
      </c>
      <c r="CK48" s="9" t="s">
        <v>516</v>
      </c>
    </row>
    <row r="49" spans="2:89" s="1" customFormat="1" ht="31.5" customHeight="1">
      <c r="B49" s="73"/>
      <c r="C49" s="93" t="s">
        <v>211</v>
      </c>
      <c r="D49" s="93" t="s">
        <v>149</v>
      </c>
      <c r="E49" s="94" t="s">
        <v>323</v>
      </c>
      <c r="F49" s="498" t="s">
        <v>324</v>
      </c>
      <c r="G49" s="498"/>
      <c r="H49" s="498"/>
      <c r="I49" s="498"/>
      <c r="J49" s="95" t="s">
        <v>152</v>
      </c>
      <c r="K49" s="128">
        <v>0.39500000000000002</v>
      </c>
      <c r="L49" s="128">
        <v>0.39500000000000002</v>
      </c>
      <c r="M49" s="128">
        <v>0.39500000000000002</v>
      </c>
      <c r="N49" s="403">
        <f>SUM(K49:M49)</f>
        <v>1.1850000000000001</v>
      </c>
      <c r="O49" s="400">
        <v>0</v>
      </c>
      <c r="P49" s="128">
        <v>0</v>
      </c>
      <c r="Q49" s="128">
        <v>0</v>
      </c>
      <c r="R49" s="165">
        <f>SUM(O49:Q49)</f>
        <v>0</v>
      </c>
      <c r="S49" s="289">
        <f t="shared" si="101"/>
        <v>0</v>
      </c>
      <c r="T49" s="400">
        <f t="shared" si="102"/>
        <v>0.39500000000000002</v>
      </c>
      <c r="U49" s="128">
        <f t="shared" si="103"/>
        <v>0.39500000000000002</v>
      </c>
      <c r="V49" s="128">
        <f t="shared" si="104"/>
        <v>0.39500000000000002</v>
      </c>
      <c r="W49" s="165">
        <f>SUM(T49:V49)</f>
        <v>1.1850000000000001</v>
      </c>
      <c r="X49" s="289">
        <f t="shared" si="105"/>
        <v>1</v>
      </c>
      <c r="Y49" s="127">
        <v>41.6</v>
      </c>
      <c r="Z49" s="127">
        <v>41.6</v>
      </c>
      <c r="AA49" s="127">
        <v>41.6</v>
      </c>
      <c r="AB49" s="128">
        <f t="shared" si="106"/>
        <v>16.431999999999999</v>
      </c>
      <c r="AC49" s="128">
        <f t="shared" si="106"/>
        <v>16.431999999999999</v>
      </c>
      <c r="AD49" s="128">
        <f t="shared" si="106"/>
        <v>16.431999999999999</v>
      </c>
      <c r="AE49" s="411">
        <f>AB49+AC49+AD49</f>
        <v>49.295999999999992</v>
      </c>
      <c r="AF49" s="400">
        <f t="shared" si="107"/>
        <v>0</v>
      </c>
      <c r="AG49" s="128">
        <f t="shared" si="108"/>
        <v>0</v>
      </c>
      <c r="AH49" s="128">
        <f t="shared" si="109"/>
        <v>0</v>
      </c>
      <c r="AI49" s="128">
        <f>AF49+AG49+AH49</f>
        <v>0</v>
      </c>
      <c r="AJ49" s="289">
        <f t="shared" si="110"/>
        <v>0</v>
      </c>
      <c r="AK49" s="400">
        <f t="shared" si="111"/>
        <v>16.431999999999999</v>
      </c>
      <c r="AL49" s="128">
        <f t="shared" si="112"/>
        <v>16.431999999999999</v>
      </c>
      <c r="AM49" s="128">
        <f t="shared" si="113"/>
        <v>16.431999999999999</v>
      </c>
      <c r="AN49" s="128">
        <f>AK49+AL49+AM49</f>
        <v>49.295999999999992</v>
      </c>
      <c r="AO49" s="289">
        <f t="shared" si="114"/>
        <v>1</v>
      </c>
      <c r="AP49" s="74"/>
      <c r="AR49" s="98" t="s">
        <v>0</v>
      </c>
      <c r="AS49" s="18" t="s">
        <v>11</v>
      </c>
      <c r="AT49" s="16"/>
      <c r="AU49" s="99">
        <f>AT49*K49</f>
        <v>0</v>
      </c>
      <c r="AV49" s="99">
        <v>0</v>
      </c>
      <c r="AW49" s="99">
        <f>AV49*K49</f>
        <v>0</v>
      </c>
      <c r="AX49" s="99">
        <v>0</v>
      </c>
      <c r="AY49" s="100">
        <f>AX49*K49</f>
        <v>0</v>
      </c>
      <c r="BC49" s="1">
        <v>40</v>
      </c>
      <c r="BP49" s="9" t="s">
        <v>169</v>
      </c>
      <c r="BR49" s="9" t="s">
        <v>149</v>
      </c>
      <c r="BS49" s="9" t="s">
        <v>42</v>
      </c>
      <c r="BW49" s="9" t="s">
        <v>148</v>
      </c>
      <c r="CC49" s="72">
        <f>IF(AS49="základná",AB49,0)</f>
        <v>0</v>
      </c>
      <c r="CD49" s="72">
        <f>IF(AS49="znížená",AB49,0)</f>
        <v>16.431999999999999</v>
      </c>
      <c r="CE49" s="72">
        <f>IF(AS49="zákl. prenesená",AB49,0)</f>
        <v>0</v>
      </c>
      <c r="CF49" s="72">
        <f>IF(AS49="zníž. prenesená",AB49,0)</f>
        <v>0</v>
      </c>
      <c r="CG49" s="72">
        <f>IF(AS49="nulová",AB49,0)</f>
        <v>0</v>
      </c>
      <c r="CH49" s="9" t="s">
        <v>42</v>
      </c>
      <c r="CI49" s="101">
        <f>ROUND(Y49*K49,3)</f>
        <v>16.431999999999999</v>
      </c>
      <c r="CJ49" s="9" t="s">
        <v>169</v>
      </c>
      <c r="CK49" s="9" t="s">
        <v>517</v>
      </c>
    </row>
    <row r="50" spans="2:89" s="7" customFormat="1" ht="29.85" customHeight="1">
      <c r="B50" s="82"/>
      <c r="C50" s="83"/>
      <c r="D50" s="92" t="s">
        <v>431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134">
        <f t="shared" ref="AB50:AE50" si="115">SUM(AB51:AB55)</f>
        <v>941.82</v>
      </c>
      <c r="AC50" s="134">
        <f t="shared" si="115"/>
        <v>941.82</v>
      </c>
      <c r="AD50" s="134">
        <f t="shared" si="115"/>
        <v>2311.652</v>
      </c>
      <c r="AE50" s="434">
        <f t="shared" si="115"/>
        <v>4195.2920000000004</v>
      </c>
      <c r="AF50" s="134">
        <f t="shared" ref="AF50:AI50" si="116">SUM(AF51:AF55)</f>
        <v>0</v>
      </c>
      <c r="AG50" s="134">
        <f t="shared" si="116"/>
        <v>0</v>
      </c>
      <c r="AH50" s="134">
        <f t="shared" si="116"/>
        <v>0</v>
      </c>
      <c r="AI50" s="134">
        <f t="shared" si="116"/>
        <v>0</v>
      </c>
      <c r="AJ50" s="163"/>
      <c r="AK50" s="134">
        <f t="shared" ref="AK50:AN50" si="117">SUM(AK51:AK55)</f>
        <v>941.82</v>
      </c>
      <c r="AL50" s="134">
        <f t="shared" si="117"/>
        <v>941.82</v>
      </c>
      <c r="AM50" s="134">
        <f t="shared" si="117"/>
        <v>2311.652</v>
      </c>
      <c r="AN50" s="134">
        <f t="shared" si="117"/>
        <v>4195.2920000000004</v>
      </c>
      <c r="AO50" s="163"/>
      <c r="AP50" s="85"/>
      <c r="AR50" s="86"/>
      <c r="AS50" s="83"/>
      <c r="AT50" s="83"/>
      <c r="AU50" s="87">
        <f>SUM(AU51:AU55)</f>
        <v>0</v>
      </c>
      <c r="AV50" s="83"/>
      <c r="AW50" s="87">
        <f>SUM(AW51:AW55)</f>
        <v>0</v>
      </c>
      <c r="AX50" s="83"/>
      <c r="AY50" s="88">
        <f>SUM(AY51:AY55)</f>
        <v>0</v>
      </c>
      <c r="BP50" s="89" t="s">
        <v>42</v>
      </c>
      <c r="BR50" s="90" t="s">
        <v>30</v>
      </c>
      <c r="BS50" s="90" t="s">
        <v>38</v>
      </c>
      <c r="BW50" s="89" t="s">
        <v>148</v>
      </c>
      <c r="CI50" s="91">
        <f>SUM(CI51:CI55)</f>
        <v>941.82</v>
      </c>
    </row>
    <row r="51" spans="2:89" s="1" customFormat="1" ht="31.5" customHeight="1">
      <c r="B51" s="73"/>
      <c r="C51" s="93" t="s">
        <v>214</v>
      </c>
      <c r="D51" s="93" t="s">
        <v>149</v>
      </c>
      <c r="E51" s="94" t="s">
        <v>465</v>
      </c>
      <c r="F51" s="498" t="s">
        <v>466</v>
      </c>
      <c r="G51" s="498"/>
      <c r="H51" s="498"/>
      <c r="I51" s="498"/>
      <c r="J51" s="95" t="s">
        <v>198</v>
      </c>
      <c r="K51" s="128">
        <v>8.6999999999999993</v>
      </c>
      <c r="L51" s="128">
        <v>8.6999999999999993</v>
      </c>
      <c r="M51" s="128">
        <v>16</v>
      </c>
      <c r="N51" s="403">
        <f>SUM(K51:M51)</f>
        <v>33.4</v>
      </c>
      <c r="O51" s="400">
        <v>0</v>
      </c>
      <c r="P51" s="128">
        <v>0</v>
      </c>
      <c r="Q51" s="128">
        <v>0</v>
      </c>
      <c r="R51" s="165">
        <f>SUM(O51:Q51)</f>
        <v>0</v>
      </c>
      <c r="S51" s="289">
        <f t="shared" ref="S51:S55" si="118">R51/N51</f>
        <v>0</v>
      </c>
      <c r="T51" s="400">
        <f t="shared" ref="T51:T55" si="119">K51-O51</f>
        <v>8.6999999999999993</v>
      </c>
      <c r="U51" s="128">
        <f t="shared" ref="U51:U55" si="120">L51-P51</f>
        <v>8.6999999999999993</v>
      </c>
      <c r="V51" s="128">
        <f t="shared" ref="V51:V55" si="121">M51-Q51</f>
        <v>16</v>
      </c>
      <c r="W51" s="165">
        <f>SUM(T51:V51)</f>
        <v>33.4</v>
      </c>
      <c r="X51" s="289">
        <f t="shared" ref="X51:X55" si="122">W51/N51</f>
        <v>1</v>
      </c>
      <c r="Y51" s="127">
        <v>2.75</v>
      </c>
      <c r="Z51" s="127">
        <v>2.75</v>
      </c>
      <c r="AA51" s="127">
        <v>2.75</v>
      </c>
      <c r="AB51" s="128">
        <f t="shared" ref="AB51:AD55" si="123">ROUND(Y51*K51,3)</f>
        <v>23.925000000000001</v>
      </c>
      <c r="AC51" s="128">
        <f t="shared" si="123"/>
        <v>23.925000000000001</v>
      </c>
      <c r="AD51" s="128">
        <f t="shared" si="123"/>
        <v>44</v>
      </c>
      <c r="AE51" s="411">
        <f>AB51+AC51+AD51</f>
        <v>91.85</v>
      </c>
      <c r="AF51" s="400">
        <f t="shared" ref="AF51:AF55" si="124">ROUND(Y51*O51,3)</f>
        <v>0</v>
      </c>
      <c r="AG51" s="128">
        <f t="shared" ref="AG51:AG55" si="125">ROUND(Z51*P51,3)</f>
        <v>0</v>
      </c>
      <c r="AH51" s="128">
        <f t="shared" ref="AH51:AH55" si="126">ROUND(AA51*Q51,3)</f>
        <v>0</v>
      </c>
      <c r="AI51" s="128">
        <f>AF51+AG51+AH51</f>
        <v>0</v>
      </c>
      <c r="AJ51" s="289">
        <f t="shared" ref="AJ51:AJ55" si="127">AI51/AE51</f>
        <v>0</v>
      </c>
      <c r="AK51" s="400">
        <f t="shared" ref="AK51:AK55" si="128">AB51-AF51</f>
        <v>23.925000000000001</v>
      </c>
      <c r="AL51" s="128">
        <f t="shared" ref="AL51:AL55" si="129">AC51-AG51</f>
        <v>23.925000000000001</v>
      </c>
      <c r="AM51" s="128">
        <f t="shared" ref="AM51:AM55" si="130">AD51-AH51</f>
        <v>44</v>
      </c>
      <c r="AN51" s="128">
        <f>AK51+AL51+AM51</f>
        <v>91.85</v>
      </c>
      <c r="AO51" s="289">
        <f t="shared" ref="AO51:AO55" si="131">AN51/AE51</f>
        <v>1</v>
      </c>
      <c r="AP51" s="74"/>
      <c r="AR51" s="98" t="s">
        <v>0</v>
      </c>
      <c r="AS51" s="18" t="s">
        <v>11</v>
      </c>
      <c r="AT51" s="16"/>
      <c r="AU51" s="99">
        <f>AT51*K51</f>
        <v>0</v>
      </c>
      <c r="AV51" s="99">
        <v>0</v>
      </c>
      <c r="AW51" s="99">
        <f>AV51*K51</f>
        <v>0</v>
      </c>
      <c r="AX51" s="99">
        <v>0</v>
      </c>
      <c r="AY51" s="100">
        <f>AX51*K51</f>
        <v>0</v>
      </c>
      <c r="BC51" s="1">
        <v>2.64</v>
      </c>
      <c r="BP51" s="9" t="s">
        <v>169</v>
      </c>
      <c r="BR51" s="9" t="s">
        <v>149</v>
      </c>
      <c r="BS51" s="9" t="s">
        <v>42</v>
      </c>
      <c r="BW51" s="9" t="s">
        <v>148</v>
      </c>
      <c r="CC51" s="72">
        <f>IF(AS51="základná",AB51,0)</f>
        <v>0</v>
      </c>
      <c r="CD51" s="72">
        <f>IF(AS51="znížená",AB51,0)</f>
        <v>23.925000000000001</v>
      </c>
      <c r="CE51" s="72">
        <f>IF(AS51="zákl. prenesená",AB51,0)</f>
        <v>0</v>
      </c>
      <c r="CF51" s="72">
        <f>IF(AS51="zníž. prenesená",AB51,0)</f>
        <v>0</v>
      </c>
      <c r="CG51" s="72">
        <f>IF(AS51="nulová",AB51,0)</f>
        <v>0</v>
      </c>
      <c r="CH51" s="9" t="s">
        <v>42</v>
      </c>
      <c r="CI51" s="101">
        <f>ROUND(Y51*K51,3)</f>
        <v>23.925000000000001</v>
      </c>
      <c r="CJ51" s="9" t="s">
        <v>169</v>
      </c>
      <c r="CK51" s="9" t="s">
        <v>518</v>
      </c>
    </row>
    <row r="52" spans="2:89" s="1" customFormat="1" ht="22.5" customHeight="1">
      <c r="B52" s="73"/>
      <c r="C52" s="102" t="s">
        <v>217</v>
      </c>
      <c r="D52" s="102" t="s">
        <v>171</v>
      </c>
      <c r="E52" s="103" t="s">
        <v>467</v>
      </c>
      <c r="F52" s="499" t="s">
        <v>468</v>
      </c>
      <c r="G52" s="499"/>
      <c r="H52" s="499"/>
      <c r="I52" s="499"/>
      <c r="J52" s="104" t="s">
        <v>184</v>
      </c>
      <c r="K52" s="133">
        <v>29</v>
      </c>
      <c r="L52" s="133">
        <v>29</v>
      </c>
      <c r="M52" s="133">
        <v>90.44</v>
      </c>
      <c r="N52" s="404">
        <f>SUM(K52:M52)</f>
        <v>148.44</v>
      </c>
      <c r="O52" s="401">
        <v>0</v>
      </c>
      <c r="P52" s="133">
        <v>0</v>
      </c>
      <c r="Q52" s="133">
        <v>0</v>
      </c>
      <c r="R52" s="177">
        <f>SUM(O52:Q52)</f>
        <v>0</v>
      </c>
      <c r="S52" s="289">
        <f t="shared" si="118"/>
        <v>0</v>
      </c>
      <c r="T52" s="401">
        <f t="shared" si="119"/>
        <v>29</v>
      </c>
      <c r="U52" s="133">
        <f t="shared" si="120"/>
        <v>29</v>
      </c>
      <c r="V52" s="133">
        <f t="shared" si="121"/>
        <v>90.44</v>
      </c>
      <c r="W52" s="177">
        <f>SUM(T52:V52)</f>
        <v>148.44</v>
      </c>
      <c r="X52" s="289">
        <f t="shared" si="122"/>
        <v>1</v>
      </c>
      <c r="Y52" s="132">
        <v>1.7</v>
      </c>
      <c r="Z52" s="132">
        <v>1.7</v>
      </c>
      <c r="AA52" s="132">
        <v>1.7</v>
      </c>
      <c r="AB52" s="133">
        <f t="shared" si="123"/>
        <v>49.3</v>
      </c>
      <c r="AC52" s="133">
        <f t="shared" si="123"/>
        <v>49.3</v>
      </c>
      <c r="AD52" s="133">
        <f t="shared" si="123"/>
        <v>153.74799999999999</v>
      </c>
      <c r="AE52" s="414">
        <f>AB52+AC52+AD52</f>
        <v>252.34799999999998</v>
      </c>
      <c r="AF52" s="401">
        <f t="shared" si="124"/>
        <v>0</v>
      </c>
      <c r="AG52" s="133">
        <f t="shared" si="125"/>
        <v>0</v>
      </c>
      <c r="AH52" s="133">
        <f t="shared" si="126"/>
        <v>0</v>
      </c>
      <c r="AI52" s="133">
        <f>AF52+AG52+AH52</f>
        <v>0</v>
      </c>
      <c r="AJ52" s="289">
        <f t="shared" si="127"/>
        <v>0</v>
      </c>
      <c r="AK52" s="401">
        <f t="shared" si="128"/>
        <v>49.3</v>
      </c>
      <c r="AL52" s="133">
        <f t="shared" si="129"/>
        <v>49.3</v>
      </c>
      <c r="AM52" s="133">
        <f t="shared" si="130"/>
        <v>153.74799999999999</v>
      </c>
      <c r="AN52" s="133">
        <f>AK52+AL52+AM52</f>
        <v>252.34799999999998</v>
      </c>
      <c r="AO52" s="289">
        <f t="shared" si="131"/>
        <v>1</v>
      </c>
      <c r="AP52" s="74"/>
      <c r="AQ52" s="1" t="s">
        <v>969</v>
      </c>
      <c r="AR52" s="98" t="s">
        <v>0</v>
      </c>
      <c r="AS52" s="18" t="s">
        <v>11</v>
      </c>
      <c r="AT52" s="112"/>
      <c r="AU52" s="99">
        <f>AT52*K52</f>
        <v>0</v>
      </c>
      <c r="AV52" s="99">
        <v>0</v>
      </c>
      <c r="AW52" s="99">
        <f>AV52*K52</f>
        <v>0</v>
      </c>
      <c r="AX52" s="99">
        <v>0</v>
      </c>
      <c r="AY52" s="100">
        <f>AX52*K52</f>
        <v>0</v>
      </c>
      <c r="BA52" s="1" t="s">
        <v>992</v>
      </c>
      <c r="BC52" s="1">
        <v>1.63</v>
      </c>
      <c r="BP52" s="9" t="s">
        <v>174</v>
      </c>
      <c r="BR52" s="9" t="s">
        <v>171</v>
      </c>
      <c r="BS52" s="9" t="s">
        <v>42</v>
      </c>
      <c r="BW52" s="9" t="s">
        <v>148</v>
      </c>
      <c r="CC52" s="72">
        <f>IF(AS52="základná",AB52,0)</f>
        <v>0</v>
      </c>
      <c r="CD52" s="72">
        <f>IF(AS52="znížená",AB52,0)</f>
        <v>49.3</v>
      </c>
      <c r="CE52" s="72">
        <f>IF(AS52="zákl. prenesená",AB52,0)</f>
        <v>0</v>
      </c>
      <c r="CF52" s="72">
        <f>IF(AS52="zníž. prenesená",AB52,0)</f>
        <v>0</v>
      </c>
      <c r="CG52" s="72">
        <f>IF(AS52="nulová",AB52,0)</f>
        <v>0</v>
      </c>
      <c r="CH52" s="9" t="s">
        <v>42</v>
      </c>
      <c r="CI52" s="101">
        <f>ROUND(Y52*K52,3)</f>
        <v>49.3</v>
      </c>
      <c r="CJ52" s="9" t="s">
        <v>169</v>
      </c>
      <c r="CK52" s="9" t="s">
        <v>519</v>
      </c>
    </row>
    <row r="53" spans="2:89" s="1" customFormat="1" ht="31.5" customHeight="1">
      <c r="B53" s="73"/>
      <c r="C53" s="93" t="s">
        <v>220</v>
      </c>
      <c r="D53" s="93" t="s">
        <v>149</v>
      </c>
      <c r="E53" s="94" t="s">
        <v>469</v>
      </c>
      <c r="F53" s="498" t="s">
        <v>470</v>
      </c>
      <c r="G53" s="498"/>
      <c r="H53" s="498"/>
      <c r="I53" s="498"/>
      <c r="J53" s="95" t="s">
        <v>168</v>
      </c>
      <c r="K53" s="128">
        <v>23.58</v>
      </c>
      <c r="L53" s="128">
        <v>23.58</v>
      </c>
      <c r="M53" s="128">
        <v>58</v>
      </c>
      <c r="N53" s="403">
        <f>SUM(K53:M53)</f>
        <v>105.16</v>
      </c>
      <c r="O53" s="400">
        <v>0</v>
      </c>
      <c r="P53" s="128">
        <v>0</v>
      </c>
      <c r="Q53" s="128">
        <v>0</v>
      </c>
      <c r="R53" s="165">
        <f>SUM(O53:Q53)</f>
        <v>0</v>
      </c>
      <c r="S53" s="289">
        <f t="shared" si="118"/>
        <v>0</v>
      </c>
      <c r="T53" s="400">
        <f t="shared" si="119"/>
        <v>23.58</v>
      </c>
      <c r="U53" s="128">
        <f t="shared" si="120"/>
        <v>23.58</v>
      </c>
      <c r="V53" s="128">
        <f t="shared" si="121"/>
        <v>58</v>
      </c>
      <c r="W53" s="165">
        <f>SUM(T53:V53)</f>
        <v>105.16</v>
      </c>
      <c r="X53" s="289">
        <f t="shared" si="122"/>
        <v>1</v>
      </c>
      <c r="Y53" s="127">
        <v>19.010000000000002</v>
      </c>
      <c r="Z53" s="127">
        <v>19.010000000000002</v>
      </c>
      <c r="AA53" s="127">
        <v>19.010000000000002</v>
      </c>
      <c r="AB53" s="128">
        <f t="shared" si="123"/>
        <v>448.25599999999997</v>
      </c>
      <c r="AC53" s="128">
        <f t="shared" si="123"/>
        <v>448.25599999999997</v>
      </c>
      <c r="AD53" s="128">
        <f t="shared" si="123"/>
        <v>1102.58</v>
      </c>
      <c r="AE53" s="411">
        <f>AB53+AC53+AD53</f>
        <v>1999.0919999999999</v>
      </c>
      <c r="AF53" s="400">
        <f t="shared" si="124"/>
        <v>0</v>
      </c>
      <c r="AG53" s="128">
        <f t="shared" si="125"/>
        <v>0</v>
      </c>
      <c r="AH53" s="128">
        <f t="shared" si="126"/>
        <v>0</v>
      </c>
      <c r="AI53" s="128">
        <f>AF53+AG53+AH53</f>
        <v>0</v>
      </c>
      <c r="AJ53" s="289">
        <f t="shared" si="127"/>
        <v>0</v>
      </c>
      <c r="AK53" s="400">
        <f t="shared" si="128"/>
        <v>448.25599999999997</v>
      </c>
      <c r="AL53" s="128">
        <f t="shared" si="129"/>
        <v>448.25599999999997</v>
      </c>
      <c r="AM53" s="128">
        <f t="shared" si="130"/>
        <v>1102.58</v>
      </c>
      <c r="AN53" s="128">
        <f>AK53+AL53+AM53</f>
        <v>1999.0919999999999</v>
      </c>
      <c r="AO53" s="289">
        <f t="shared" si="131"/>
        <v>1</v>
      </c>
      <c r="AP53" s="74"/>
      <c r="AR53" s="98" t="s">
        <v>0</v>
      </c>
      <c r="AS53" s="18" t="s">
        <v>11</v>
      </c>
      <c r="AT53" s="16"/>
      <c r="AU53" s="99">
        <f>AT53*K53</f>
        <v>0</v>
      </c>
      <c r="AV53" s="99">
        <v>0</v>
      </c>
      <c r="AW53" s="99">
        <f>AV53*K53</f>
        <v>0</v>
      </c>
      <c r="AX53" s="99">
        <v>0</v>
      </c>
      <c r="AY53" s="100">
        <f>AX53*K53</f>
        <v>0</v>
      </c>
      <c r="BC53" s="1">
        <v>18.28</v>
      </c>
      <c r="BP53" s="9" t="s">
        <v>169</v>
      </c>
      <c r="BR53" s="9" t="s">
        <v>149</v>
      </c>
      <c r="BS53" s="9" t="s">
        <v>42</v>
      </c>
      <c r="BW53" s="9" t="s">
        <v>148</v>
      </c>
      <c r="CC53" s="72">
        <f>IF(AS53="základná",AB53,0)</f>
        <v>0</v>
      </c>
      <c r="CD53" s="72">
        <f>IF(AS53="znížená",AB53,0)</f>
        <v>448.25599999999997</v>
      </c>
      <c r="CE53" s="72">
        <f>IF(AS53="zákl. prenesená",AB53,0)</f>
        <v>0</v>
      </c>
      <c r="CF53" s="72">
        <f>IF(AS53="zníž. prenesená",AB53,0)</f>
        <v>0</v>
      </c>
      <c r="CG53" s="72">
        <f>IF(AS53="nulová",AB53,0)</f>
        <v>0</v>
      </c>
      <c r="CH53" s="9" t="s">
        <v>42</v>
      </c>
      <c r="CI53" s="101">
        <f>ROUND(Y53*K53,3)</f>
        <v>448.25599999999997</v>
      </c>
      <c r="CJ53" s="9" t="s">
        <v>169</v>
      </c>
      <c r="CK53" s="9" t="s">
        <v>520</v>
      </c>
    </row>
    <row r="54" spans="2:89" s="1" customFormat="1" ht="22.5" customHeight="1">
      <c r="B54" s="73"/>
      <c r="C54" s="102" t="s">
        <v>223</v>
      </c>
      <c r="D54" s="102" t="s">
        <v>171</v>
      </c>
      <c r="E54" s="103" t="s">
        <v>471</v>
      </c>
      <c r="F54" s="499" t="s">
        <v>472</v>
      </c>
      <c r="G54" s="499"/>
      <c r="H54" s="499"/>
      <c r="I54" s="499"/>
      <c r="J54" s="104" t="s">
        <v>168</v>
      </c>
      <c r="K54" s="133">
        <v>23.5</v>
      </c>
      <c r="L54" s="133">
        <v>23.5</v>
      </c>
      <c r="M54" s="133">
        <v>58</v>
      </c>
      <c r="N54" s="404">
        <f>SUM(K54:M54)</f>
        <v>105</v>
      </c>
      <c r="O54" s="401">
        <v>0</v>
      </c>
      <c r="P54" s="133">
        <v>0</v>
      </c>
      <c r="Q54" s="133">
        <v>0</v>
      </c>
      <c r="R54" s="177">
        <f>SUM(O54:Q54)</f>
        <v>0</v>
      </c>
      <c r="S54" s="289">
        <f t="shared" si="118"/>
        <v>0</v>
      </c>
      <c r="T54" s="401">
        <f t="shared" si="119"/>
        <v>23.5</v>
      </c>
      <c r="U54" s="133">
        <f t="shared" si="120"/>
        <v>23.5</v>
      </c>
      <c r="V54" s="133">
        <f t="shared" si="121"/>
        <v>58</v>
      </c>
      <c r="W54" s="177">
        <f>SUM(T54:V54)</f>
        <v>105</v>
      </c>
      <c r="X54" s="289">
        <f t="shared" si="122"/>
        <v>1</v>
      </c>
      <c r="Y54" s="132">
        <v>17.13</v>
      </c>
      <c r="Z54" s="132">
        <v>17.13</v>
      </c>
      <c r="AA54" s="132">
        <v>17.13</v>
      </c>
      <c r="AB54" s="133">
        <f t="shared" si="123"/>
        <v>402.55500000000001</v>
      </c>
      <c r="AC54" s="133">
        <f t="shared" si="123"/>
        <v>402.55500000000001</v>
      </c>
      <c r="AD54" s="133">
        <f t="shared" si="123"/>
        <v>993.54</v>
      </c>
      <c r="AE54" s="414">
        <f>AB54+AC54+AD54</f>
        <v>1798.65</v>
      </c>
      <c r="AF54" s="401">
        <f t="shared" si="124"/>
        <v>0</v>
      </c>
      <c r="AG54" s="133">
        <f t="shared" si="125"/>
        <v>0</v>
      </c>
      <c r="AH54" s="133">
        <f t="shared" si="126"/>
        <v>0</v>
      </c>
      <c r="AI54" s="133">
        <f>AF54+AG54+AH54</f>
        <v>0</v>
      </c>
      <c r="AJ54" s="289">
        <f t="shared" si="127"/>
        <v>0</v>
      </c>
      <c r="AK54" s="401">
        <f t="shared" si="128"/>
        <v>402.55500000000001</v>
      </c>
      <c r="AL54" s="133">
        <f t="shared" si="129"/>
        <v>402.55500000000001</v>
      </c>
      <c r="AM54" s="133">
        <f t="shared" si="130"/>
        <v>993.54</v>
      </c>
      <c r="AN54" s="133">
        <f>AK54+AL54+AM54</f>
        <v>1798.65</v>
      </c>
      <c r="AO54" s="289">
        <f t="shared" si="131"/>
        <v>1</v>
      </c>
      <c r="AP54" s="74"/>
      <c r="AQ54" s="1" t="s">
        <v>969</v>
      </c>
      <c r="AR54" s="98" t="s">
        <v>0</v>
      </c>
      <c r="AS54" s="18" t="s">
        <v>11</v>
      </c>
      <c r="AT54" s="112"/>
      <c r="AU54" s="99">
        <f>AT54*K54</f>
        <v>0</v>
      </c>
      <c r="AV54" s="99">
        <v>0</v>
      </c>
      <c r="AW54" s="99">
        <f>AV54*K54</f>
        <v>0</v>
      </c>
      <c r="AX54" s="99">
        <v>0</v>
      </c>
      <c r="AY54" s="100">
        <f>AX54*K54</f>
        <v>0</v>
      </c>
      <c r="BA54" s="1" t="s">
        <v>992</v>
      </c>
      <c r="BC54" s="1">
        <v>16.47</v>
      </c>
      <c r="BP54" s="9" t="s">
        <v>174</v>
      </c>
      <c r="BR54" s="9" t="s">
        <v>171</v>
      </c>
      <c r="BS54" s="9" t="s">
        <v>42</v>
      </c>
      <c r="BW54" s="9" t="s">
        <v>148</v>
      </c>
      <c r="CC54" s="72">
        <f>IF(AS54="základná",AB54,0)</f>
        <v>0</v>
      </c>
      <c r="CD54" s="72">
        <f>IF(AS54="znížená",AB54,0)</f>
        <v>402.55500000000001</v>
      </c>
      <c r="CE54" s="72">
        <f>IF(AS54="zákl. prenesená",AB54,0)</f>
        <v>0</v>
      </c>
      <c r="CF54" s="72">
        <f>IF(AS54="zníž. prenesená",AB54,0)</f>
        <v>0</v>
      </c>
      <c r="CG54" s="72">
        <f>IF(AS54="nulová",AB54,0)</f>
        <v>0</v>
      </c>
      <c r="CH54" s="9" t="s">
        <v>42</v>
      </c>
      <c r="CI54" s="101">
        <f>ROUND(Y54*K54,3)</f>
        <v>402.55500000000001</v>
      </c>
      <c r="CJ54" s="9" t="s">
        <v>169</v>
      </c>
      <c r="CK54" s="9" t="s">
        <v>521</v>
      </c>
    </row>
    <row r="55" spans="2:89" s="1" customFormat="1" ht="31.5" customHeight="1">
      <c r="B55" s="73"/>
      <c r="C55" s="93" t="s">
        <v>226</v>
      </c>
      <c r="D55" s="93" t="s">
        <v>149</v>
      </c>
      <c r="E55" s="94" t="s">
        <v>473</v>
      </c>
      <c r="F55" s="498" t="s">
        <v>474</v>
      </c>
      <c r="G55" s="498"/>
      <c r="H55" s="498"/>
      <c r="I55" s="498"/>
      <c r="J55" s="95" t="s">
        <v>152</v>
      </c>
      <c r="K55" s="128">
        <v>0.95</v>
      </c>
      <c r="L55" s="128">
        <v>0.95</v>
      </c>
      <c r="M55" s="128">
        <v>0.95</v>
      </c>
      <c r="N55" s="403">
        <f>SUM(K55:M55)</f>
        <v>2.8499999999999996</v>
      </c>
      <c r="O55" s="400">
        <v>0</v>
      </c>
      <c r="P55" s="128">
        <v>0</v>
      </c>
      <c r="Q55" s="128">
        <v>0</v>
      </c>
      <c r="R55" s="165">
        <f>SUM(O55:Q55)</f>
        <v>0</v>
      </c>
      <c r="S55" s="289">
        <f t="shared" si="118"/>
        <v>0</v>
      </c>
      <c r="T55" s="400">
        <f t="shared" si="119"/>
        <v>0.95</v>
      </c>
      <c r="U55" s="128">
        <f t="shared" si="120"/>
        <v>0.95</v>
      </c>
      <c r="V55" s="128">
        <f t="shared" si="121"/>
        <v>0.95</v>
      </c>
      <c r="W55" s="165">
        <f>SUM(T55:V55)</f>
        <v>2.8499999999999996</v>
      </c>
      <c r="X55" s="289">
        <f t="shared" si="122"/>
        <v>1</v>
      </c>
      <c r="Y55" s="127">
        <v>18.72</v>
      </c>
      <c r="Z55" s="127">
        <v>18.72</v>
      </c>
      <c r="AA55" s="127">
        <v>18.72</v>
      </c>
      <c r="AB55" s="128">
        <f t="shared" si="123"/>
        <v>17.783999999999999</v>
      </c>
      <c r="AC55" s="128">
        <f t="shared" si="123"/>
        <v>17.783999999999999</v>
      </c>
      <c r="AD55" s="128">
        <f t="shared" si="123"/>
        <v>17.783999999999999</v>
      </c>
      <c r="AE55" s="411">
        <f>AB55+AC55+AD55</f>
        <v>53.351999999999997</v>
      </c>
      <c r="AF55" s="400">
        <f t="shared" si="124"/>
        <v>0</v>
      </c>
      <c r="AG55" s="128">
        <f t="shared" si="125"/>
        <v>0</v>
      </c>
      <c r="AH55" s="128">
        <f t="shared" si="126"/>
        <v>0</v>
      </c>
      <c r="AI55" s="128">
        <f>AF55+AG55+AH55</f>
        <v>0</v>
      </c>
      <c r="AJ55" s="289">
        <f t="shared" si="127"/>
        <v>0</v>
      </c>
      <c r="AK55" s="400">
        <f t="shared" si="128"/>
        <v>17.783999999999999</v>
      </c>
      <c r="AL55" s="128">
        <f t="shared" si="129"/>
        <v>17.783999999999999</v>
      </c>
      <c r="AM55" s="128">
        <f t="shared" si="130"/>
        <v>17.783999999999999</v>
      </c>
      <c r="AN55" s="128">
        <f>AK55+AL55+AM55</f>
        <v>53.351999999999997</v>
      </c>
      <c r="AO55" s="289">
        <f t="shared" si="131"/>
        <v>1</v>
      </c>
      <c r="AP55" s="74"/>
      <c r="AR55" s="98" t="s">
        <v>0</v>
      </c>
      <c r="AS55" s="18" t="s">
        <v>11</v>
      </c>
      <c r="AT55" s="16"/>
      <c r="AU55" s="99">
        <f>AT55*K55</f>
        <v>0</v>
      </c>
      <c r="AV55" s="99">
        <v>0</v>
      </c>
      <c r="AW55" s="99">
        <f>AV55*K55</f>
        <v>0</v>
      </c>
      <c r="AX55" s="99">
        <v>0</v>
      </c>
      <c r="AY55" s="100">
        <f>AX55*K55</f>
        <v>0</v>
      </c>
      <c r="BC55" s="1">
        <v>18</v>
      </c>
      <c r="BP55" s="9" t="s">
        <v>169</v>
      </c>
      <c r="BR55" s="9" t="s">
        <v>149</v>
      </c>
      <c r="BS55" s="9" t="s">
        <v>42</v>
      </c>
      <c r="BW55" s="9" t="s">
        <v>148</v>
      </c>
      <c r="CC55" s="72">
        <f>IF(AS55="základná",AB55,0)</f>
        <v>0</v>
      </c>
      <c r="CD55" s="72">
        <f>IF(AS55="znížená",AB55,0)</f>
        <v>17.783999999999999</v>
      </c>
      <c r="CE55" s="72">
        <f>IF(AS55="zákl. prenesená",AB55,0)</f>
        <v>0</v>
      </c>
      <c r="CF55" s="72">
        <f>IF(AS55="zníž. prenesená",AB55,0)</f>
        <v>0</v>
      </c>
      <c r="CG55" s="72">
        <f>IF(AS55="nulová",AB55,0)</f>
        <v>0</v>
      </c>
      <c r="CH55" s="9" t="s">
        <v>42</v>
      </c>
      <c r="CI55" s="101">
        <f>ROUND(Y55*K55,3)</f>
        <v>17.783999999999999</v>
      </c>
      <c r="CJ55" s="9" t="s">
        <v>169</v>
      </c>
      <c r="CK55" s="9" t="s">
        <v>522</v>
      </c>
    </row>
    <row r="56" spans="2:89" s="1" customFormat="1" ht="36.75" customHeight="1">
      <c r="B56" s="15"/>
      <c r="C56" s="436"/>
      <c r="D56" s="441" t="s">
        <v>243</v>
      </c>
      <c r="E56" s="442"/>
      <c r="F56" s="442"/>
      <c r="G56" s="442"/>
      <c r="H56" s="442"/>
      <c r="I56" s="442"/>
      <c r="J56" s="442"/>
      <c r="K56" s="442"/>
      <c r="L56" s="442"/>
      <c r="M56" s="442"/>
      <c r="N56" s="442"/>
      <c r="O56" s="442"/>
      <c r="P56" s="442"/>
      <c r="Q56" s="442"/>
      <c r="R56" s="442"/>
      <c r="S56" s="442"/>
      <c r="T56" s="442"/>
      <c r="U56" s="442"/>
      <c r="V56" s="442"/>
      <c r="W56" s="442"/>
      <c r="X56" s="442"/>
      <c r="Y56" s="442"/>
      <c r="Z56" s="442"/>
      <c r="AA56" s="442"/>
      <c r="AB56" s="458">
        <f>AB59+AB63+AB93+AB96+AB100+AB73</f>
        <v>2274.107</v>
      </c>
      <c r="AC56" s="458">
        <f>AC59+AC63+AC93+AC96+AC100+AC73</f>
        <v>3556.5330000000004</v>
      </c>
      <c r="AD56" s="458">
        <f>AD59+AD63+AD93+AD96+AD100+AD73</f>
        <v>-1530.1430000000005</v>
      </c>
      <c r="AE56" s="458">
        <f>AE59+AE63+AE93+AE96+AE100+AE73</f>
        <v>4300.4969999999994</v>
      </c>
      <c r="AF56" s="458">
        <f>AF59+AF63+AF93+AF96+AF100</f>
        <v>0</v>
      </c>
      <c r="AG56" s="458">
        <f>AG59+AG63+AG93+AG96+AG100</f>
        <v>1309.6779999999999</v>
      </c>
      <c r="AH56" s="458">
        <f>AH59+AH63+AH93+AH96+AH100</f>
        <v>0</v>
      </c>
      <c r="AI56" s="458">
        <f>AI59+AI63+AI93+AI96+AI100</f>
        <v>1309.6779999999999</v>
      </c>
      <c r="AJ56" s="459"/>
      <c r="AK56" s="458">
        <f>AK59+AK63+AK93+AK96+AK100</f>
        <v>1098.623</v>
      </c>
      <c r="AL56" s="458">
        <f>AL59+AL63+AL93+AL96+AL100</f>
        <v>1071.3710000000001</v>
      </c>
      <c r="AM56" s="458">
        <f>AM59+AM63+AM93+AM96+AM100</f>
        <v>-1238.0800000000004</v>
      </c>
      <c r="AN56" s="458">
        <f>AN59+AN63+AN93+AN96+AN100</f>
        <v>931.91399999999919</v>
      </c>
      <c r="AO56" s="440">
        <f>AN56/AE56</f>
        <v>0.21669913965757895</v>
      </c>
      <c r="AP56" s="17"/>
      <c r="AR56" s="106"/>
      <c r="AS56" s="21"/>
      <c r="AT56" s="21"/>
      <c r="AU56" s="21"/>
      <c r="AV56" s="21"/>
      <c r="AW56" s="21"/>
      <c r="AX56" s="21"/>
      <c r="AY56" s="22"/>
      <c r="BR56" s="9" t="s">
        <v>30</v>
      </c>
      <c r="BS56" s="9" t="s">
        <v>31</v>
      </c>
      <c r="BW56" s="9" t="s">
        <v>244</v>
      </c>
      <c r="CI56" s="101">
        <v>0</v>
      </c>
    </row>
    <row r="57" spans="2:89" s="1" customFormat="1" ht="36.75" customHeight="1" outlineLevel="1">
      <c r="B57" s="15"/>
      <c r="C57" s="436"/>
      <c r="D57" s="441" t="s">
        <v>1435</v>
      </c>
      <c r="E57" s="442"/>
      <c r="F57" s="442"/>
      <c r="G57" s="442"/>
      <c r="H57" s="442"/>
      <c r="I57" s="442"/>
      <c r="J57" s="442"/>
      <c r="K57" s="442"/>
      <c r="L57" s="442"/>
      <c r="M57" s="442"/>
      <c r="N57" s="442"/>
      <c r="O57" s="442"/>
      <c r="P57" s="442"/>
      <c r="Q57" s="442"/>
      <c r="R57" s="442"/>
      <c r="S57" s="442"/>
      <c r="T57" s="442"/>
      <c r="U57" s="442"/>
      <c r="V57" s="442"/>
      <c r="W57" s="442"/>
      <c r="X57" s="442"/>
      <c r="Y57" s="442"/>
      <c r="Z57" s="442"/>
      <c r="AA57" s="442"/>
      <c r="AB57" s="476">
        <f>SUMIF(AB60:AB62,"&lt;0")+SUMIF(AB64:AB72,"&lt;0")+SUMIF(AB74:AB92,"&lt;0")+SUMIF(AB94:AB95,"&lt;0")+SUMIF(AB97:AB99,"&lt;0")+SUMIF(AB101:AB104,"&lt;0")</f>
        <v>-2928.9479999999999</v>
      </c>
      <c r="AC57" s="476">
        <f>SUMIF(AC60:AC62,"&lt;0")+SUMIF(AC64:AC72,"&lt;0")+SUMIF(AC74:AC92,"&lt;0")+SUMIF(AC94:AC95,"&lt;0")+SUMIF(AC97:AC99,"&lt;0")+SUMIF(AC101:AC104,"&lt;0")</f>
        <v>-2641.9759999999997</v>
      </c>
      <c r="AD57" s="476">
        <f>SUMIF(AD60:AD62,"&lt;0")+SUMIF(AD64:AD72,"&lt;0")+SUMIF(AD74:AD92,"&lt;0")+SUMIF(AD94:AD95,"&lt;0")+SUMIF(AD97:AD99,"&lt;0")+SUMIF(AD101:AD104,"&lt;0")</f>
        <v>-8070.3360000000002</v>
      </c>
      <c r="AE57" s="459"/>
      <c r="AF57" s="459"/>
      <c r="AG57" s="459"/>
      <c r="AH57" s="459"/>
      <c r="AI57" s="459"/>
      <c r="AJ57" s="459"/>
      <c r="AK57" s="459"/>
      <c r="AL57" s="459"/>
      <c r="AM57" s="459"/>
      <c r="AN57" s="459"/>
      <c r="AO57" s="440"/>
      <c r="AP57" s="17"/>
      <c r="AR57" s="479"/>
      <c r="AS57" s="464"/>
      <c r="AT57" s="464"/>
      <c r="AU57" s="464"/>
      <c r="AV57" s="464"/>
      <c r="AW57" s="464"/>
      <c r="AX57" s="464"/>
      <c r="AY57" s="37"/>
      <c r="BR57" s="9"/>
      <c r="BS57" s="9"/>
      <c r="BW57" s="9"/>
      <c r="CI57" s="101"/>
    </row>
    <row r="58" spans="2:89" s="1" customFormat="1" ht="36.75" customHeight="1" outlineLevel="1">
      <c r="B58" s="15"/>
      <c r="C58" s="436"/>
      <c r="D58" s="441" t="s">
        <v>1436</v>
      </c>
      <c r="E58" s="442"/>
      <c r="F58" s="442"/>
      <c r="G58" s="442"/>
      <c r="H58" s="442"/>
      <c r="I58" s="442"/>
      <c r="J58" s="442"/>
      <c r="K58" s="442"/>
      <c r="L58" s="442"/>
      <c r="M58" s="442"/>
      <c r="N58" s="442"/>
      <c r="O58" s="442"/>
      <c r="P58" s="442"/>
      <c r="Q58" s="442"/>
      <c r="R58" s="442"/>
      <c r="S58" s="442"/>
      <c r="T58" s="442"/>
      <c r="U58" s="442"/>
      <c r="V58" s="442"/>
      <c r="W58" s="442"/>
      <c r="X58" s="442"/>
      <c r="Y58" s="442"/>
      <c r="Z58" s="442"/>
      <c r="AA58" s="442"/>
      <c r="AB58" s="476">
        <f>SUMIF(AB60:AB62,"&gt;0")+SUMIF(AB64:AB72,"&gt;0")+SUMIF(AB74:AB92,"&gt;0")+SUMIF(AB94:AB95,"&gt;0")+SUMIF(AB97:AB99,"&gt;0")+SUMIF(AB101:AB104,"&gt;0")</f>
        <v>5203.0550000000003</v>
      </c>
      <c r="AC58" s="476">
        <f>SUMIF(AC60:AC62,"&gt;0")+SUMIF(AC64:AC72,"&gt;0")+SUMIF(AC74:AC92,"&gt;0")+SUMIF(AC94:AC95,"&gt;0")+SUMIF(AC97:AC99,"&gt;0")+SUMIF(AC101:AC104,"&gt;0")</f>
        <v>6198.509</v>
      </c>
      <c r="AD58" s="476">
        <f>SUMIF(AD60:AD62,"&gt;0")+SUMIF(AD64:AD72,"&gt;0")+SUMIF(AD74:AD92,"&gt;0")+SUMIF(AD94:AD95,"&gt;0")+SUMIF(AD97:AD99,"&gt;0")+SUMIF(AD101:AD104,"&gt;0")</f>
        <v>6540.1929999999993</v>
      </c>
      <c r="AE58" s="459"/>
      <c r="AF58" s="459"/>
      <c r="AG58" s="459"/>
      <c r="AH58" s="459"/>
      <c r="AI58" s="459"/>
      <c r="AJ58" s="459"/>
      <c r="AK58" s="459"/>
      <c r="AL58" s="459"/>
      <c r="AM58" s="459"/>
      <c r="AN58" s="459"/>
      <c r="AO58" s="440"/>
      <c r="AP58" s="17"/>
      <c r="AR58" s="479"/>
      <c r="AS58" s="464"/>
      <c r="AT58" s="464"/>
      <c r="AU58" s="464"/>
      <c r="AV58" s="464"/>
      <c r="AW58" s="464"/>
      <c r="AX58" s="464"/>
      <c r="AY58" s="37"/>
      <c r="BR58" s="9"/>
      <c r="BS58" s="9"/>
      <c r="BW58" s="9"/>
      <c r="CI58" s="101"/>
    </row>
    <row r="59" spans="2:89" s="7" customFormat="1" ht="19.899999999999999" customHeight="1">
      <c r="B59" s="82"/>
      <c r="C59" s="83"/>
      <c r="D59" s="92" t="s">
        <v>245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131">
        <f>SUM(AB60:AB62)</f>
        <v>-349.62199999999996</v>
      </c>
      <c r="AC59" s="131">
        <f t="shared" ref="AC59:AE59" si="132">SUM(AC60:AC62)</f>
        <v>-349.62199999999996</v>
      </c>
      <c r="AD59" s="131">
        <f t="shared" si="132"/>
        <v>-723.16800000000012</v>
      </c>
      <c r="AE59" s="432">
        <f t="shared" si="132"/>
        <v>-1422.412</v>
      </c>
      <c r="AF59" s="131">
        <f t="shared" ref="AF59:AI59" si="133">SUM(AF60:AF62)</f>
        <v>0</v>
      </c>
      <c r="AG59" s="131">
        <f t="shared" si="133"/>
        <v>0</v>
      </c>
      <c r="AH59" s="131">
        <f t="shared" si="133"/>
        <v>0</v>
      </c>
      <c r="AI59" s="131">
        <f t="shared" si="133"/>
        <v>0</v>
      </c>
      <c r="AJ59" s="163"/>
      <c r="AK59" s="131">
        <f t="shared" ref="AK59:AN59" si="134">SUM(AK60:AK62)</f>
        <v>-349.62199999999996</v>
      </c>
      <c r="AL59" s="131">
        <f t="shared" si="134"/>
        <v>-349.62199999999996</v>
      </c>
      <c r="AM59" s="131">
        <f t="shared" si="134"/>
        <v>-723.16800000000012</v>
      </c>
      <c r="AN59" s="131">
        <f t="shared" si="134"/>
        <v>-1422.412</v>
      </c>
      <c r="AO59" s="163"/>
      <c r="AP59" s="85"/>
      <c r="AR59" s="86"/>
      <c r="AS59" s="83"/>
      <c r="AT59" s="83"/>
      <c r="AU59" s="87">
        <f>SUM(AU60:AU62)</f>
        <v>0</v>
      </c>
      <c r="AV59" s="83"/>
      <c r="AW59" s="87">
        <f>SUM(AW60:AW62)</f>
        <v>0</v>
      </c>
      <c r="AX59" s="83"/>
      <c r="AY59" s="88">
        <f>SUM(AY60:AY62)</f>
        <v>0</v>
      </c>
      <c r="BP59" s="89" t="s">
        <v>38</v>
      </c>
      <c r="BR59" s="90" t="s">
        <v>30</v>
      </c>
      <c r="BS59" s="90" t="s">
        <v>38</v>
      </c>
      <c r="BW59" s="89" t="s">
        <v>148</v>
      </c>
      <c r="CI59" s="91">
        <f>SUM(CI60:CI62)</f>
        <v>-349.62199999999996</v>
      </c>
    </row>
    <row r="60" spans="2:89" s="1" customFormat="1" ht="31.5" customHeight="1">
      <c r="B60" s="73"/>
      <c r="C60" s="93"/>
      <c r="D60" s="93" t="s">
        <v>149</v>
      </c>
      <c r="E60" s="94" t="s">
        <v>432</v>
      </c>
      <c r="F60" s="498" t="s">
        <v>492</v>
      </c>
      <c r="G60" s="498"/>
      <c r="H60" s="498"/>
      <c r="I60" s="498"/>
      <c r="J60" s="95" t="s">
        <v>168</v>
      </c>
      <c r="K60" s="211">
        <f>-K21</f>
        <v>-22.6</v>
      </c>
      <c r="L60" s="211">
        <f>-L21</f>
        <v>-22.6</v>
      </c>
      <c r="M60" s="211">
        <v>-24.3</v>
      </c>
      <c r="N60" s="306">
        <f>SUM(K60:M60)</f>
        <v>-69.5</v>
      </c>
      <c r="O60" s="400">
        <v>0</v>
      </c>
      <c r="P60" s="400">
        <v>0</v>
      </c>
      <c r="Q60" s="400">
        <v>0</v>
      </c>
      <c r="R60" s="220">
        <f>SUM(O60:Q60)</f>
        <v>0</v>
      </c>
      <c r="S60" s="289">
        <f t="shared" ref="S60:S62" si="135">R60/N60</f>
        <v>0</v>
      </c>
      <c r="T60" s="277">
        <f t="shared" ref="T60:T62" si="136">K60-O60</f>
        <v>-22.6</v>
      </c>
      <c r="U60" s="211">
        <f t="shared" ref="U60:U62" si="137">L60-P60</f>
        <v>-22.6</v>
      </c>
      <c r="V60" s="211">
        <f t="shared" ref="V60:V62" si="138">M60-Q60</f>
        <v>-24.3</v>
      </c>
      <c r="W60" s="220">
        <f>SUM(T60:V60)</f>
        <v>-69.5</v>
      </c>
      <c r="X60" s="289">
        <f t="shared" ref="X60:X62" si="139">W60/N60</f>
        <v>1</v>
      </c>
      <c r="Y60" s="221">
        <v>9.07</v>
      </c>
      <c r="Z60" s="221">
        <v>9.07</v>
      </c>
      <c r="AA60" s="221">
        <v>9.07</v>
      </c>
      <c r="AB60" s="211">
        <f t="shared" ref="AB60:AD62" si="140">ROUND(Y60*K60,3)</f>
        <v>-204.982</v>
      </c>
      <c r="AC60" s="211">
        <f t="shared" si="140"/>
        <v>-204.982</v>
      </c>
      <c r="AD60" s="211">
        <f t="shared" si="140"/>
        <v>-220.40100000000001</v>
      </c>
      <c r="AE60" s="295">
        <f>AB60+AC60+AD60</f>
        <v>-630.36500000000001</v>
      </c>
      <c r="AF60" s="400">
        <f t="shared" ref="AF60:AF62" si="141">ROUND(Y60*O60,3)</f>
        <v>0</v>
      </c>
      <c r="AG60" s="400">
        <f t="shared" ref="AG60:AG62" si="142">ROUND(Z60*P60,3)</f>
        <v>0</v>
      </c>
      <c r="AH60" s="400">
        <f t="shared" ref="AH60:AH62" si="143">ROUND(AA60*Q60,3)</f>
        <v>0</v>
      </c>
      <c r="AI60" s="211">
        <f>AF60+AG60+AH60</f>
        <v>0</v>
      </c>
      <c r="AJ60" s="289">
        <f t="shared" ref="AJ60:AJ62" si="144">AI60/AE60</f>
        <v>0</v>
      </c>
      <c r="AK60" s="400">
        <f t="shared" ref="AK60:AK62" si="145">AB60-AF60</f>
        <v>-204.982</v>
      </c>
      <c r="AL60" s="400">
        <f t="shared" ref="AL60:AL62" si="146">AC60-AG60</f>
        <v>-204.982</v>
      </c>
      <c r="AM60" s="400">
        <f t="shared" ref="AM60:AM62" si="147">AD60-AH60</f>
        <v>-220.40100000000001</v>
      </c>
      <c r="AN60" s="211">
        <f>AK60+AL60+AM60</f>
        <v>-630.36500000000001</v>
      </c>
      <c r="AO60" s="289">
        <f t="shared" ref="AO60:AO62" si="148">AN60/AE60</f>
        <v>1</v>
      </c>
      <c r="AP60" s="74"/>
      <c r="AR60" s="98" t="s">
        <v>0</v>
      </c>
      <c r="AS60" s="18" t="s">
        <v>11</v>
      </c>
      <c r="AT60" s="206"/>
      <c r="AU60" s="99">
        <f>AT60*K60</f>
        <v>0</v>
      </c>
      <c r="AV60" s="99">
        <v>0</v>
      </c>
      <c r="AW60" s="99">
        <f>AV60*K60</f>
        <v>0</v>
      </c>
      <c r="AX60" s="99">
        <v>0</v>
      </c>
      <c r="AY60" s="100">
        <f>AX60*K60</f>
        <v>0</v>
      </c>
      <c r="BC60" s="1">
        <v>8.7200000000000006</v>
      </c>
      <c r="BP60" s="9" t="s">
        <v>153</v>
      </c>
      <c r="BR60" s="9" t="s">
        <v>149</v>
      </c>
      <c r="BS60" s="9" t="s">
        <v>42</v>
      </c>
      <c r="BW60" s="9" t="s">
        <v>148</v>
      </c>
      <c r="CC60" s="72">
        <f>IF(AS60="základná",AB60,0)</f>
        <v>0</v>
      </c>
      <c r="CD60" s="72">
        <f>IF(AS60="znížená",AB60,0)</f>
        <v>-204.982</v>
      </c>
      <c r="CE60" s="72">
        <f>IF(AS60="zákl. prenesená",AB60,0)</f>
        <v>0</v>
      </c>
      <c r="CF60" s="72">
        <f>IF(AS60="zníž. prenesená",AB60,0)</f>
        <v>0</v>
      </c>
      <c r="CG60" s="72">
        <f>IF(AS60="nulová",AB60,0)</f>
        <v>0</v>
      </c>
      <c r="CH60" s="9" t="s">
        <v>42</v>
      </c>
      <c r="CI60" s="101">
        <f>ROUND(Y60*K60,3)</f>
        <v>-204.982</v>
      </c>
      <c r="CJ60" s="9" t="s">
        <v>153</v>
      </c>
      <c r="CK60" s="9" t="s">
        <v>493</v>
      </c>
    </row>
    <row r="61" spans="2:89" s="1" customFormat="1" ht="44.25" customHeight="1">
      <c r="B61" s="73"/>
      <c r="C61" s="93"/>
      <c r="D61" s="93" t="s">
        <v>149</v>
      </c>
      <c r="E61" s="94" t="s">
        <v>433</v>
      </c>
      <c r="F61" s="498" t="s">
        <v>434</v>
      </c>
      <c r="G61" s="498"/>
      <c r="H61" s="498"/>
      <c r="I61" s="498"/>
      <c r="J61" s="95" t="s">
        <v>168</v>
      </c>
      <c r="K61" s="211">
        <f>-K22</f>
        <v>-22.6</v>
      </c>
      <c r="L61" s="211">
        <f>-L22</f>
        <v>-22.6</v>
      </c>
      <c r="M61" s="211">
        <v>-24.3</v>
      </c>
      <c r="N61" s="306">
        <f>SUM(K61:M61)</f>
        <v>-69.5</v>
      </c>
      <c r="O61" s="400">
        <v>0</v>
      </c>
      <c r="P61" s="400">
        <v>0</v>
      </c>
      <c r="Q61" s="400">
        <v>0</v>
      </c>
      <c r="R61" s="220">
        <f>SUM(O61:Q61)</f>
        <v>0</v>
      </c>
      <c r="S61" s="289">
        <f t="shared" si="135"/>
        <v>0</v>
      </c>
      <c r="T61" s="277">
        <f t="shared" si="136"/>
        <v>-22.6</v>
      </c>
      <c r="U61" s="211">
        <f t="shared" si="137"/>
        <v>-22.6</v>
      </c>
      <c r="V61" s="211">
        <f t="shared" si="138"/>
        <v>-24.3</v>
      </c>
      <c r="W61" s="220">
        <f>SUM(T61:V61)</f>
        <v>-69.5</v>
      </c>
      <c r="X61" s="289">
        <f t="shared" si="139"/>
        <v>1</v>
      </c>
      <c r="Y61" s="221">
        <v>6.4</v>
      </c>
      <c r="Z61" s="221">
        <v>6.4</v>
      </c>
      <c r="AA61" s="221">
        <v>6.4</v>
      </c>
      <c r="AB61" s="211">
        <f t="shared" si="140"/>
        <v>-144.63999999999999</v>
      </c>
      <c r="AC61" s="211">
        <f t="shared" si="140"/>
        <v>-144.63999999999999</v>
      </c>
      <c r="AD61" s="211">
        <f t="shared" si="140"/>
        <v>-155.52000000000001</v>
      </c>
      <c r="AE61" s="295">
        <f>AB61+AC61+AD61</f>
        <v>-444.79999999999995</v>
      </c>
      <c r="AF61" s="400">
        <f t="shared" si="141"/>
        <v>0</v>
      </c>
      <c r="AG61" s="400">
        <f t="shared" si="142"/>
        <v>0</v>
      </c>
      <c r="AH61" s="400">
        <f t="shared" si="143"/>
        <v>0</v>
      </c>
      <c r="AI61" s="211">
        <f>AF61+AG61+AH61</f>
        <v>0</v>
      </c>
      <c r="AJ61" s="289">
        <f t="shared" si="144"/>
        <v>0</v>
      </c>
      <c r="AK61" s="400">
        <f t="shared" si="145"/>
        <v>-144.63999999999999</v>
      </c>
      <c r="AL61" s="400">
        <f t="shared" si="146"/>
        <v>-144.63999999999999</v>
      </c>
      <c r="AM61" s="400">
        <f t="shared" si="147"/>
        <v>-155.52000000000001</v>
      </c>
      <c r="AN61" s="211">
        <f>AK61+AL61+AM61</f>
        <v>-444.79999999999995</v>
      </c>
      <c r="AO61" s="289">
        <f t="shared" si="148"/>
        <v>1</v>
      </c>
      <c r="AP61" s="74"/>
      <c r="AQ61" s="1" t="s">
        <v>954</v>
      </c>
      <c r="AR61" s="98" t="s">
        <v>0</v>
      </c>
      <c r="AS61" s="18" t="s">
        <v>11</v>
      </c>
      <c r="AT61" s="206"/>
      <c r="AU61" s="99">
        <f>AT61*K61</f>
        <v>0</v>
      </c>
      <c r="AV61" s="99">
        <v>0</v>
      </c>
      <c r="AW61" s="99">
        <f>AV61*K61</f>
        <v>0</v>
      </c>
      <c r="AX61" s="99">
        <v>0</v>
      </c>
      <c r="AY61" s="100">
        <f>AX61*K61</f>
        <v>0</v>
      </c>
      <c r="BA61" s="113" t="s">
        <v>985</v>
      </c>
      <c r="BC61" s="1">
        <v>6.15</v>
      </c>
      <c r="BP61" s="9" t="s">
        <v>153</v>
      </c>
      <c r="BR61" s="9" t="s">
        <v>149</v>
      </c>
      <c r="BS61" s="9" t="s">
        <v>42</v>
      </c>
      <c r="BW61" s="9" t="s">
        <v>148</v>
      </c>
      <c r="CC61" s="72">
        <f>IF(AS61="základná",AB61,0)</f>
        <v>0</v>
      </c>
      <c r="CD61" s="72">
        <f>IF(AS61="znížená",AB61,0)</f>
        <v>-144.63999999999999</v>
      </c>
      <c r="CE61" s="72">
        <f>IF(AS61="zákl. prenesená",AB61,0)</f>
        <v>0</v>
      </c>
      <c r="CF61" s="72">
        <f>IF(AS61="zníž. prenesená",AB61,0)</f>
        <v>0</v>
      </c>
      <c r="CG61" s="72">
        <f>IF(AS61="nulová",AB61,0)</f>
        <v>0</v>
      </c>
      <c r="CH61" s="9" t="s">
        <v>42</v>
      </c>
      <c r="CI61" s="101">
        <f>ROUND(Y61*K61,3)</f>
        <v>-144.63999999999999</v>
      </c>
      <c r="CJ61" s="9" t="s">
        <v>153</v>
      </c>
      <c r="CK61" s="9" t="s">
        <v>494</v>
      </c>
    </row>
    <row r="62" spans="2:89" s="1" customFormat="1" ht="44.25" customHeight="1">
      <c r="B62" s="73"/>
      <c r="C62" s="93"/>
      <c r="D62" s="93" t="s">
        <v>149</v>
      </c>
      <c r="E62" s="94" t="s">
        <v>435</v>
      </c>
      <c r="F62" s="498" t="s">
        <v>436</v>
      </c>
      <c r="G62" s="498"/>
      <c r="H62" s="498"/>
      <c r="I62" s="498"/>
      <c r="J62" s="95" t="s">
        <v>168</v>
      </c>
      <c r="K62" s="211">
        <v>0</v>
      </c>
      <c r="L62" s="211">
        <v>0</v>
      </c>
      <c r="M62" s="211">
        <v>-24.3</v>
      </c>
      <c r="N62" s="306">
        <f>SUM(K62:M62)</f>
        <v>-24.3</v>
      </c>
      <c r="O62" s="400">
        <v>0</v>
      </c>
      <c r="P62" s="400">
        <v>0</v>
      </c>
      <c r="Q62" s="400">
        <v>0</v>
      </c>
      <c r="R62" s="220">
        <f>SUM(O62:Q62)</f>
        <v>0</v>
      </c>
      <c r="S62" s="289">
        <f t="shared" si="135"/>
        <v>0</v>
      </c>
      <c r="T62" s="277">
        <f t="shared" si="136"/>
        <v>0</v>
      </c>
      <c r="U62" s="211">
        <f t="shared" si="137"/>
        <v>0</v>
      </c>
      <c r="V62" s="211">
        <f t="shared" si="138"/>
        <v>-24.3</v>
      </c>
      <c r="W62" s="220">
        <f>SUM(T62:V62)</f>
        <v>-24.3</v>
      </c>
      <c r="X62" s="289">
        <f t="shared" si="139"/>
        <v>1</v>
      </c>
      <c r="Y62" s="221">
        <v>14.29</v>
      </c>
      <c r="Z62" s="221">
        <v>14.29</v>
      </c>
      <c r="AA62" s="221">
        <v>14.29</v>
      </c>
      <c r="AB62" s="211">
        <f t="shared" si="140"/>
        <v>0</v>
      </c>
      <c r="AC62" s="211">
        <f t="shared" si="140"/>
        <v>0</v>
      </c>
      <c r="AD62" s="211">
        <f t="shared" si="140"/>
        <v>-347.24700000000001</v>
      </c>
      <c r="AE62" s="295">
        <f>AB62+AC62+AD62</f>
        <v>-347.24700000000001</v>
      </c>
      <c r="AF62" s="400">
        <f t="shared" si="141"/>
        <v>0</v>
      </c>
      <c r="AG62" s="400">
        <f t="shared" si="142"/>
        <v>0</v>
      </c>
      <c r="AH62" s="400">
        <f t="shared" si="143"/>
        <v>0</v>
      </c>
      <c r="AI62" s="211">
        <f>AF62+AG62+AH62</f>
        <v>0</v>
      </c>
      <c r="AJ62" s="289">
        <f t="shared" si="144"/>
        <v>0</v>
      </c>
      <c r="AK62" s="400">
        <f t="shared" si="145"/>
        <v>0</v>
      </c>
      <c r="AL62" s="400">
        <f t="shared" si="146"/>
        <v>0</v>
      </c>
      <c r="AM62" s="400">
        <f t="shared" si="147"/>
        <v>-347.24700000000001</v>
      </c>
      <c r="AN62" s="211">
        <f>AK62+AL62+AM62</f>
        <v>-347.24700000000001</v>
      </c>
      <c r="AO62" s="289">
        <f t="shared" si="148"/>
        <v>1</v>
      </c>
      <c r="AP62" s="74"/>
      <c r="AQ62" s="1" t="s">
        <v>954</v>
      </c>
      <c r="AR62" s="98" t="s">
        <v>0</v>
      </c>
      <c r="AS62" s="18" t="s">
        <v>11</v>
      </c>
      <c r="AT62" s="206"/>
      <c r="AU62" s="99">
        <f>AT62*K62</f>
        <v>0</v>
      </c>
      <c r="AV62" s="99">
        <v>0</v>
      </c>
      <c r="AW62" s="99">
        <f>AV62*K62</f>
        <v>0</v>
      </c>
      <c r="AX62" s="99">
        <v>0</v>
      </c>
      <c r="AY62" s="100">
        <f>AX62*K62</f>
        <v>0</v>
      </c>
      <c r="BA62" s="1" t="s">
        <v>986</v>
      </c>
      <c r="BC62" s="1">
        <v>13.74</v>
      </c>
      <c r="BP62" s="9" t="s">
        <v>153</v>
      </c>
      <c r="BR62" s="9" t="s">
        <v>149</v>
      </c>
      <c r="BS62" s="9" t="s">
        <v>42</v>
      </c>
      <c r="BW62" s="9" t="s">
        <v>148</v>
      </c>
      <c r="CC62" s="72">
        <f>IF(AS62="základná",AB62,0)</f>
        <v>0</v>
      </c>
      <c r="CD62" s="72">
        <f>IF(AS62="znížená",AB62,0)</f>
        <v>0</v>
      </c>
      <c r="CE62" s="72">
        <f>IF(AS62="zákl. prenesená",AB62,0)</f>
        <v>0</v>
      </c>
      <c r="CF62" s="72">
        <f>IF(AS62="zníž. prenesená",AB62,0)</f>
        <v>0</v>
      </c>
      <c r="CG62" s="72">
        <f>IF(AS62="nulová",AB62,0)</f>
        <v>0</v>
      </c>
      <c r="CH62" s="9" t="s">
        <v>42</v>
      </c>
      <c r="CI62" s="101">
        <f>ROUND(Y62*K62,3)</f>
        <v>0</v>
      </c>
      <c r="CJ62" s="9" t="s">
        <v>153</v>
      </c>
      <c r="CK62" s="9" t="s">
        <v>495</v>
      </c>
    </row>
    <row r="63" spans="2:89" s="7" customFormat="1" ht="29.85" customHeight="1">
      <c r="B63" s="82"/>
      <c r="C63" s="83"/>
      <c r="D63" s="92" t="s">
        <v>128</v>
      </c>
      <c r="E63" s="92"/>
      <c r="F63" s="92"/>
      <c r="G63" s="92"/>
      <c r="H63" s="92"/>
      <c r="I63" s="92"/>
      <c r="J63" s="92"/>
      <c r="K63" s="219"/>
      <c r="L63" s="219"/>
      <c r="M63" s="219"/>
      <c r="N63" s="222"/>
      <c r="O63" s="219"/>
      <c r="P63" s="219"/>
      <c r="Q63" s="219"/>
      <c r="R63" s="222"/>
      <c r="S63" s="222"/>
      <c r="T63" s="219"/>
      <c r="U63" s="219"/>
      <c r="V63" s="219"/>
      <c r="W63" s="222"/>
      <c r="X63" s="222"/>
      <c r="Y63" s="219"/>
      <c r="Z63" s="219"/>
      <c r="AA63" s="219"/>
      <c r="AB63" s="260">
        <f>SUM(AB64:AB72)</f>
        <v>126.56200000000004</v>
      </c>
      <c r="AC63" s="260">
        <f t="shared" ref="AC63:AE63" si="149">SUM(AC64:AC72)</f>
        <v>1408.9880000000001</v>
      </c>
      <c r="AD63" s="260">
        <f t="shared" si="149"/>
        <v>1225.7920000000001</v>
      </c>
      <c r="AE63" s="454">
        <f t="shared" si="149"/>
        <v>2761.3420000000001</v>
      </c>
      <c r="AF63" s="260">
        <f t="shared" ref="AF63:AI63" si="150">SUM(AF64:AF72)</f>
        <v>0</v>
      </c>
      <c r="AG63" s="260">
        <f t="shared" si="150"/>
        <v>1309.6779999999999</v>
      </c>
      <c r="AH63" s="260">
        <f t="shared" si="150"/>
        <v>0</v>
      </c>
      <c r="AI63" s="260">
        <f t="shared" si="150"/>
        <v>1309.6779999999999</v>
      </c>
      <c r="AJ63" s="453"/>
      <c r="AK63" s="260">
        <f t="shared" ref="AK63:AN63" si="151">SUM(AK64:AK72)</f>
        <v>126.56200000000004</v>
      </c>
      <c r="AL63" s="260">
        <f t="shared" si="151"/>
        <v>99.31</v>
      </c>
      <c r="AM63" s="260">
        <f t="shared" si="151"/>
        <v>1225.7920000000001</v>
      </c>
      <c r="AN63" s="260">
        <f t="shared" si="151"/>
        <v>1451.6640000000002</v>
      </c>
      <c r="AO63" s="453"/>
      <c r="AP63" s="85"/>
      <c r="AR63" s="86"/>
      <c r="AS63" s="83"/>
      <c r="AT63" s="83"/>
      <c r="AU63" s="87">
        <f>SUM(AU64:AU66)</f>
        <v>0</v>
      </c>
      <c r="AV63" s="83"/>
      <c r="AW63" s="87">
        <f>SUM(AW64:AW66)</f>
        <v>0</v>
      </c>
      <c r="AX63" s="83"/>
      <c r="AY63" s="88">
        <f>SUM(AY64:AY66)</f>
        <v>0</v>
      </c>
      <c r="BP63" s="89" t="s">
        <v>38</v>
      </c>
      <c r="BR63" s="90" t="s">
        <v>30</v>
      </c>
      <c r="BS63" s="90" t="s">
        <v>38</v>
      </c>
      <c r="BW63" s="89" t="s">
        <v>148</v>
      </c>
      <c r="CI63" s="91">
        <f>SUM(CI64:CI66)</f>
        <v>-167.59399999999997</v>
      </c>
    </row>
    <row r="64" spans="2:89" s="1" customFormat="1" ht="31.5" customHeight="1">
      <c r="B64" s="73"/>
      <c r="C64" s="93"/>
      <c r="D64" s="93" t="s">
        <v>149</v>
      </c>
      <c r="E64" s="94" t="s">
        <v>437</v>
      </c>
      <c r="F64" s="498" t="s">
        <v>438</v>
      </c>
      <c r="G64" s="498"/>
      <c r="H64" s="498"/>
      <c r="I64" s="498"/>
      <c r="J64" s="95" t="s">
        <v>168</v>
      </c>
      <c r="K64" s="211">
        <f>(8.6*2.6*2)-K25</f>
        <v>21.22</v>
      </c>
      <c r="L64" s="211">
        <f>(8.6*2.6*2)-L25</f>
        <v>21.22</v>
      </c>
      <c r="M64" s="211">
        <v>0</v>
      </c>
      <c r="N64" s="306">
        <f t="shared" ref="N64:N72" si="152">SUM(K64:M64)</f>
        <v>42.44</v>
      </c>
      <c r="O64" s="400">
        <v>0</v>
      </c>
      <c r="P64" s="400">
        <v>0</v>
      </c>
      <c r="Q64" s="400">
        <v>0</v>
      </c>
      <c r="R64" s="220">
        <f t="shared" ref="R64:R72" si="153">SUM(O64:Q64)</f>
        <v>0</v>
      </c>
      <c r="S64" s="289">
        <f t="shared" ref="S64:S72" si="154">R64/N64</f>
        <v>0</v>
      </c>
      <c r="T64" s="277">
        <f t="shared" ref="T64:T72" si="155">K64-O64</f>
        <v>21.22</v>
      </c>
      <c r="U64" s="211">
        <f t="shared" ref="U64:U72" si="156">L64-P64</f>
        <v>21.22</v>
      </c>
      <c r="V64" s="211">
        <f t="shared" ref="V64:V72" si="157">M64-Q64</f>
        <v>0</v>
      </c>
      <c r="W64" s="220">
        <f t="shared" ref="W64:W72" si="158">SUM(T64:V64)</f>
        <v>42.44</v>
      </c>
      <c r="X64" s="289">
        <f t="shared" ref="X64:X72" si="159">W64/N64</f>
        <v>1</v>
      </c>
      <c r="Y64" s="221">
        <v>4.68</v>
      </c>
      <c r="Z64" s="221">
        <v>4.68</v>
      </c>
      <c r="AA64" s="221">
        <v>4.68</v>
      </c>
      <c r="AB64" s="211">
        <f t="shared" ref="AB64:AD66" si="160">ROUND(Y64*K64,3)</f>
        <v>99.31</v>
      </c>
      <c r="AC64" s="211">
        <f t="shared" si="160"/>
        <v>99.31</v>
      </c>
      <c r="AD64" s="211">
        <f t="shared" si="160"/>
        <v>0</v>
      </c>
      <c r="AE64" s="295">
        <f t="shared" ref="AE64:AE72" si="161">AB64+AC64+AD64</f>
        <v>198.62</v>
      </c>
      <c r="AF64" s="277">
        <f t="shared" ref="AF64:AF72" si="162">ROUND(Y64*O64,3)</f>
        <v>0</v>
      </c>
      <c r="AG64" s="211">
        <f t="shared" ref="AG64:AG72" si="163">ROUND(Z64*P64,3)</f>
        <v>0</v>
      </c>
      <c r="AH64" s="211">
        <f t="shared" ref="AH64:AH72" si="164">ROUND(AA64*Q64,3)</f>
        <v>0</v>
      </c>
      <c r="AI64" s="211">
        <f t="shared" ref="AI64:AI72" si="165">AF64+AG64+AH64</f>
        <v>0</v>
      </c>
      <c r="AJ64" s="289">
        <f t="shared" ref="AJ64:AJ72" si="166">AI64/AE64</f>
        <v>0</v>
      </c>
      <c r="AK64" s="400">
        <f t="shared" ref="AK64:AK72" si="167">AB64-AF64</f>
        <v>99.31</v>
      </c>
      <c r="AL64" s="400">
        <f t="shared" ref="AL64:AL72" si="168">AC64-AG64</f>
        <v>99.31</v>
      </c>
      <c r="AM64" s="400">
        <f t="shared" ref="AM64:AM72" si="169">AD64-AH64</f>
        <v>0</v>
      </c>
      <c r="AN64" s="211">
        <f t="shared" ref="AN64:AN72" si="170">AK64+AL64+AM64</f>
        <v>198.62</v>
      </c>
      <c r="AO64" s="289">
        <f t="shared" ref="AO64:AO72" si="171">AN64/AE64</f>
        <v>1</v>
      </c>
      <c r="AP64" s="74"/>
      <c r="AR64" s="98" t="s">
        <v>0</v>
      </c>
      <c r="AS64" s="18" t="s">
        <v>11</v>
      </c>
      <c r="AT64" s="206"/>
      <c r="AU64" s="99">
        <f t="shared" ref="AU64:AU72" si="172">AT64*K64</f>
        <v>0</v>
      </c>
      <c r="AV64" s="99">
        <v>0</v>
      </c>
      <c r="AW64" s="99">
        <f t="shared" ref="AW64:AW72" si="173">AV64*K64</f>
        <v>0</v>
      </c>
      <c r="AX64" s="99">
        <v>0</v>
      </c>
      <c r="AY64" s="100">
        <f t="shared" ref="AY64:AY72" si="174">AX64*K64</f>
        <v>0</v>
      </c>
      <c r="BC64" s="1">
        <v>4.5</v>
      </c>
      <c r="BP64" s="9" t="s">
        <v>153</v>
      </c>
      <c r="BR64" s="9" t="s">
        <v>149</v>
      </c>
      <c r="BS64" s="9" t="s">
        <v>42</v>
      </c>
      <c r="BW64" s="9" t="s">
        <v>148</v>
      </c>
      <c r="CC64" s="72">
        <f t="shared" ref="CC64:CC72" si="175">IF(AS64="základná",AB64,0)</f>
        <v>0</v>
      </c>
      <c r="CD64" s="72">
        <f t="shared" ref="CD64:CD72" si="176">IF(AS64="znížená",AB64,0)</f>
        <v>99.31</v>
      </c>
      <c r="CE64" s="72">
        <f t="shared" ref="CE64:CE72" si="177">IF(AS64="zákl. prenesená",AB64,0)</f>
        <v>0</v>
      </c>
      <c r="CF64" s="72">
        <f t="shared" ref="CF64:CF72" si="178">IF(AS64="zníž. prenesená",AB64,0)</f>
        <v>0</v>
      </c>
      <c r="CG64" s="72">
        <f t="shared" ref="CG64:CG72" si="179">IF(AS64="nulová",AB64,0)</f>
        <v>0</v>
      </c>
      <c r="CH64" s="9" t="s">
        <v>42</v>
      </c>
      <c r="CI64" s="101">
        <f t="shared" ref="CI64:CI72" si="180">ROUND(Y64*K64,3)</f>
        <v>99.31</v>
      </c>
      <c r="CJ64" s="9" t="s">
        <v>153</v>
      </c>
      <c r="CK64" s="9" t="s">
        <v>496</v>
      </c>
    </row>
    <row r="65" spans="2:89" s="1" customFormat="1" ht="44.25" customHeight="1">
      <c r="B65" s="73"/>
      <c r="C65" s="93"/>
      <c r="D65" s="93" t="s">
        <v>149</v>
      </c>
      <c r="E65" s="94" t="s">
        <v>439</v>
      </c>
      <c r="F65" s="498" t="s">
        <v>440</v>
      </c>
      <c r="G65" s="498"/>
      <c r="H65" s="498"/>
      <c r="I65" s="498"/>
      <c r="J65" s="95" t="s">
        <v>396</v>
      </c>
      <c r="K65" s="211">
        <f>-K26</f>
        <v>-2.7970000000000002</v>
      </c>
      <c r="L65" s="211">
        <v>0</v>
      </c>
      <c r="M65" s="211">
        <f>-24.3*0.07</f>
        <v>-1.7010000000000003</v>
      </c>
      <c r="N65" s="306">
        <f t="shared" si="152"/>
        <v>-4.4980000000000002</v>
      </c>
      <c r="O65" s="400">
        <v>0</v>
      </c>
      <c r="P65" s="400">
        <v>0</v>
      </c>
      <c r="Q65" s="400">
        <v>0</v>
      </c>
      <c r="R65" s="220">
        <f t="shared" si="153"/>
        <v>0</v>
      </c>
      <c r="S65" s="289">
        <f t="shared" si="154"/>
        <v>0</v>
      </c>
      <c r="T65" s="277">
        <f t="shared" si="155"/>
        <v>-2.7970000000000002</v>
      </c>
      <c r="U65" s="211">
        <f t="shared" si="156"/>
        <v>0</v>
      </c>
      <c r="V65" s="211">
        <f t="shared" si="157"/>
        <v>-1.7010000000000003</v>
      </c>
      <c r="W65" s="220">
        <f t="shared" si="158"/>
        <v>-4.4980000000000002</v>
      </c>
      <c r="X65" s="289">
        <f t="shared" si="159"/>
        <v>1</v>
      </c>
      <c r="Y65" s="221">
        <v>102.6</v>
      </c>
      <c r="Z65" s="221">
        <v>102.6</v>
      </c>
      <c r="AA65" s="221">
        <v>102.6</v>
      </c>
      <c r="AB65" s="211">
        <f t="shared" si="160"/>
        <v>-286.97199999999998</v>
      </c>
      <c r="AC65" s="211">
        <f t="shared" si="160"/>
        <v>0</v>
      </c>
      <c r="AD65" s="211">
        <f t="shared" si="160"/>
        <v>-174.523</v>
      </c>
      <c r="AE65" s="295">
        <f t="shared" si="161"/>
        <v>-461.495</v>
      </c>
      <c r="AF65" s="277">
        <f t="shared" si="162"/>
        <v>0</v>
      </c>
      <c r="AG65" s="211">
        <f t="shared" si="163"/>
        <v>0</v>
      </c>
      <c r="AH65" s="211">
        <f t="shared" si="164"/>
        <v>0</v>
      </c>
      <c r="AI65" s="211">
        <f t="shared" si="165"/>
        <v>0</v>
      </c>
      <c r="AJ65" s="289">
        <f t="shared" si="166"/>
        <v>0</v>
      </c>
      <c r="AK65" s="400">
        <f t="shared" si="167"/>
        <v>-286.97199999999998</v>
      </c>
      <c r="AL65" s="400">
        <f t="shared" si="168"/>
        <v>0</v>
      </c>
      <c r="AM65" s="400">
        <f t="shared" si="169"/>
        <v>-174.523</v>
      </c>
      <c r="AN65" s="211">
        <f t="shared" si="170"/>
        <v>-461.495</v>
      </c>
      <c r="AO65" s="289">
        <f t="shared" si="171"/>
        <v>1</v>
      </c>
      <c r="AP65" s="74"/>
      <c r="AR65" s="98" t="s">
        <v>0</v>
      </c>
      <c r="AS65" s="18" t="s">
        <v>11</v>
      </c>
      <c r="AT65" s="206"/>
      <c r="AU65" s="99">
        <f t="shared" si="172"/>
        <v>0</v>
      </c>
      <c r="AV65" s="99">
        <v>0</v>
      </c>
      <c r="AW65" s="99">
        <f t="shared" si="173"/>
        <v>0</v>
      </c>
      <c r="AX65" s="99">
        <v>0</v>
      </c>
      <c r="AY65" s="100">
        <f t="shared" si="174"/>
        <v>0</v>
      </c>
      <c r="BC65" s="1">
        <v>98.65</v>
      </c>
      <c r="BP65" s="9" t="s">
        <v>153</v>
      </c>
      <c r="BR65" s="9" t="s">
        <v>149</v>
      </c>
      <c r="BS65" s="9" t="s">
        <v>42</v>
      </c>
      <c r="BW65" s="9" t="s">
        <v>148</v>
      </c>
      <c r="CC65" s="72">
        <f t="shared" si="175"/>
        <v>0</v>
      </c>
      <c r="CD65" s="72">
        <f t="shared" si="176"/>
        <v>-286.97199999999998</v>
      </c>
      <c r="CE65" s="72">
        <f t="shared" si="177"/>
        <v>0</v>
      </c>
      <c r="CF65" s="72">
        <f t="shared" si="178"/>
        <v>0</v>
      </c>
      <c r="CG65" s="72">
        <f t="shared" si="179"/>
        <v>0</v>
      </c>
      <c r="CH65" s="9" t="s">
        <v>42</v>
      </c>
      <c r="CI65" s="101">
        <f t="shared" si="180"/>
        <v>-286.97199999999998</v>
      </c>
      <c r="CJ65" s="9" t="s">
        <v>153</v>
      </c>
      <c r="CK65" s="9" t="s">
        <v>497</v>
      </c>
    </row>
    <row r="66" spans="2:89" s="1" customFormat="1" ht="44.25" customHeight="1">
      <c r="B66" s="73"/>
      <c r="C66" s="93"/>
      <c r="D66" s="93" t="s">
        <v>149</v>
      </c>
      <c r="E66" s="94" t="s">
        <v>441</v>
      </c>
      <c r="F66" s="498" t="s">
        <v>442</v>
      </c>
      <c r="G66" s="498"/>
      <c r="H66" s="498"/>
      <c r="I66" s="498"/>
      <c r="J66" s="95" t="s">
        <v>168</v>
      </c>
      <c r="K66" s="211">
        <f>25.95-K27</f>
        <v>1.9849999999999994</v>
      </c>
      <c r="L66" s="211">
        <f>25.95-L27</f>
        <v>1.9849999999999994</v>
      </c>
      <c r="M66" s="211">
        <f>24.3-M27</f>
        <v>21.16</v>
      </c>
      <c r="N66" s="306">
        <f t="shared" si="152"/>
        <v>25.13</v>
      </c>
      <c r="O66" s="400">
        <v>0</v>
      </c>
      <c r="P66" s="400">
        <v>1.9850000000000001</v>
      </c>
      <c r="Q66" s="400">
        <v>0</v>
      </c>
      <c r="R66" s="220">
        <f t="shared" si="153"/>
        <v>1.9850000000000001</v>
      </c>
      <c r="S66" s="289">
        <f t="shared" si="154"/>
        <v>7.8989255869478719E-2</v>
      </c>
      <c r="T66" s="277">
        <f t="shared" si="155"/>
        <v>1.9849999999999994</v>
      </c>
      <c r="U66" s="211">
        <f t="shared" si="156"/>
        <v>0</v>
      </c>
      <c r="V66" s="211">
        <f t="shared" si="157"/>
        <v>21.16</v>
      </c>
      <c r="W66" s="220">
        <f t="shared" si="158"/>
        <v>23.145</v>
      </c>
      <c r="X66" s="289">
        <f t="shared" si="159"/>
        <v>0.92101074413052131</v>
      </c>
      <c r="Y66" s="221">
        <v>10.11</v>
      </c>
      <c r="Z66" s="221">
        <v>10.11</v>
      </c>
      <c r="AA66" s="221">
        <v>10.11</v>
      </c>
      <c r="AB66" s="211">
        <f t="shared" si="160"/>
        <v>20.068000000000001</v>
      </c>
      <c r="AC66" s="211">
        <f t="shared" si="160"/>
        <v>20.068000000000001</v>
      </c>
      <c r="AD66" s="211">
        <f t="shared" si="160"/>
        <v>213.928</v>
      </c>
      <c r="AE66" s="295">
        <f t="shared" si="161"/>
        <v>254.06399999999999</v>
      </c>
      <c r="AF66" s="277">
        <f t="shared" si="162"/>
        <v>0</v>
      </c>
      <c r="AG66" s="211">
        <f t="shared" si="163"/>
        <v>20.068000000000001</v>
      </c>
      <c r="AH66" s="211">
        <f t="shared" si="164"/>
        <v>0</v>
      </c>
      <c r="AI66" s="211">
        <f t="shared" si="165"/>
        <v>20.068000000000001</v>
      </c>
      <c r="AJ66" s="289">
        <f t="shared" si="166"/>
        <v>7.8987971534731416E-2</v>
      </c>
      <c r="AK66" s="400">
        <f t="shared" si="167"/>
        <v>20.068000000000001</v>
      </c>
      <c r="AL66" s="400">
        <f t="shared" si="168"/>
        <v>0</v>
      </c>
      <c r="AM66" s="400">
        <f t="shared" si="169"/>
        <v>213.928</v>
      </c>
      <c r="AN66" s="211">
        <f t="shared" si="170"/>
        <v>233.99600000000001</v>
      </c>
      <c r="AO66" s="289">
        <f t="shared" si="171"/>
        <v>0.92101202846526864</v>
      </c>
      <c r="AP66" s="74"/>
      <c r="AR66" s="98" t="s">
        <v>0</v>
      </c>
      <c r="AS66" s="18" t="s">
        <v>11</v>
      </c>
      <c r="AT66" s="206"/>
      <c r="AU66" s="99">
        <f t="shared" si="172"/>
        <v>0</v>
      </c>
      <c r="AV66" s="99">
        <v>0</v>
      </c>
      <c r="AW66" s="99">
        <f t="shared" si="173"/>
        <v>0</v>
      </c>
      <c r="AX66" s="99">
        <v>0</v>
      </c>
      <c r="AY66" s="100">
        <f t="shared" si="174"/>
        <v>0</v>
      </c>
      <c r="BC66" s="1">
        <v>9.7200000000000006</v>
      </c>
      <c r="BP66" s="9" t="s">
        <v>153</v>
      </c>
      <c r="BR66" s="9" t="s">
        <v>149</v>
      </c>
      <c r="BS66" s="9" t="s">
        <v>42</v>
      </c>
      <c r="BW66" s="9" t="s">
        <v>148</v>
      </c>
      <c r="CC66" s="72">
        <f t="shared" si="175"/>
        <v>0</v>
      </c>
      <c r="CD66" s="72">
        <f t="shared" si="176"/>
        <v>20.068000000000001</v>
      </c>
      <c r="CE66" s="72">
        <f t="shared" si="177"/>
        <v>0</v>
      </c>
      <c r="CF66" s="72">
        <f t="shared" si="178"/>
        <v>0</v>
      </c>
      <c r="CG66" s="72">
        <f t="shared" si="179"/>
        <v>0</v>
      </c>
      <c r="CH66" s="9" t="s">
        <v>42</v>
      </c>
      <c r="CI66" s="101">
        <f t="shared" si="180"/>
        <v>20.068000000000001</v>
      </c>
      <c r="CJ66" s="9" t="s">
        <v>153</v>
      </c>
      <c r="CK66" s="9" t="s">
        <v>498</v>
      </c>
    </row>
    <row r="67" spans="2:89" s="1" customFormat="1" ht="44.25" customHeight="1">
      <c r="B67" s="73"/>
      <c r="C67" s="93"/>
      <c r="D67" s="93" t="s">
        <v>149</v>
      </c>
      <c r="E67" s="94" t="s">
        <v>150</v>
      </c>
      <c r="F67" s="498" t="s">
        <v>1379</v>
      </c>
      <c r="G67" s="498"/>
      <c r="H67" s="498"/>
      <c r="I67" s="498"/>
      <c r="J67" s="95" t="s">
        <v>152</v>
      </c>
      <c r="K67" s="211">
        <v>1.6870000000000001</v>
      </c>
      <c r="L67" s="211">
        <v>7.3959999999999999</v>
      </c>
      <c r="M67" s="211">
        <f>24.3*0.1*2800/1000</f>
        <v>6.8040000000000003</v>
      </c>
      <c r="N67" s="306">
        <f t="shared" si="152"/>
        <v>15.887</v>
      </c>
      <c r="O67" s="400">
        <v>0</v>
      </c>
      <c r="P67" s="400">
        <v>7.3959999999999999</v>
      </c>
      <c r="Q67" s="400">
        <v>0</v>
      </c>
      <c r="R67" s="220">
        <f t="shared" si="153"/>
        <v>7.3959999999999999</v>
      </c>
      <c r="S67" s="289">
        <f t="shared" si="154"/>
        <v>0.46553786114433182</v>
      </c>
      <c r="T67" s="277">
        <f t="shared" si="155"/>
        <v>1.6870000000000001</v>
      </c>
      <c r="U67" s="211">
        <f t="shared" si="156"/>
        <v>0</v>
      </c>
      <c r="V67" s="211">
        <f t="shared" si="157"/>
        <v>6.8040000000000003</v>
      </c>
      <c r="W67" s="220">
        <f t="shared" si="158"/>
        <v>8.4909999999999997</v>
      </c>
      <c r="X67" s="289">
        <f t="shared" si="159"/>
        <v>0.53446213885566807</v>
      </c>
      <c r="Y67" s="137">
        <v>52</v>
      </c>
      <c r="Z67" s="137">
        <v>52</v>
      </c>
      <c r="AA67" s="137">
        <v>52</v>
      </c>
      <c r="AB67" s="211">
        <f t="shared" ref="AB67:AB72" si="181">ROUND(Y67*K67,3)</f>
        <v>87.724000000000004</v>
      </c>
      <c r="AC67" s="211">
        <f t="shared" ref="AC67:AC72" si="182">ROUND(Y67*L67,3)</f>
        <v>384.59199999999998</v>
      </c>
      <c r="AD67" s="211">
        <f t="shared" ref="AD67:AD72" si="183">ROUND(Y67*M67,3)</f>
        <v>353.80799999999999</v>
      </c>
      <c r="AE67" s="295">
        <f t="shared" si="161"/>
        <v>826.12400000000002</v>
      </c>
      <c r="AF67" s="277">
        <f t="shared" si="162"/>
        <v>0</v>
      </c>
      <c r="AG67" s="211">
        <f t="shared" si="163"/>
        <v>384.59199999999998</v>
      </c>
      <c r="AH67" s="211">
        <f t="shared" si="164"/>
        <v>0</v>
      </c>
      <c r="AI67" s="211">
        <f t="shared" si="165"/>
        <v>384.59199999999998</v>
      </c>
      <c r="AJ67" s="289">
        <f t="shared" si="166"/>
        <v>0.46553786114433182</v>
      </c>
      <c r="AK67" s="400">
        <f t="shared" si="167"/>
        <v>87.724000000000004</v>
      </c>
      <c r="AL67" s="400">
        <f t="shared" si="168"/>
        <v>0</v>
      </c>
      <c r="AM67" s="400">
        <f t="shared" si="169"/>
        <v>353.80799999999999</v>
      </c>
      <c r="AN67" s="211">
        <f t="shared" si="170"/>
        <v>441.53199999999998</v>
      </c>
      <c r="AO67" s="289">
        <f t="shared" si="171"/>
        <v>0.53446213885566807</v>
      </c>
      <c r="AP67" s="74"/>
      <c r="AR67" s="98" t="s">
        <v>0</v>
      </c>
      <c r="AS67" s="18" t="s">
        <v>11</v>
      </c>
      <c r="AT67" s="245"/>
      <c r="AU67" s="99">
        <f t="shared" si="172"/>
        <v>0</v>
      </c>
      <c r="AV67" s="99">
        <v>0</v>
      </c>
      <c r="AW67" s="99">
        <f t="shared" si="173"/>
        <v>0</v>
      </c>
      <c r="AX67" s="99">
        <v>0</v>
      </c>
      <c r="AY67" s="100">
        <f t="shared" si="174"/>
        <v>0</v>
      </c>
      <c r="BC67" s="1">
        <v>9.7200000000000006</v>
      </c>
      <c r="BP67" s="9" t="s">
        <v>153</v>
      </c>
      <c r="BR67" s="9" t="s">
        <v>149</v>
      </c>
      <c r="BS67" s="9" t="s">
        <v>42</v>
      </c>
      <c r="BW67" s="9" t="s">
        <v>148</v>
      </c>
      <c r="CC67" s="72">
        <f t="shared" si="175"/>
        <v>0</v>
      </c>
      <c r="CD67" s="72">
        <f t="shared" si="176"/>
        <v>87.724000000000004</v>
      </c>
      <c r="CE67" s="72">
        <f t="shared" si="177"/>
        <v>0</v>
      </c>
      <c r="CF67" s="72">
        <f t="shared" si="178"/>
        <v>0</v>
      </c>
      <c r="CG67" s="72">
        <f t="shared" si="179"/>
        <v>0</v>
      </c>
      <c r="CH67" s="9" t="s">
        <v>42</v>
      </c>
      <c r="CI67" s="101">
        <f t="shared" si="180"/>
        <v>87.724000000000004</v>
      </c>
      <c r="CJ67" s="9" t="s">
        <v>153</v>
      </c>
      <c r="CK67" s="9" t="s">
        <v>498</v>
      </c>
    </row>
    <row r="68" spans="2:89" s="1" customFormat="1" ht="44.25" customHeight="1">
      <c r="B68" s="73"/>
      <c r="C68" s="93"/>
      <c r="D68" s="93" t="s">
        <v>149</v>
      </c>
      <c r="E68" s="94" t="s">
        <v>1378</v>
      </c>
      <c r="F68" s="498" t="s">
        <v>1380</v>
      </c>
      <c r="G68" s="498"/>
      <c r="H68" s="498"/>
      <c r="I68" s="498"/>
      <c r="J68" s="95" t="s">
        <v>152</v>
      </c>
      <c r="K68" s="211">
        <f>K67</f>
        <v>1.6870000000000001</v>
      </c>
      <c r="L68" s="211">
        <f>L67</f>
        <v>7.3959999999999999</v>
      </c>
      <c r="M68" s="211">
        <f>24.3*0.1*2800/1000</f>
        <v>6.8040000000000003</v>
      </c>
      <c r="N68" s="306">
        <f t="shared" si="152"/>
        <v>15.887</v>
      </c>
      <c r="O68" s="400">
        <v>0</v>
      </c>
      <c r="P68" s="400">
        <v>7.3959999999999999</v>
      </c>
      <c r="Q68" s="400">
        <v>0</v>
      </c>
      <c r="R68" s="220">
        <f t="shared" si="153"/>
        <v>7.3959999999999999</v>
      </c>
      <c r="S68" s="289">
        <f t="shared" si="154"/>
        <v>0.46553786114433182</v>
      </c>
      <c r="T68" s="277">
        <f t="shared" si="155"/>
        <v>1.6870000000000001</v>
      </c>
      <c r="U68" s="211">
        <f t="shared" si="156"/>
        <v>0</v>
      </c>
      <c r="V68" s="211">
        <f t="shared" si="157"/>
        <v>6.8040000000000003</v>
      </c>
      <c r="W68" s="220">
        <f t="shared" si="158"/>
        <v>8.4909999999999997</v>
      </c>
      <c r="X68" s="289">
        <f t="shared" si="159"/>
        <v>0.53446213885566807</v>
      </c>
      <c r="Y68" s="221">
        <v>7.8000000000000007</v>
      </c>
      <c r="Z68" s="221">
        <v>7.8000000000000007</v>
      </c>
      <c r="AA68" s="221">
        <v>7.8000000000000007</v>
      </c>
      <c r="AB68" s="211">
        <f t="shared" si="181"/>
        <v>13.159000000000001</v>
      </c>
      <c r="AC68" s="211">
        <f t="shared" si="182"/>
        <v>57.689</v>
      </c>
      <c r="AD68" s="211">
        <f t="shared" si="183"/>
        <v>53.070999999999998</v>
      </c>
      <c r="AE68" s="295">
        <f t="shared" si="161"/>
        <v>123.919</v>
      </c>
      <c r="AF68" s="277">
        <f t="shared" si="162"/>
        <v>0</v>
      </c>
      <c r="AG68" s="211">
        <f t="shared" si="163"/>
        <v>57.689</v>
      </c>
      <c r="AH68" s="211">
        <f t="shared" si="164"/>
        <v>0</v>
      </c>
      <c r="AI68" s="211">
        <f t="shared" si="165"/>
        <v>57.689</v>
      </c>
      <c r="AJ68" s="289">
        <f t="shared" si="166"/>
        <v>0.46553797238518713</v>
      </c>
      <c r="AK68" s="400">
        <f t="shared" si="167"/>
        <v>13.159000000000001</v>
      </c>
      <c r="AL68" s="400">
        <f t="shared" si="168"/>
        <v>0</v>
      </c>
      <c r="AM68" s="400">
        <f t="shared" si="169"/>
        <v>53.070999999999998</v>
      </c>
      <c r="AN68" s="211">
        <f t="shared" si="170"/>
        <v>66.23</v>
      </c>
      <c r="AO68" s="289">
        <f t="shared" si="171"/>
        <v>0.53446202761481298</v>
      </c>
      <c r="AP68" s="74"/>
      <c r="AR68" s="98" t="s">
        <v>0</v>
      </c>
      <c r="AS68" s="18" t="s">
        <v>11</v>
      </c>
      <c r="AT68" s="245"/>
      <c r="AU68" s="99">
        <f t="shared" si="172"/>
        <v>0</v>
      </c>
      <c r="AV68" s="99">
        <v>0</v>
      </c>
      <c r="AW68" s="99">
        <f t="shared" si="173"/>
        <v>0</v>
      </c>
      <c r="AX68" s="99">
        <v>0</v>
      </c>
      <c r="AY68" s="100">
        <f t="shared" si="174"/>
        <v>0</v>
      </c>
      <c r="BC68" s="1">
        <v>9.7200000000000006</v>
      </c>
      <c r="BP68" s="9" t="s">
        <v>153</v>
      </c>
      <c r="BR68" s="9" t="s">
        <v>149</v>
      </c>
      <c r="BS68" s="9" t="s">
        <v>42</v>
      </c>
      <c r="BW68" s="9" t="s">
        <v>148</v>
      </c>
      <c r="CC68" s="72">
        <f t="shared" si="175"/>
        <v>0</v>
      </c>
      <c r="CD68" s="72">
        <f t="shared" si="176"/>
        <v>13.159000000000001</v>
      </c>
      <c r="CE68" s="72">
        <f t="shared" si="177"/>
        <v>0</v>
      </c>
      <c r="CF68" s="72">
        <f t="shared" si="178"/>
        <v>0</v>
      </c>
      <c r="CG68" s="72">
        <f t="shared" si="179"/>
        <v>0</v>
      </c>
      <c r="CH68" s="9" t="s">
        <v>42</v>
      </c>
      <c r="CI68" s="101">
        <f t="shared" si="180"/>
        <v>13.159000000000001</v>
      </c>
      <c r="CJ68" s="9" t="s">
        <v>153</v>
      </c>
      <c r="CK68" s="9" t="s">
        <v>498</v>
      </c>
    </row>
    <row r="69" spans="2:89" s="1" customFormat="1" ht="44.25" customHeight="1">
      <c r="B69" s="73"/>
      <c r="C69" s="93"/>
      <c r="D69" s="93" t="s">
        <v>149</v>
      </c>
      <c r="E69" s="94" t="s">
        <v>154</v>
      </c>
      <c r="F69" s="498" t="s">
        <v>1381</v>
      </c>
      <c r="G69" s="498"/>
      <c r="H69" s="498"/>
      <c r="I69" s="498"/>
      <c r="J69" s="95" t="s">
        <v>152</v>
      </c>
      <c r="K69" s="211">
        <f>K67</f>
        <v>1.6870000000000001</v>
      </c>
      <c r="L69" s="211">
        <f>L67</f>
        <v>7.3959999999999999</v>
      </c>
      <c r="M69" s="211">
        <f>24.3*0.1*2800/1000</f>
        <v>6.8040000000000003</v>
      </c>
      <c r="N69" s="306">
        <f t="shared" si="152"/>
        <v>15.887</v>
      </c>
      <c r="O69" s="400">
        <v>0</v>
      </c>
      <c r="P69" s="400">
        <v>7.3959999999999999</v>
      </c>
      <c r="Q69" s="400">
        <v>0</v>
      </c>
      <c r="R69" s="220">
        <f t="shared" si="153"/>
        <v>7.3959999999999999</v>
      </c>
      <c r="S69" s="289">
        <f t="shared" si="154"/>
        <v>0.46553786114433182</v>
      </c>
      <c r="T69" s="277">
        <f t="shared" si="155"/>
        <v>1.6870000000000001</v>
      </c>
      <c r="U69" s="211">
        <f t="shared" si="156"/>
        <v>0</v>
      </c>
      <c r="V69" s="211">
        <f t="shared" si="157"/>
        <v>6.8040000000000003</v>
      </c>
      <c r="W69" s="220">
        <f t="shared" si="158"/>
        <v>8.4909999999999997</v>
      </c>
      <c r="X69" s="289">
        <f t="shared" si="159"/>
        <v>0.53446213885566807</v>
      </c>
      <c r="Y69" s="137">
        <v>36.4</v>
      </c>
      <c r="Z69" s="137">
        <v>36.4</v>
      </c>
      <c r="AA69" s="137">
        <v>36.4</v>
      </c>
      <c r="AB69" s="211">
        <f t="shared" si="181"/>
        <v>61.406999999999996</v>
      </c>
      <c r="AC69" s="211">
        <f t="shared" si="182"/>
        <v>269.214</v>
      </c>
      <c r="AD69" s="211">
        <f t="shared" si="183"/>
        <v>247.666</v>
      </c>
      <c r="AE69" s="295">
        <f t="shared" si="161"/>
        <v>578.28700000000003</v>
      </c>
      <c r="AF69" s="277">
        <f t="shared" si="162"/>
        <v>0</v>
      </c>
      <c r="AG69" s="211">
        <f t="shared" si="163"/>
        <v>269.214</v>
      </c>
      <c r="AH69" s="211">
        <f t="shared" si="164"/>
        <v>0</v>
      </c>
      <c r="AI69" s="211">
        <f t="shared" si="165"/>
        <v>269.214</v>
      </c>
      <c r="AJ69" s="289">
        <f t="shared" si="166"/>
        <v>0.46553700844044565</v>
      </c>
      <c r="AK69" s="400">
        <f t="shared" si="167"/>
        <v>61.406999999999996</v>
      </c>
      <c r="AL69" s="400">
        <f t="shared" si="168"/>
        <v>0</v>
      </c>
      <c r="AM69" s="400">
        <f t="shared" si="169"/>
        <v>247.666</v>
      </c>
      <c r="AN69" s="211">
        <f t="shared" si="170"/>
        <v>309.07299999999998</v>
      </c>
      <c r="AO69" s="289">
        <f t="shared" si="171"/>
        <v>0.53446299155955423</v>
      </c>
      <c r="AP69" s="74"/>
      <c r="AR69" s="98" t="s">
        <v>0</v>
      </c>
      <c r="AS69" s="18" t="s">
        <v>11</v>
      </c>
      <c r="AT69" s="245"/>
      <c r="AU69" s="99">
        <f t="shared" si="172"/>
        <v>0</v>
      </c>
      <c r="AV69" s="99">
        <v>0</v>
      </c>
      <c r="AW69" s="99">
        <f t="shared" si="173"/>
        <v>0</v>
      </c>
      <c r="AX69" s="99">
        <v>0</v>
      </c>
      <c r="AY69" s="100">
        <f t="shared" si="174"/>
        <v>0</v>
      </c>
      <c r="BC69" s="1">
        <v>9.7200000000000006</v>
      </c>
      <c r="BP69" s="9" t="s">
        <v>153</v>
      </c>
      <c r="BR69" s="9" t="s">
        <v>149</v>
      </c>
      <c r="BS69" s="9" t="s">
        <v>42</v>
      </c>
      <c r="BW69" s="9" t="s">
        <v>148</v>
      </c>
      <c r="CC69" s="72">
        <f t="shared" si="175"/>
        <v>0</v>
      </c>
      <c r="CD69" s="72">
        <f t="shared" si="176"/>
        <v>61.406999999999996</v>
      </c>
      <c r="CE69" s="72">
        <f t="shared" si="177"/>
        <v>0</v>
      </c>
      <c r="CF69" s="72">
        <f t="shared" si="178"/>
        <v>0</v>
      </c>
      <c r="CG69" s="72">
        <f t="shared" si="179"/>
        <v>0</v>
      </c>
      <c r="CH69" s="9" t="s">
        <v>42</v>
      </c>
      <c r="CI69" s="101">
        <f t="shared" si="180"/>
        <v>61.406999999999996</v>
      </c>
      <c r="CJ69" s="9" t="s">
        <v>153</v>
      </c>
      <c r="CK69" s="9" t="s">
        <v>498</v>
      </c>
    </row>
    <row r="70" spans="2:89" s="1" customFormat="1" ht="44.25" customHeight="1">
      <c r="B70" s="73"/>
      <c r="C70" s="93"/>
      <c r="D70" s="93" t="s">
        <v>149</v>
      </c>
      <c r="E70" s="94" t="s">
        <v>157</v>
      </c>
      <c r="F70" s="498" t="s">
        <v>1382</v>
      </c>
      <c r="G70" s="498"/>
      <c r="H70" s="498"/>
      <c r="I70" s="498"/>
      <c r="J70" s="95" t="s">
        <v>152</v>
      </c>
      <c r="K70" s="211">
        <f>K69*10</f>
        <v>16.87</v>
      </c>
      <c r="L70" s="211">
        <f>L69*10</f>
        <v>73.959999999999994</v>
      </c>
      <c r="M70" s="211">
        <f>24.3*0.1*2800/1000*10</f>
        <v>68.040000000000006</v>
      </c>
      <c r="N70" s="306">
        <f t="shared" si="152"/>
        <v>158.87</v>
      </c>
      <c r="O70" s="400">
        <v>0</v>
      </c>
      <c r="P70" s="400">
        <v>73.959999999999994</v>
      </c>
      <c r="Q70" s="400">
        <v>0</v>
      </c>
      <c r="R70" s="220">
        <f t="shared" si="153"/>
        <v>73.959999999999994</v>
      </c>
      <c r="S70" s="289">
        <f t="shared" si="154"/>
        <v>0.46553786114433177</v>
      </c>
      <c r="T70" s="277">
        <f t="shared" si="155"/>
        <v>16.87</v>
      </c>
      <c r="U70" s="211">
        <f t="shared" si="156"/>
        <v>0</v>
      </c>
      <c r="V70" s="211">
        <f t="shared" si="157"/>
        <v>68.040000000000006</v>
      </c>
      <c r="W70" s="220">
        <f t="shared" si="158"/>
        <v>84.910000000000011</v>
      </c>
      <c r="X70" s="289">
        <f t="shared" si="159"/>
        <v>0.53446213885566818</v>
      </c>
      <c r="Y70" s="137">
        <v>0.45</v>
      </c>
      <c r="Z70" s="137">
        <v>0.45</v>
      </c>
      <c r="AA70" s="137">
        <v>0.45</v>
      </c>
      <c r="AB70" s="211">
        <f t="shared" si="181"/>
        <v>7.5919999999999996</v>
      </c>
      <c r="AC70" s="211">
        <f t="shared" si="182"/>
        <v>33.281999999999996</v>
      </c>
      <c r="AD70" s="211">
        <f t="shared" si="183"/>
        <v>30.617999999999999</v>
      </c>
      <c r="AE70" s="295">
        <f t="shared" si="161"/>
        <v>71.49199999999999</v>
      </c>
      <c r="AF70" s="277">
        <f t="shared" si="162"/>
        <v>0</v>
      </c>
      <c r="AG70" s="211">
        <f t="shared" si="163"/>
        <v>33.281999999999996</v>
      </c>
      <c r="AH70" s="211">
        <f t="shared" si="164"/>
        <v>0</v>
      </c>
      <c r="AI70" s="211">
        <f t="shared" si="165"/>
        <v>33.281999999999996</v>
      </c>
      <c r="AJ70" s="289">
        <f t="shared" si="166"/>
        <v>0.46553460527051982</v>
      </c>
      <c r="AK70" s="400">
        <f t="shared" si="167"/>
        <v>7.5919999999999996</v>
      </c>
      <c r="AL70" s="400">
        <f t="shared" si="168"/>
        <v>0</v>
      </c>
      <c r="AM70" s="400">
        <f t="shared" si="169"/>
        <v>30.617999999999999</v>
      </c>
      <c r="AN70" s="211">
        <f t="shared" si="170"/>
        <v>38.21</v>
      </c>
      <c r="AO70" s="289">
        <f t="shared" si="171"/>
        <v>0.53446539472948029</v>
      </c>
      <c r="AP70" s="74"/>
      <c r="AR70" s="98" t="s">
        <v>0</v>
      </c>
      <c r="AS70" s="18" t="s">
        <v>11</v>
      </c>
      <c r="AT70" s="245"/>
      <c r="AU70" s="99">
        <f t="shared" si="172"/>
        <v>0</v>
      </c>
      <c r="AV70" s="99">
        <v>0</v>
      </c>
      <c r="AW70" s="99">
        <f t="shared" si="173"/>
        <v>0</v>
      </c>
      <c r="AX70" s="99">
        <v>0</v>
      </c>
      <c r="AY70" s="100">
        <f t="shared" si="174"/>
        <v>0</v>
      </c>
      <c r="BC70" s="1">
        <v>9.7200000000000006</v>
      </c>
      <c r="BP70" s="9" t="s">
        <v>153</v>
      </c>
      <c r="BR70" s="9" t="s">
        <v>149</v>
      </c>
      <c r="BS70" s="9" t="s">
        <v>42</v>
      </c>
      <c r="BW70" s="9" t="s">
        <v>148</v>
      </c>
      <c r="CC70" s="72">
        <f t="shared" si="175"/>
        <v>0</v>
      </c>
      <c r="CD70" s="72">
        <f t="shared" si="176"/>
        <v>7.5919999999999996</v>
      </c>
      <c r="CE70" s="72">
        <f t="shared" si="177"/>
        <v>0</v>
      </c>
      <c r="CF70" s="72">
        <f t="shared" si="178"/>
        <v>0</v>
      </c>
      <c r="CG70" s="72">
        <f t="shared" si="179"/>
        <v>0</v>
      </c>
      <c r="CH70" s="9" t="s">
        <v>42</v>
      </c>
      <c r="CI70" s="101">
        <f t="shared" si="180"/>
        <v>7.5919999999999996</v>
      </c>
      <c r="CJ70" s="9" t="s">
        <v>153</v>
      </c>
      <c r="CK70" s="9" t="s">
        <v>498</v>
      </c>
    </row>
    <row r="71" spans="2:89" s="1" customFormat="1" ht="44.25" customHeight="1">
      <c r="B71" s="73"/>
      <c r="C71" s="93"/>
      <c r="D71" s="93" t="s">
        <v>149</v>
      </c>
      <c r="E71" s="94" t="s">
        <v>1384</v>
      </c>
      <c r="F71" s="498" t="s">
        <v>1383</v>
      </c>
      <c r="G71" s="498"/>
      <c r="H71" s="498"/>
      <c r="I71" s="498"/>
      <c r="J71" s="95" t="s">
        <v>152</v>
      </c>
      <c r="K71" s="211">
        <f>K67</f>
        <v>1.6870000000000001</v>
      </c>
      <c r="L71" s="211">
        <f>L67</f>
        <v>7.3959999999999999</v>
      </c>
      <c r="M71" s="211">
        <f>24.3*0.1*2800/1000</f>
        <v>6.8040000000000003</v>
      </c>
      <c r="N71" s="306">
        <f t="shared" si="152"/>
        <v>15.887</v>
      </c>
      <c r="O71" s="400">
        <v>0</v>
      </c>
      <c r="P71" s="400">
        <v>7.3959999999999999</v>
      </c>
      <c r="Q71" s="400">
        <v>0</v>
      </c>
      <c r="R71" s="220">
        <f t="shared" si="153"/>
        <v>7.3959999999999999</v>
      </c>
      <c r="S71" s="289">
        <f t="shared" si="154"/>
        <v>0.46553786114433182</v>
      </c>
      <c r="T71" s="277">
        <f t="shared" si="155"/>
        <v>1.6870000000000001</v>
      </c>
      <c r="U71" s="211">
        <f t="shared" si="156"/>
        <v>0</v>
      </c>
      <c r="V71" s="211">
        <f t="shared" si="157"/>
        <v>6.8040000000000003</v>
      </c>
      <c r="W71" s="220">
        <f t="shared" si="158"/>
        <v>8.4909999999999997</v>
      </c>
      <c r="X71" s="289">
        <f t="shared" si="159"/>
        <v>0.53446213885566807</v>
      </c>
      <c r="Y71" s="221">
        <v>28.236000000000001</v>
      </c>
      <c r="Z71" s="221">
        <v>28.236000000000001</v>
      </c>
      <c r="AA71" s="221">
        <v>28.236000000000001</v>
      </c>
      <c r="AB71" s="211">
        <f t="shared" si="181"/>
        <v>47.634</v>
      </c>
      <c r="AC71" s="211">
        <f t="shared" si="182"/>
        <v>208.833</v>
      </c>
      <c r="AD71" s="211">
        <f t="shared" si="183"/>
        <v>192.11799999999999</v>
      </c>
      <c r="AE71" s="295">
        <f t="shared" si="161"/>
        <v>448.58499999999998</v>
      </c>
      <c r="AF71" s="277">
        <f t="shared" si="162"/>
        <v>0</v>
      </c>
      <c r="AG71" s="211">
        <f t="shared" si="163"/>
        <v>208.833</v>
      </c>
      <c r="AH71" s="211">
        <f t="shared" si="164"/>
        <v>0</v>
      </c>
      <c r="AI71" s="211">
        <f t="shared" si="165"/>
        <v>208.833</v>
      </c>
      <c r="AJ71" s="289">
        <f t="shared" si="166"/>
        <v>0.46553718916147441</v>
      </c>
      <c r="AK71" s="400">
        <f t="shared" si="167"/>
        <v>47.634</v>
      </c>
      <c r="AL71" s="400">
        <f t="shared" si="168"/>
        <v>0</v>
      </c>
      <c r="AM71" s="400">
        <f t="shared" si="169"/>
        <v>192.11799999999999</v>
      </c>
      <c r="AN71" s="211">
        <f t="shared" si="170"/>
        <v>239.75200000000001</v>
      </c>
      <c r="AO71" s="289">
        <f t="shared" si="171"/>
        <v>0.53446281083852565</v>
      </c>
      <c r="AP71" s="74"/>
      <c r="AR71" s="98" t="s">
        <v>0</v>
      </c>
      <c r="AS71" s="18" t="s">
        <v>11</v>
      </c>
      <c r="AT71" s="245"/>
      <c r="AU71" s="99">
        <f t="shared" si="172"/>
        <v>0</v>
      </c>
      <c r="AV71" s="99">
        <v>0</v>
      </c>
      <c r="AW71" s="99">
        <f t="shared" si="173"/>
        <v>0</v>
      </c>
      <c r="AX71" s="99">
        <v>0</v>
      </c>
      <c r="AY71" s="100">
        <f t="shared" si="174"/>
        <v>0</v>
      </c>
      <c r="BC71" s="1">
        <v>9.7200000000000006</v>
      </c>
      <c r="BP71" s="9" t="s">
        <v>153</v>
      </c>
      <c r="BR71" s="9" t="s">
        <v>149</v>
      </c>
      <c r="BS71" s="9" t="s">
        <v>42</v>
      </c>
      <c r="BW71" s="9" t="s">
        <v>148</v>
      </c>
      <c r="CC71" s="72">
        <f t="shared" si="175"/>
        <v>0</v>
      </c>
      <c r="CD71" s="72">
        <f t="shared" si="176"/>
        <v>47.634</v>
      </c>
      <c r="CE71" s="72">
        <f t="shared" si="177"/>
        <v>0</v>
      </c>
      <c r="CF71" s="72">
        <f t="shared" si="178"/>
        <v>0</v>
      </c>
      <c r="CG71" s="72">
        <f t="shared" si="179"/>
        <v>0</v>
      </c>
      <c r="CH71" s="9" t="s">
        <v>42</v>
      </c>
      <c r="CI71" s="101">
        <f t="shared" si="180"/>
        <v>47.634</v>
      </c>
      <c r="CJ71" s="9" t="s">
        <v>153</v>
      </c>
      <c r="CK71" s="9" t="s">
        <v>498</v>
      </c>
    </row>
    <row r="72" spans="2:89" s="1" customFormat="1" ht="44.25" customHeight="1">
      <c r="B72" s="73"/>
      <c r="C72" s="93"/>
      <c r="D72" s="93" t="s">
        <v>149</v>
      </c>
      <c r="E72" s="94" t="s">
        <v>160</v>
      </c>
      <c r="F72" s="500" t="s">
        <v>161</v>
      </c>
      <c r="G72" s="501"/>
      <c r="H72" s="501"/>
      <c r="I72" s="502"/>
      <c r="J72" s="95" t="s">
        <v>152</v>
      </c>
      <c r="K72" s="211">
        <f>K67</f>
        <v>1.6870000000000001</v>
      </c>
      <c r="L72" s="211">
        <f>L67</f>
        <v>7.3959999999999999</v>
      </c>
      <c r="M72" s="211">
        <f>24.3*0.1*2800/1000</f>
        <v>6.8040000000000003</v>
      </c>
      <c r="N72" s="306">
        <f t="shared" si="152"/>
        <v>15.887</v>
      </c>
      <c r="O72" s="400">
        <v>0</v>
      </c>
      <c r="P72" s="400">
        <v>7.3959999999999999</v>
      </c>
      <c r="Q72" s="400">
        <v>0</v>
      </c>
      <c r="R72" s="220">
        <f t="shared" si="153"/>
        <v>7.3959999999999999</v>
      </c>
      <c r="S72" s="289">
        <f t="shared" si="154"/>
        <v>0.46553786114433182</v>
      </c>
      <c r="T72" s="277">
        <f t="shared" si="155"/>
        <v>1.6870000000000001</v>
      </c>
      <c r="U72" s="211">
        <f t="shared" si="156"/>
        <v>0</v>
      </c>
      <c r="V72" s="211">
        <f t="shared" si="157"/>
        <v>6.8040000000000003</v>
      </c>
      <c r="W72" s="220">
        <f t="shared" si="158"/>
        <v>8.4909999999999997</v>
      </c>
      <c r="X72" s="289">
        <f t="shared" si="159"/>
        <v>0.53446213885566807</v>
      </c>
      <c r="Y72" s="137">
        <v>45.43</v>
      </c>
      <c r="Z72" s="137">
        <v>45.43</v>
      </c>
      <c r="AA72" s="137">
        <v>45.43</v>
      </c>
      <c r="AB72" s="211">
        <f t="shared" si="181"/>
        <v>76.64</v>
      </c>
      <c r="AC72" s="211">
        <f t="shared" si="182"/>
        <v>336</v>
      </c>
      <c r="AD72" s="211">
        <f t="shared" si="183"/>
        <v>309.10599999999999</v>
      </c>
      <c r="AE72" s="295">
        <f t="shared" si="161"/>
        <v>721.74599999999998</v>
      </c>
      <c r="AF72" s="277">
        <f t="shared" si="162"/>
        <v>0</v>
      </c>
      <c r="AG72" s="211">
        <f t="shared" si="163"/>
        <v>336</v>
      </c>
      <c r="AH72" s="211">
        <f t="shared" si="164"/>
        <v>0</v>
      </c>
      <c r="AI72" s="211">
        <f t="shared" si="165"/>
        <v>336</v>
      </c>
      <c r="AJ72" s="289">
        <f t="shared" si="166"/>
        <v>0.4655377376528585</v>
      </c>
      <c r="AK72" s="400">
        <f t="shared" si="167"/>
        <v>76.64</v>
      </c>
      <c r="AL72" s="400">
        <f t="shared" si="168"/>
        <v>0</v>
      </c>
      <c r="AM72" s="400">
        <f t="shared" si="169"/>
        <v>309.10599999999999</v>
      </c>
      <c r="AN72" s="211">
        <f t="shared" si="170"/>
        <v>385.74599999999998</v>
      </c>
      <c r="AO72" s="289">
        <f t="shared" si="171"/>
        <v>0.53446226234714145</v>
      </c>
      <c r="AP72" s="74"/>
      <c r="AR72" s="98" t="s">
        <v>0</v>
      </c>
      <c r="AS72" s="18" t="s">
        <v>11</v>
      </c>
      <c r="AT72" s="245"/>
      <c r="AU72" s="99">
        <f t="shared" si="172"/>
        <v>0</v>
      </c>
      <c r="AV72" s="99">
        <v>0</v>
      </c>
      <c r="AW72" s="99">
        <f t="shared" si="173"/>
        <v>0</v>
      </c>
      <c r="AX72" s="99">
        <v>0</v>
      </c>
      <c r="AY72" s="100">
        <f t="shared" si="174"/>
        <v>0</v>
      </c>
      <c r="BC72" s="1">
        <v>9.7200000000000006</v>
      </c>
      <c r="BP72" s="9" t="s">
        <v>153</v>
      </c>
      <c r="BR72" s="9" t="s">
        <v>149</v>
      </c>
      <c r="BS72" s="9" t="s">
        <v>42</v>
      </c>
      <c r="BW72" s="9" t="s">
        <v>148</v>
      </c>
      <c r="CC72" s="72">
        <f t="shared" si="175"/>
        <v>0</v>
      </c>
      <c r="CD72" s="72">
        <f t="shared" si="176"/>
        <v>76.64</v>
      </c>
      <c r="CE72" s="72">
        <f t="shared" si="177"/>
        <v>0</v>
      </c>
      <c r="CF72" s="72">
        <f t="shared" si="178"/>
        <v>0</v>
      </c>
      <c r="CG72" s="72">
        <f t="shared" si="179"/>
        <v>0</v>
      </c>
      <c r="CH72" s="9" t="s">
        <v>42</v>
      </c>
      <c r="CI72" s="101">
        <f t="shared" si="180"/>
        <v>76.64</v>
      </c>
      <c r="CJ72" s="9" t="s">
        <v>153</v>
      </c>
      <c r="CK72" s="9" t="s">
        <v>498</v>
      </c>
    </row>
    <row r="73" spans="2:89" s="7" customFormat="1" ht="29.25" customHeight="1">
      <c r="B73" s="82"/>
      <c r="C73" s="83"/>
      <c r="D73" s="92" t="s">
        <v>246</v>
      </c>
      <c r="E73" s="92"/>
      <c r="F73" s="92"/>
      <c r="G73" s="92"/>
      <c r="H73" s="92"/>
      <c r="I73" s="92"/>
      <c r="J73" s="92"/>
      <c r="K73" s="219"/>
      <c r="L73" s="219"/>
      <c r="M73" s="219"/>
      <c r="N73" s="222"/>
      <c r="O73" s="219"/>
      <c r="P73" s="219"/>
      <c r="Q73" s="219"/>
      <c r="R73" s="222"/>
      <c r="S73" s="222"/>
      <c r="T73" s="219"/>
      <c r="U73" s="219"/>
      <c r="V73" s="219"/>
      <c r="W73" s="222"/>
      <c r="X73" s="222"/>
      <c r="Y73" s="219"/>
      <c r="Z73" s="219"/>
      <c r="AA73" s="219"/>
      <c r="AB73" s="261">
        <f>SUM(AB74:AB92)</f>
        <v>1175.4840000000002</v>
      </c>
      <c r="AC73" s="261">
        <f t="shared" ref="AC73:AE73" si="184">SUM(AC74:AC92)</f>
        <v>1175.4840000000002</v>
      </c>
      <c r="AD73" s="261">
        <f t="shared" si="184"/>
        <v>-292.06300000000005</v>
      </c>
      <c r="AE73" s="455">
        <f t="shared" si="184"/>
        <v>2058.9049999999997</v>
      </c>
      <c r="AF73" s="261">
        <f t="shared" ref="AF73:AI73" si="185">SUM(AF74:AF92)</f>
        <v>0</v>
      </c>
      <c r="AG73" s="261">
        <f t="shared" si="185"/>
        <v>0</v>
      </c>
      <c r="AH73" s="261">
        <f t="shared" si="185"/>
        <v>0</v>
      </c>
      <c r="AI73" s="261">
        <f t="shared" si="185"/>
        <v>0</v>
      </c>
      <c r="AJ73" s="453"/>
      <c r="AK73" s="261">
        <f t="shared" ref="AK73:AN73" si="186">SUM(AK74:AK92)</f>
        <v>1175.4840000000002</v>
      </c>
      <c r="AL73" s="261">
        <f t="shared" si="186"/>
        <v>1175.4840000000002</v>
      </c>
      <c r="AM73" s="261">
        <f t="shared" si="186"/>
        <v>-292.06300000000005</v>
      </c>
      <c r="AN73" s="261">
        <f t="shared" si="186"/>
        <v>2058.9049999999997</v>
      </c>
      <c r="AO73" s="453"/>
      <c r="AP73" s="85"/>
      <c r="AR73" s="86"/>
      <c r="AS73" s="83"/>
      <c r="AT73" s="83"/>
      <c r="AU73" s="87">
        <f>SUM(AU74:AU81)</f>
        <v>0</v>
      </c>
      <c r="AV73" s="83"/>
      <c r="AW73" s="87">
        <f>SUM(AW74:AW81)</f>
        <v>0</v>
      </c>
      <c r="AX73" s="83"/>
      <c r="AY73" s="88">
        <f>SUM(AY74:AY81)</f>
        <v>0</v>
      </c>
      <c r="BP73" s="89" t="s">
        <v>42</v>
      </c>
      <c r="BR73" s="90" t="s">
        <v>30</v>
      </c>
      <c r="BS73" s="90" t="s">
        <v>38</v>
      </c>
      <c r="BW73" s="89" t="s">
        <v>148</v>
      </c>
      <c r="CI73" s="91">
        <f>SUM(CI74:CI81)</f>
        <v>0</v>
      </c>
    </row>
    <row r="74" spans="2:89" s="1" customFormat="1" ht="31.5" customHeight="1">
      <c r="B74" s="73"/>
      <c r="C74" s="93"/>
      <c r="D74" s="93" t="s">
        <v>149</v>
      </c>
      <c r="E74" s="94" t="s">
        <v>443</v>
      </c>
      <c r="F74" s="498" t="s">
        <v>444</v>
      </c>
      <c r="G74" s="498"/>
      <c r="H74" s="498"/>
      <c r="I74" s="498"/>
      <c r="J74" s="95" t="s">
        <v>168</v>
      </c>
      <c r="K74" s="211">
        <v>0</v>
      </c>
      <c r="L74" s="211">
        <v>0</v>
      </c>
      <c r="M74" s="211">
        <v>-24.3</v>
      </c>
      <c r="N74" s="306">
        <f t="shared" ref="N74:N91" si="187">SUM(K74:M74)</f>
        <v>-24.3</v>
      </c>
      <c r="O74" s="277">
        <v>0</v>
      </c>
      <c r="P74" s="211">
        <v>0</v>
      </c>
      <c r="Q74" s="211">
        <v>0</v>
      </c>
      <c r="R74" s="220">
        <f t="shared" ref="R74:R91" si="188">SUM(O74:Q74)</f>
        <v>0</v>
      </c>
      <c r="S74" s="289">
        <f t="shared" ref="S74:S92" si="189">R74/N74</f>
        <v>0</v>
      </c>
      <c r="T74" s="277">
        <f t="shared" ref="T74:T92" si="190">K74-O74</f>
        <v>0</v>
      </c>
      <c r="U74" s="211">
        <f t="shared" ref="U74:U92" si="191">L74-P74</f>
        <v>0</v>
      </c>
      <c r="V74" s="211">
        <f t="shared" ref="V74:V92" si="192">M74-Q74</f>
        <v>-24.3</v>
      </c>
      <c r="W74" s="220">
        <f t="shared" ref="W74:W91" si="193">SUM(T74:V74)</f>
        <v>-24.3</v>
      </c>
      <c r="X74" s="289">
        <f t="shared" ref="X74:X92" si="194">W74/N74</f>
        <v>1</v>
      </c>
      <c r="Y74" s="221">
        <v>7.99</v>
      </c>
      <c r="Z74" s="221">
        <v>7.99</v>
      </c>
      <c r="AA74" s="221">
        <v>7.99</v>
      </c>
      <c r="AB74" s="211">
        <f t="shared" ref="AB74:AB92" si="195">ROUND(Y74*K74,3)</f>
        <v>0</v>
      </c>
      <c r="AC74" s="211">
        <f t="shared" ref="AC74:AC92" si="196">ROUND(Z74*L74,3)</f>
        <v>0</v>
      </c>
      <c r="AD74" s="211">
        <f t="shared" ref="AD74:AD92" si="197">ROUND(AA74*M74,3)</f>
        <v>-194.15700000000001</v>
      </c>
      <c r="AE74" s="295">
        <f t="shared" ref="AE74:AE92" si="198">AB74+AC74+AD74</f>
        <v>-194.15700000000001</v>
      </c>
      <c r="AF74" s="277">
        <f t="shared" ref="AF74:AF92" si="199">ROUND(Y74*O74,3)</f>
        <v>0</v>
      </c>
      <c r="AG74" s="211">
        <f t="shared" ref="AG74:AG92" si="200">ROUND(Z74*P74,3)</f>
        <v>0</v>
      </c>
      <c r="AH74" s="211">
        <f>ROUND(AA74*Q74,3)</f>
        <v>0</v>
      </c>
      <c r="AI74" s="211">
        <f t="shared" ref="AI74:AI92" si="201">AF74+AG74+AH74</f>
        <v>0</v>
      </c>
      <c r="AJ74" s="289">
        <f t="shared" ref="AJ74:AJ92" si="202">AI74/AE74</f>
        <v>0</v>
      </c>
      <c r="AK74" s="277">
        <f t="shared" ref="AK74:AK92" si="203">AB74-AF74</f>
        <v>0</v>
      </c>
      <c r="AL74" s="211">
        <f t="shared" ref="AL74:AL92" si="204">AC74-AG74</f>
        <v>0</v>
      </c>
      <c r="AM74" s="211">
        <f t="shared" ref="AM74:AM92" si="205">AD74-AH74</f>
        <v>-194.15700000000001</v>
      </c>
      <c r="AN74" s="211">
        <f t="shared" ref="AN74:AN92" si="206">AK74+AL74+AM74</f>
        <v>-194.15700000000001</v>
      </c>
      <c r="AO74" s="289">
        <f t="shared" ref="AO74:AO92" si="207">AN74/AE74</f>
        <v>1</v>
      </c>
      <c r="AP74" s="74"/>
      <c r="AR74" s="98" t="s">
        <v>0</v>
      </c>
      <c r="AS74" s="18" t="s">
        <v>11</v>
      </c>
      <c r="AT74" s="245"/>
      <c r="AU74" s="99">
        <f t="shared" ref="AU74:AU92" si="208">AT74*K74</f>
        <v>0</v>
      </c>
      <c r="AV74" s="99">
        <v>0</v>
      </c>
      <c r="AW74" s="99">
        <f t="shared" ref="AW74:AW92" si="209">AV74*K74</f>
        <v>0</v>
      </c>
      <c r="AX74" s="99">
        <v>0</v>
      </c>
      <c r="AY74" s="100">
        <f t="shared" ref="AY74:AY92" si="210">AX74*K74</f>
        <v>0</v>
      </c>
      <c r="BC74" s="1">
        <v>7.68</v>
      </c>
      <c r="BP74" s="9" t="s">
        <v>169</v>
      </c>
      <c r="BR74" s="9" t="s">
        <v>149</v>
      </c>
      <c r="BS74" s="9" t="s">
        <v>42</v>
      </c>
      <c r="BW74" s="9" t="s">
        <v>148</v>
      </c>
      <c r="CC74" s="72">
        <f t="shared" ref="CC74:CC92" si="211">IF(AS74="základná",AB74,0)</f>
        <v>0</v>
      </c>
      <c r="CD74" s="72">
        <f t="shared" ref="CD74:CD92" si="212">IF(AS74="znížená",AB74,0)</f>
        <v>0</v>
      </c>
      <c r="CE74" s="72">
        <f t="shared" ref="CE74:CE92" si="213">IF(AS74="zákl. prenesená",AB74,0)</f>
        <v>0</v>
      </c>
      <c r="CF74" s="72">
        <f t="shared" ref="CF74:CF92" si="214">IF(AS74="zníž. prenesená",AB74,0)</f>
        <v>0</v>
      </c>
      <c r="CG74" s="72">
        <f t="shared" ref="CG74:CG92" si="215">IF(AS74="nulová",AB74,0)</f>
        <v>0</v>
      </c>
      <c r="CH74" s="9" t="s">
        <v>42</v>
      </c>
      <c r="CI74" s="101">
        <f t="shared" ref="CI74:CI92" si="216">ROUND(Y74*K74,3)</f>
        <v>0</v>
      </c>
      <c r="CJ74" s="9" t="s">
        <v>169</v>
      </c>
      <c r="CK74" s="9" t="s">
        <v>500</v>
      </c>
    </row>
    <row r="75" spans="2:89" s="1" customFormat="1" ht="44.25" customHeight="1">
      <c r="B75" s="73"/>
      <c r="C75" s="102"/>
      <c r="D75" s="102" t="s">
        <v>171</v>
      </c>
      <c r="E75" s="103" t="s">
        <v>445</v>
      </c>
      <c r="F75" s="499" t="s">
        <v>446</v>
      </c>
      <c r="G75" s="499"/>
      <c r="H75" s="499"/>
      <c r="I75" s="499"/>
      <c r="J75" s="104" t="s">
        <v>168</v>
      </c>
      <c r="K75" s="223">
        <v>0</v>
      </c>
      <c r="L75" s="223">
        <v>0</v>
      </c>
      <c r="M75" s="223">
        <f>M74*1.0689</f>
        <v>-25.974270000000001</v>
      </c>
      <c r="N75" s="428">
        <f t="shared" si="187"/>
        <v>-25.974270000000001</v>
      </c>
      <c r="O75" s="278">
        <v>0</v>
      </c>
      <c r="P75" s="223">
        <v>0</v>
      </c>
      <c r="Q75" s="223">
        <v>0</v>
      </c>
      <c r="R75" s="257">
        <f t="shared" si="188"/>
        <v>0</v>
      </c>
      <c r="S75" s="289">
        <f t="shared" si="189"/>
        <v>0</v>
      </c>
      <c r="T75" s="278">
        <f t="shared" si="190"/>
        <v>0</v>
      </c>
      <c r="U75" s="223">
        <f t="shared" si="191"/>
        <v>0</v>
      </c>
      <c r="V75" s="223">
        <f t="shared" si="192"/>
        <v>-25.974270000000001</v>
      </c>
      <c r="W75" s="257">
        <f t="shared" si="193"/>
        <v>-25.974270000000001</v>
      </c>
      <c r="X75" s="289">
        <f t="shared" si="194"/>
        <v>1</v>
      </c>
      <c r="Y75" s="224">
        <v>17.07</v>
      </c>
      <c r="Z75" s="224">
        <v>17.07</v>
      </c>
      <c r="AA75" s="224">
        <v>17.07</v>
      </c>
      <c r="AB75" s="223">
        <f t="shared" si="195"/>
        <v>0</v>
      </c>
      <c r="AC75" s="223">
        <f t="shared" si="196"/>
        <v>0</v>
      </c>
      <c r="AD75" s="223">
        <f t="shared" si="197"/>
        <v>-443.38099999999997</v>
      </c>
      <c r="AE75" s="297">
        <f t="shared" si="198"/>
        <v>-443.38099999999997</v>
      </c>
      <c r="AF75" s="278">
        <f t="shared" si="199"/>
        <v>0</v>
      </c>
      <c r="AG75" s="223">
        <f t="shared" si="200"/>
        <v>0</v>
      </c>
      <c r="AH75" s="223">
        <f t="shared" ref="AH75:AH92" si="217">ROUND(AA75*Q75,3)</f>
        <v>0</v>
      </c>
      <c r="AI75" s="223">
        <f t="shared" si="201"/>
        <v>0</v>
      </c>
      <c r="AJ75" s="289">
        <f t="shared" si="202"/>
        <v>0</v>
      </c>
      <c r="AK75" s="278">
        <f t="shared" si="203"/>
        <v>0</v>
      </c>
      <c r="AL75" s="223">
        <f t="shared" si="204"/>
        <v>0</v>
      </c>
      <c r="AM75" s="223">
        <f t="shared" si="205"/>
        <v>-443.38099999999997</v>
      </c>
      <c r="AN75" s="223">
        <f t="shared" si="206"/>
        <v>-443.38099999999997</v>
      </c>
      <c r="AO75" s="289">
        <f t="shared" si="207"/>
        <v>1</v>
      </c>
      <c r="AP75" s="74"/>
      <c r="AQ75" s="1" t="s">
        <v>954</v>
      </c>
      <c r="AR75" s="98" t="s">
        <v>0</v>
      </c>
      <c r="AS75" s="18" t="s">
        <v>11</v>
      </c>
      <c r="AT75" s="245"/>
      <c r="AU75" s="99">
        <f t="shared" si="208"/>
        <v>0</v>
      </c>
      <c r="AV75" s="99">
        <v>0</v>
      </c>
      <c r="AW75" s="99">
        <f t="shared" si="209"/>
        <v>0</v>
      </c>
      <c r="AX75" s="99">
        <v>0</v>
      </c>
      <c r="AY75" s="100">
        <f t="shared" si="210"/>
        <v>0</v>
      </c>
      <c r="BA75" s="113" t="s">
        <v>987</v>
      </c>
      <c r="BC75" s="1">
        <v>16.41</v>
      </c>
      <c r="BP75" s="9" t="s">
        <v>174</v>
      </c>
      <c r="BR75" s="9" t="s">
        <v>171</v>
      </c>
      <c r="BS75" s="9" t="s">
        <v>42</v>
      </c>
      <c r="BW75" s="9" t="s">
        <v>148</v>
      </c>
      <c r="CC75" s="72">
        <f t="shared" si="211"/>
        <v>0</v>
      </c>
      <c r="CD75" s="72">
        <f t="shared" si="212"/>
        <v>0</v>
      </c>
      <c r="CE75" s="72">
        <f t="shared" si="213"/>
        <v>0</v>
      </c>
      <c r="CF75" s="72">
        <f t="shared" si="214"/>
        <v>0</v>
      </c>
      <c r="CG75" s="72">
        <f t="shared" si="215"/>
        <v>0</v>
      </c>
      <c r="CH75" s="9" t="s">
        <v>42</v>
      </c>
      <c r="CI75" s="101">
        <f t="shared" si="216"/>
        <v>0</v>
      </c>
      <c r="CJ75" s="9" t="s">
        <v>169</v>
      </c>
      <c r="CK75" s="9" t="s">
        <v>501</v>
      </c>
    </row>
    <row r="76" spans="2:89" s="1" customFormat="1" ht="31.5" customHeight="1">
      <c r="B76" s="73"/>
      <c r="C76" s="93"/>
      <c r="D76" s="93" t="s">
        <v>149</v>
      </c>
      <c r="E76" s="94" t="s">
        <v>447</v>
      </c>
      <c r="F76" s="498" t="s">
        <v>448</v>
      </c>
      <c r="G76" s="498"/>
      <c r="H76" s="498"/>
      <c r="I76" s="498"/>
      <c r="J76" s="95" t="s">
        <v>168</v>
      </c>
      <c r="K76" s="211">
        <v>0</v>
      </c>
      <c r="L76" s="211">
        <v>0</v>
      </c>
      <c r="M76" s="211">
        <v>-25.974</v>
      </c>
      <c r="N76" s="306">
        <f t="shared" si="187"/>
        <v>-25.974</v>
      </c>
      <c r="O76" s="277">
        <v>0</v>
      </c>
      <c r="P76" s="211">
        <v>0</v>
      </c>
      <c r="Q76" s="211">
        <v>0</v>
      </c>
      <c r="R76" s="220">
        <f t="shared" si="188"/>
        <v>0</v>
      </c>
      <c r="S76" s="289">
        <f t="shared" si="189"/>
        <v>0</v>
      </c>
      <c r="T76" s="277">
        <f t="shared" si="190"/>
        <v>0</v>
      </c>
      <c r="U76" s="211">
        <f t="shared" si="191"/>
        <v>0</v>
      </c>
      <c r="V76" s="211">
        <f t="shared" si="192"/>
        <v>-25.974</v>
      </c>
      <c r="W76" s="220">
        <f t="shared" si="193"/>
        <v>-25.974</v>
      </c>
      <c r="X76" s="289">
        <f t="shared" si="194"/>
        <v>1</v>
      </c>
      <c r="Y76" s="221">
        <v>3.4</v>
      </c>
      <c r="Z76" s="221">
        <v>3.4</v>
      </c>
      <c r="AA76" s="221">
        <v>3.4</v>
      </c>
      <c r="AB76" s="211">
        <f t="shared" si="195"/>
        <v>0</v>
      </c>
      <c r="AC76" s="211">
        <f t="shared" si="196"/>
        <v>0</v>
      </c>
      <c r="AD76" s="211">
        <f t="shared" si="197"/>
        <v>-88.311999999999998</v>
      </c>
      <c r="AE76" s="295">
        <f t="shared" si="198"/>
        <v>-88.311999999999998</v>
      </c>
      <c r="AF76" s="277">
        <f t="shared" si="199"/>
        <v>0</v>
      </c>
      <c r="AG76" s="211">
        <f t="shared" si="200"/>
        <v>0</v>
      </c>
      <c r="AH76" s="211">
        <f t="shared" si="217"/>
        <v>0</v>
      </c>
      <c r="AI76" s="211">
        <f t="shared" si="201"/>
        <v>0</v>
      </c>
      <c r="AJ76" s="289">
        <f t="shared" si="202"/>
        <v>0</v>
      </c>
      <c r="AK76" s="277">
        <f t="shared" si="203"/>
        <v>0</v>
      </c>
      <c r="AL76" s="211">
        <f t="shared" si="204"/>
        <v>0</v>
      </c>
      <c r="AM76" s="211">
        <f t="shared" si="205"/>
        <v>-88.311999999999998</v>
      </c>
      <c r="AN76" s="211">
        <f t="shared" si="206"/>
        <v>-88.311999999999998</v>
      </c>
      <c r="AO76" s="289">
        <f t="shared" si="207"/>
        <v>1</v>
      </c>
      <c r="AP76" s="74"/>
      <c r="AQ76" s="1" t="s">
        <v>954</v>
      </c>
      <c r="AR76" s="98" t="s">
        <v>0</v>
      </c>
      <c r="AS76" s="18" t="s">
        <v>11</v>
      </c>
      <c r="AT76" s="245"/>
      <c r="AU76" s="99">
        <f t="shared" si="208"/>
        <v>0</v>
      </c>
      <c r="AV76" s="99">
        <v>0</v>
      </c>
      <c r="AW76" s="99">
        <f t="shared" si="209"/>
        <v>0</v>
      </c>
      <c r="AX76" s="99">
        <v>0</v>
      </c>
      <c r="AY76" s="100">
        <f t="shared" si="210"/>
        <v>0</v>
      </c>
      <c r="BA76" s="113" t="s">
        <v>988</v>
      </c>
      <c r="BC76" s="1">
        <v>3.27</v>
      </c>
      <c r="BP76" s="9" t="s">
        <v>169</v>
      </c>
      <c r="BR76" s="9" t="s">
        <v>149</v>
      </c>
      <c r="BS76" s="9" t="s">
        <v>42</v>
      </c>
      <c r="BW76" s="9" t="s">
        <v>148</v>
      </c>
      <c r="CC76" s="72">
        <f t="shared" si="211"/>
        <v>0</v>
      </c>
      <c r="CD76" s="72">
        <f t="shared" si="212"/>
        <v>0</v>
      </c>
      <c r="CE76" s="72">
        <f t="shared" si="213"/>
        <v>0</v>
      </c>
      <c r="CF76" s="72">
        <f t="shared" si="214"/>
        <v>0</v>
      </c>
      <c r="CG76" s="72">
        <f t="shared" si="215"/>
        <v>0</v>
      </c>
      <c r="CH76" s="9" t="s">
        <v>42</v>
      </c>
      <c r="CI76" s="101">
        <f t="shared" si="216"/>
        <v>0</v>
      </c>
      <c r="CJ76" s="9" t="s">
        <v>169</v>
      </c>
      <c r="CK76" s="9" t="s">
        <v>502</v>
      </c>
    </row>
    <row r="77" spans="2:89" s="1" customFormat="1" ht="31.5" customHeight="1">
      <c r="B77" s="73"/>
      <c r="C77" s="102"/>
      <c r="D77" s="102" t="s">
        <v>171</v>
      </c>
      <c r="E77" s="103" t="s">
        <v>449</v>
      </c>
      <c r="F77" s="499" t="s">
        <v>450</v>
      </c>
      <c r="G77" s="499"/>
      <c r="H77" s="499"/>
      <c r="I77" s="499"/>
      <c r="J77" s="104" t="s">
        <v>194</v>
      </c>
      <c r="K77" s="223">
        <v>0</v>
      </c>
      <c r="L77" s="223">
        <v>0</v>
      </c>
      <c r="M77" s="223">
        <f>-113.8999</f>
        <v>-113.8999</v>
      </c>
      <c r="N77" s="428">
        <f t="shared" si="187"/>
        <v>-113.8999</v>
      </c>
      <c r="O77" s="278">
        <v>0</v>
      </c>
      <c r="P77" s="223">
        <v>0</v>
      </c>
      <c r="Q77" s="223">
        <v>0</v>
      </c>
      <c r="R77" s="257">
        <f t="shared" si="188"/>
        <v>0</v>
      </c>
      <c r="S77" s="289">
        <f t="shared" si="189"/>
        <v>0</v>
      </c>
      <c r="T77" s="278">
        <f t="shared" si="190"/>
        <v>0</v>
      </c>
      <c r="U77" s="223">
        <f t="shared" si="191"/>
        <v>0</v>
      </c>
      <c r="V77" s="223">
        <f t="shared" si="192"/>
        <v>-113.8999</v>
      </c>
      <c r="W77" s="257">
        <f t="shared" si="193"/>
        <v>-113.8999</v>
      </c>
      <c r="X77" s="289">
        <f t="shared" si="194"/>
        <v>1</v>
      </c>
      <c r="Y77" s="224">
        <v>5.16</v>
      </c>
      <c r="Z77" s="224">
        <v>5.16</v>
      </c>
      <c r="AA77" s="224">
        <v>5.16</v>
      </c>
      <c r="AB77" s="223">
        <f t="shared" si="195"/>
        <v>0</v>
      </c>
      <c r="AC77" s="223">
        <f t="shared" si="196"/>
        <v>0</v>
      </c>
      <c r="AD77" s="223">
        <f t="shared" si="197"/>
        <v>-587.72299999999996</v>
      </c>
      <c r="AE77" s="297">
        <f t="shared" si="198"/>
        <v>-587.72299999999996</v>
      </c>
      <c r="AF77" s="278">
        <f t="shared" si="199"/>
        <v>0</v>
      </c>
      <c r="AG77" s="223">
        <f t="shared" si="200"/>
        <v>0</v>
      </c>
      <c r="AH77" s="223">
        <f t="shared" si="217"/>
        <v>0</v>
      </c>
      <c r="AI77" s="223">
        <f t="shared" si="201"/>
        <v>0</v>
      </c>
      <c r="AJ77" s="289">
        <f t="shared" si="202"/>
        <v>0</v>
      </c>
      <c r="AK77" s="278">
        <f t="shared" si="203"/>
        <v>0</v>
      </c>
      <c r="AL77" s="223">
        <f t="shared" si="204"/>
        <v>0</v>
      </c>
      <c r="AM77" s="223">
        <f t="shared" si="205"/>
        <v>-587.72299999999996</v>
      </c>
      <c r="AN77" s="223">
        <f t="shared" si="206"/>
        <v>-587.72299999999996</v>
      </c>
      <c r="AO77" s="289">
        <f t="shared" si="207"/>
        <v>1</v>
      </c>
      <c r="AP77" s="74"/>
      <c r="AQ77" s="1" t="s">
        <v>954</v>
      </c>
      <c r="AR77" s="98" t="s">
        <v>0</v>
      </c>
      <c r="AS77" s="18" t="s">
        <v>11</v>
      </c>
      <c r="AT77" s="245"/>
      <c r="AU77" s="99">
        <f t="shared" si="208"/>
        <v>0</v>
      </c>
      <c r="AV77" s="99">
        <v>0</v>
      </c>
      <c r="AW77" s="99">
        <f t="shared" si="209"/>
        <v>0</v>
      </c>
      <c r="AX77" s="99">
        <v>0</v>
      </c>
      <c r="AY77" s="100">
        <f t="shared" si="210"/>
        <v>0</v>
      </c>
      <c r="BA77" s="113" t="s">
        <v>989</v>
      </c>
      <c r="BC77" s="1">
        <v>4.96</v>
      </c>
      <c r="BP77" s="9" t="s">
        <v>174</v>
      </c>
      <c r="BR77" s="9" t="s">
        <v>171</v>
      </c>
      <c r="BS77" s="9" t="s">
        <v>42</v>
      </c>
      <c r="BW77" s="9" t="s">
        <v>148</v>
      </c>
      <c r="CC77" s="72">
        <f t="shared" si="211"/>
        <v>0</v>
      </c>
      <c r="CD77" s="72">
        <f t="shared" si="212"/>
        <v>0</v>
      </c>
      <c r="CE77" s="72">
        <f t="shared" si="213"/>
        <v>0</v>
      </c>
      <c r="CF77" s="72">
        <f t="shared" si="214"/>
        <v>0</v>
      </c>
      <c r="CG77" s="72">
        <f t="shared" si="215"/>
        <v>0</v>
      </c>
      <c r="CH77" s="9" t="s">
        <v>42</v>
      </c>
      <c r="CI77" s="101">
        <f t="shared" si="216"/>
        <v>0</v>
      </c>
      <c r="CJ77" s="9" t="s">
        <v>169</v>
      </c>
      <c r="CK77" s="9" t="s">
        <v>503</v>
      </c>
    </row>
    <row r="78" spans="2:89" s="1" customFormat="1" ht="31.5" customHeight="1">
      <c r="B78" s="73"/>
      <c r="C78" s="102"/>
      <c r="D78" s="102" t="s">
        <v>171</v>
      </c>
      <c r="E78" s="103" t="s">
        <v>451</v>
      </c>
      <c r="F78" s="499" t="s">
        <v>452</v>
      </c>
      <c r="G78" s="499"/>
      <c r="H78" s="499"/>
      <c r="I78" s="499"/>
      <c r="J78" s="104" t="s">
        <v>198</v>
      </c>
      <c r="K78" s="223">
        <v>0</v>
      </c>
      <c r="L78" s="223">
        <v>0</v>
      </c>
      <c r="M78" s="223">
        <v>-24.3</v>
      </c>
      <c r="N78" s="428">
        <f t="shared" si="187"/>
        <v>-24.3</v>
      </c>
      <c r="O78" s="278">
        <v>0</v>
      </c>
      <c r="P78" s="223">
        <v>0</v>
      </c>
      <c r="Q78" s="223">
        <v>0</v>
      </c>
      <c r="R78" s="257">
        <f t="shared" si="188"/>
        <v>0</v>
      </c>
      <c r="S78" s="289">
        <f t="shared" si="189"/>
        <v>0</v>
      </c>
      <c r="T78" s="278">
        <f t="shared" si="190"/>
        <v>0</v>
      </c>
      <c r="U78" s="223">
        <f t="shared" si="191"/>
        <v>0</v>
      </c>
      <c r="V78" s="223">
        <f t="shared" si="192"/>
        <v>-24.3</v>
      </c>
      <c r="W78" s="257">
        <f t="shared" si="193"/>
        <v>-24.3</v>
      </c>
      <c r="X78" s="289">
        <f t="shared" si="194"/>
        <v>1</v>
      </c>
      <c r="Y78" s="224">
        <v>3.66</v>
      </c>
      <c r="Z78" s="224">
        <v>3.66</v>
      </c>
      <c r="AA78" s="224">
        <v>3.66</v>
      </c>
      <c r="AB78" s="223">
        <f t="shared" si="195"/>
        <v>0</v>
      </c>
      <c r="AC78" s="223">
        <f t="shared" si="196"/>
        <v>0</v>
      </c>
      <c r="AD78" s="223">
        <f t="shared" si="197"/>
        <v>-88.938000000000002</v>
      </c>
      <c r="AE78" s="297">
        <f t="shared" si="198"/>
        <v>-88.938000000000002</v>
      </c>
      <c r="AF78" s="278">
        <f t="shared" si="199"/>
        <v>0</v>
      </c>
      <c r="AG78" s="223">
        <f t="shared" si="200"/>
        <v>0</v>
      </c>
      <c r="AH78" s="223">
        <f t="shared" si="217"/>
        <v>0</v>
      </c>
      <c r="AI78" s="223">
        <f t="shared" si="201"/>
        <v>0</v>
      </c>
      <c r="AJ78" s="289">
        <f t="shared" si="202"/>
        <v>0</v>
      </c>
      <c r="AK78" s="278">
        <f t="shared" si="203"/>
        <v>0</v>
      </c>
      <c r="AL78" s="223">
        <f t="shared" si="204"/>
        <v>0</v>
      </c>
      <c r="AM78" s="223">
        <f t="shared" si="205"/>
        <v>-88.938000000000002</v>
      </c>
      <c r="AN78" s="223">
        <f t="shared" si="206"/>
        <v>-88.938000000000002</v>
      </c>
      <c r="AO78" s="289">
        <f t="shared" si="207"/>
        <v>1</v>
      </c>
      <c r="AP78" s="74"/>
      <c r="AQ78" s="1" t="s">
        <v>954</v>
      </c>
      <c r="AR78" s="98" t="s">
        <v>0</v>
      </c>
      <c r="AS78" s="18" t="s">
        <v>11</v>
      </c>
      <c r="AT78" s="245"/>
      <c r="AU78" s="99">
        <f t="shared" si="208"/>
        <v>0</v>
      </c>
      <c r="AV78" s="99">
        <v>0</v>
      </c>
      <c r="AW78" s="99">
        <f t="shared" si="209"/>
        <v>0</v>
      </c>
      <c r="AX78" s="99">
        <v>0</v>
      </c>
      <c r="AY78" s="100">
        <f t="shared" si="210"/>
        <v>0</v>
      </c>
      <c r="BA78" s="113" t="s">
        <v>990</v>
      </c>
      <c r="BC78" s="1">
        <v>3.52</v>
      </c>
      <c r="BP78" s="9" t="s">
        <v>174</v>
      </c>
      <c r="BR78" s="9" t="s">
        <v>171</v>
      </c>
      <c r="BS78" s="9" t="s">
        <v>42</v>
      </c>
      <c r="BW78" s="9" t="s">
        <v>148</v>
      </c>
      <c r="CC78" s="72">
        <f t="shared" si="211"/>
        <v>0</v>
      </c>
      <c r="CD78" s="72">
        <f t="shared" si="212"/>
        <v>0</v>
      </c>
      <c r="CE78" s="72">
        <f t="shared" si="213"/>
        <v>0</v>
      </c>
      <c r="CF78" s="72">
        <f t="shared" si="214"/>
        <v>0</v>
      </c>
      <c r="CG78" s="72">
        <f t="shared" si="215"/>
        <v>0</v>
      </c>
      <c r="CH78" s="9" t="s">
        <v>42</v>
      </c>
      <c r="CI78" s="101">
        <f t="shared" si="216"/>
        <v>0</v>
      </c>
      <c r="CJ78" s="9" t="s">
        <v>169</v>
      </c>
      <c r="CK78" s="9" t="s">
        <v>504</v>
      </c>
    </row>
    <row r="79" spans="2:89" s="1" customFormat="1" ht="22.5" customHeight="1">
      <c r="B79" s="73"/>
      <c r="C79" s="102"/>
      <c r="D79" s="102" t="s">
        <v>171</v>
      </c>
      <c r="E79" s="103" t="s">
        <v>453</v>
      </c>
      <c r="F79" s="499" t="s">
        <v>454</v>
      </c>
      <c r="G79" s="499"/>
      <c r="H79" s="499"/>
      <c r="I79" s="499"/>
      <c r="J79" s="104" t="s">
        <v>168</v>
      </c>
      <c r="K79" s="223">
        <v>0</v>
      </c>
      <c r="L79" s="223">
        <v>0</v>
      </c>
      <c r="M79" s="223">
        <v>-24.3</v>
      </c>
      <c r="N79" s="428">
        <f t="shared" si="187"/>
        <v>-24.3</v>
      </c>
      <c r="O79" s="278">
        <v>0</v>
      </c>
      <c r="P79" s="223">
        <v>0</v>
      </c>
      <c r="Q79" s="223">
        <v>0</v>
      </c>
      <c r="R79" s="257">
        <f t="shared" si="188"/>
        <v>0</v>
      </c>
      <c r="S79" s="289">
        <f t="shared" si="189"/>
        <v>0</v>
      </c>
      <c r="T79" s="278">
        <f t="shared" si="190"/>
        <v>0</v>
      </c>
      <c r="U79" s="223">
        <f t="shared" si="191"/>
        <v>0</v>
      </c>
      <c r="V79" s="223">
        <f t="shared" si="192"/>
        <v>-24.3</v>
      </c>
      <c r="W79" s="257">
        <f t="shared" si="193"/>
        <v>-24.3</v>
      </c>
      <c r="X79" s="289">
        <f t="shared" si="194"/>
        <v>1</v>
      </c>
      <c r="Y79" s="224">
        <v>1.2</v>
      </c>
      <c r="Z79" s="224">
        <v>1.2</v>
      </c>
      <c r="AA79" s="224">
        <v>1.2</v>
      </c>
      <c r="AB79" s="223">
        <f t="shared" si="195"/>
        <v>0</v>
      </c>
      <c r="AC79" s="223">
        <f t="shared" si="196"/>
        <v>0</v>
      </c>
      <c r="AD79" s="223">
        <f t="shared" si="197"/>
        <v>-29.16</v>
      </c>
      <c r="AE79" s="297">
        <f t="shared" si="198"/>
        <v>-29.16</v>
      </c>
      <c r="AF79" s="278">
        <f t="shared" si="199"/>
        <v>0</v>
      </c>
      <c r="AG79" s="223">
        <f t="shared" si="200"/>
        <v>0</v>
      </c>
      <c r="AH79" s="223">
        <f t="shared" si="217"/>
        <v>0</v>
      </c>
      <c r="AI79" s="223">
        <f t="shared" si="201"/>
        <v>0</v>
      </c>
      <c r="AJ79" s="289">
        <f t="shared" si="202"/>
        <v>0</v>
      </c>
      <c r="AK79" s="278">
        <f t="shared" si="203"/>
        <v>0</v>
      </c>
      <c r="AL79" s="223">
        <f t="shared" si="204"/>
        <v>0</v>
      </c>
      <c r="AM79" s="223">
        <f t="shared" si="205"/>
        <v>-29.16</v>
      </c>
      <c r="AN79" s="223">
        <f t="shared" si="206"/>
        <v>-29.16</v>
      </c>
      <c r="AO79" s="289">
        <f t="shared" si="207"/>
        <v>1</v>
      </c>
      <c r="AP79" s="74"/>
      <c r="AR79" s="98" t="s">
        <v>0</v>
      </c>
      <c r="AS79" s="18" t="s">
        <v>11</v>
      </c>
      <c r="AT79" s="245"/>
      <c r="AU79" s="99">
        <f t="shared" si="208"/>
        <v>0</v>
      </c>
      <c r="AV79" s="99">
        <v>0</v>
      </c>
      <c r="AW79" s="99">
        <f t="shared" si="209"/>
        <v>0</v>
      </c>
      <c r="AX79" s="99">
        <v>0</v>
      </c>
      <c r="AY79" s="100">
        <f t="shared" si="210"/>
        <v>0</v>
      </c>
      <c r="BC79" s="1">
        <v>1.1499999999999999</v>
      </c>
      <c r="BP79" s="9" t="s">
        <v>174</v>
      </c>
      <c r="BR79" s="9" t="s">
        <v>171</v>
      </c>
      <c r="BS79" s="9" t="s">
        <v>42</v>
      </c>
      <c r="BW79" s="9" t="s">
        <v>148</v>
      </c>
      <c r="CC79" s="72">
        <f t="shared" si="211"/>
        <v>0</v>
      </c>
      <c r="CD79" s="72">
        <f t="shared" si="212"/>
        <v>0</v>
      </c>
      <c r="CE79" s="72">
        <f t="shared" si="213"/>
        <v>0</v>
      </c>
      <c r="CF79" s="72">
        <f t="shared" si="214"/>
        <v>0</v>
      </c>
      <c r="CG79" s="72">
        <f t="shared" si="215"/>
        <v>0</v>
      </c>
      <c r="CH79" s="9" t="s">
        <v>42</v>
      </c>
      <c r="CI79" s="101">
        <f t="shared" si="216"/>
        <v>0</v>
      </c>
      <c r="CJ79" s="9" t="s">
        <v>169</v>
      </c>
      <c r="CK79" s="9" t="s">
        <v>505</v>
      </c>
    </row>
    <row r="80" spans="2:89" s="1" customFormat="1" ht="31.5" customHeight="1">
      <c r="B80" s="73"/>
      <c r="C80" s="93"/>
      <c r="D80" s="93" t="s">
        <v>149</v>
      </c>
      <c r="E80" s="94" t="s">
        <v>455</v>
      </c>
      <c r="F80" s="498" t="s">
        <v>456</v>
      </c>
      <c r="G80" s="498"/>
      <c r="H80" s="498"/>
      <c r="I80" s="498"/>
      <c r="J80" s="95" t="s">
        <v>168</v>
      </c>
      <c r="K80" s="211">
        <v>0</v>
      </c>
      <c r="L80" s="211">
        <v>0</v>
      </c>
      <c r="M80" s="211">
        <v>-24.3</v>
      </c>
      <c r="N80" s="306">
        <f t="shared" si="187"/>
        <v>-24.3</v>
      </c>
      <c r="O80" s="277">
        <v>0</v>
      </c>
      <c r="P80" s="211">
        <v>0</v>
      </c>
      <c r="Q80" s="211">
        <v>0</v>
      </c>
      <c r="R80" s="220">
        <f t="shared" si="188"/>
        <v>0</v>
      </c>
      <c r="S80" s="289">
        <f t="shared" si="189"/>
        <v>0</v>
      </c>
      <c r="T80" s="277">
        <f t="shared" si="190"/>
        <v>0</v>
      </c>
      <c r="U80" s="211">
        <f t="shared" si="191"/>
        <v>0</v>
      </c>
      <c r="V80" s="211">
        <f t="shared" si="192"/>
        <v>-24.3</v>
      </c>
      <c r="W80" s="220">
        <f t="shared" si="193"/>
        <v>-24.3</v>
      </c>
      <c r="X80" s="289">
        <f t="shared" si="194"/>
        <v>1</v>
      </c>
      <c r="Y80" s="221">
        <v>0.61</v>
      </c>
      <c r="Z80" s="221">
        <v>0.61</v>
      </c>
      <c r="AA80" s="221">
        <v>0.61</v>
      </c>
      <c r="AB80" s="211">
        <f t="shared" si="195"/>
        <v>0</v>
      </c>
      <c r="AC80" s="211">
        <f t="shared" si="196"/>
        <v>0</v>
      </c>
      <c r="AD80" s="211">
        <f t="shared" si="197"/>
        <v>-14.823</v>
      </c>
      <c r="AE80" s="295">
        <f t="shared" si="198"/>
        <v>-14.823</v>
      </c>
      <c r="AF80" s="277">
        <f t="shared" si="199"/>
        <v>0</v>
      </c>
      <c r="AG80" s="211">
        <f t="shared" si="200"/>
        <v>0</v>
      </c>
      <c r="AH80" s="211">
        <f t="shared" si="217"/>
        <v>0</v>
      </c>
      <c r="AI80" s="211">
        <f t="shared" si="201"/>
        <v>0</v>
      </c>
      <c r="AJ80" s="289">
        <f t="shared" si="202"/>
        <v>0</v>
      </c>
      <c r="AK80" s="277">
        <f t="shared" si="203"/>
        <v>0</v>
      </c>
      <c r="AL80" s="211">
        <f t="shared" si="204"/>
        <v>0</v>
      </c>
      <c r="AM80" s="211">
        <f t="shared" si="205"/>
        <v>-14.823</v>
      </c>
      <c r="AN80" s="211">
        <f t="shared" si="206"/>
        <v>-14.823</v>
      </c>
      <c r="AO80" s="289">
        <f t="shared" si="207"/>
        <v>1</v>
      </c>
      <c r="AP80" s="74"/>
      <c r="AR80" s="98" t="s">
        <v>0</v>
      </c>
      <c r="AS80" s="18" t="s">
        <v>11</v>
      </c>
      <c r="AT80" s="245"/>
      <c r="AU80" s="99">
        <f t="shared" si="208"/>
        <v>0</v>
      </c>
      <c r="AV80" s="99">
        <v>0</v>
      </c>
      <c r="AW80" s="99">
        <f t="shared" si="209"/>
        <v>0</v>
      </c>
      <c r="AX80" s="99">
        <v>0</v>
      </c>
      <c r="AY80" s="100">
        <f t="shared" si="210"/>
        <v>0</v>
      </c>
      <c r="BC80" s="1">
        <v>0.59</v>
      </c>
      <c r="BP80" s="9" t="s">
        <v>169</v>
      </c>
      <c r="BR80" s="9" t="s">
        <v>149</v>
      </c>
      <c r="BS80" s="9" t="s">
        <v>42</v>
      </c>
      <c r="BW80" s="9" t="s">
        <v>148</v>
      </c>
      <c r="CC80" s="72">
        <f t="shared" si="211"/>
        <v>0</v>
      </c>
      <c r="CD80" s="72">
        <f t="shared" si="212"/>
        <v>0</v>
      </c>
      <c r="CE80" s="72">
        <f t="shared" si="213"/>
        <v>0</v>
      </c>
      <c r="CF80" s="72">
        <f t="shared" si="214"/>
        <v>0</v>
      </c>
      <c r="CG80" s="72">
        <f t="shared" si="215"/>
        <v>0</v>
      </c>
      <c r="CH80" s="9" t="s">
        <v>42</v>
      </c>
      <c r="CI80" s="101">
        <f t="shared" si="216"/>
        <v>0</v>
      </c>
      <c r="CJ80" s="9" t="s">
        <v>169</v>
      </c>
      <c r="CK80" s="9" t="s">
        <v>506</v>
      </c>
    </row>
    <row r="81" spans="2:89" s="1" customFormat="1" ht="31.5" customHeight="1">
      <c r="B81" s="73"/>
      <c r="C81" s="102"/>
      <c r="D81" s="102" t="s">
        <v>171</v>
      </c>
      <c r="E81" s="103" t="s">
        <v>457</v>
      </c>
      <c r="F81" s="499" t="s">
        <v>458</v>
      </c>
      <c r="G81" s="499"/>
      <c r="H81" s="499"/>
      <c r="I81" s="499"/>
      <c r="J81" s="104" t="s">
        <v>194</v>
      </c>
      <c r="K81" s="223">
        <v>0</v>
      </c>
      <c r="L81" s="223">
        <v>0</v>
      </c>
      <c r="M81" s="223">
        <v>-5.69</v>
      </c>
      <c r="N81" s="428">
        <f t="shared" si="187"/>
        <v>-5.69</v>
      </c>
      <c r="O81" s="278">
        <v>0</v>
      </c>
      <c r="P81" s="223">
        <v>0</v>
      </c>
      <c r="Q81" s="223">
        <v>0</v>
      </c>
      <c r="R81" s="257">
        <f t="shared" si="188"/>
        <v>0</v>
      </c>
      <c r="S81" s="289">
        <f t="shared" si="189"/>
        <v>0</v>
      </c>
      <c r="T81" s="278">
        <f t="shared" si="190"/>
        <v>0</v>
      </c>
      <c r="U81" s="223">
        <f t="shared" si="191"/>
        <v>0</v>
      </c>
      <c r="V81" s="223">
        <f t="shared" si="192"/>
        <v>-5.69</v>
      </c>
      <c r="W81" s="257">
        <f t="shared" si="193"/>
        <v>-5.69</v>
      </c>
      <c r="X81" s="289">
        <f t="shared" si="194"/>
        <v>1</v>
      </c>
      <c r="Y81" s="224">
        <v>3.7</v>
      </c>
      <c r="Z81" s="224">
        <v>3.7</v>
      </c>
      <c r="AA81" s="224">
        <v>3.7</v>
      </c>
      <c r="AB81" s="223">
        <f t="shared" si="195"/>
        <v>0</v>
      </c>
      <c r="AC81" s="223">
        <f t="shared" si="196"/>
        <v>0</v>
      </c>
      <c r="AD81" s="223">
        <f t="shared" si="197"/>
        <v>-21.053000000000001</v>
      </c>
      <c r="AE81" s="297">
        <f t="shared" si="198"/>
        <v>-21.053000000000001</v>
      </c>
      <c r="AF81" s="278">
        <f t="shared" si="199"/>
        <v>0</v>
      </c>
      <c r="AG81" s="223">
        <f t="shared" si="200"/>
        <v>0</v>
      </c>
      <c r="AH81" s="223">
        <f t="shared" si="217"/>
        <v>0</v>
      </c>
      <c r="AI81" s="223">
        <f t="shared" si="201"/>
        <v>0</v>
      </c>
      <c r="AJ81" s="289">
        <f t="shared" si="202"/>
        <v>0</v>
      </c>
      <c r="AK81" s="278">
        <f t="shared" si="203"/>
        <v>0</v>
      </c>
      <c r="AL81" s="223">
        <f t="shared" si="204"/>
        <v>0</v>
      </c>
      <c r="AM81" s="223">
        <f t="shared" si="205"/>
        <v>-21.053000000000001</v>
      </c>
      <c r="AN81" s="223">
        <f t="shared" si="206"/>
        <v>-21.053000000000001</v>
      </c>
      <c r="AO81" s="289">
        <f t="shared" si="207"/>
        <v>1</v>
      </c>
      <c r="AP81" s="74"/>
      <c r="AQ81" s="1" t="s">
        <v>954</v>
      </c>
      <c r="AR81" s="98" t="s">
        <v>0</v>
      </c>
      <c r="AS81" s="18" t="s">
        <v>11</v>
      </c>
      <c r="AT81" s="245"/>
      <c r="AU81" s="99">
        <f t="shared" si="208"/>
        <v>0</v>
      </c>
      <c r="AV81" s="99">
        <v>0</v>
      </c>
      <c r="AW81" s="99">
        <f t="shared" si="209"/>
        <v>0</v>
      </c>
      <c r="AX81" s="99">
        <v>0</v>
      </c>
      <c r="AY81" s="100">
        <f t="shared" si="210"/>
        <v>0</v>
      </c>
      <c r="BA81" s="113" t="s">
        <v>991</v>
      </c>
      <c r="BC81" s="1">
        <v>3.56</v>
      </c>
      <c r="BP81" s="9" t="s">
        <v>174</v>
      </c>
      <c r="BR81" s="9" t="s">
        <v>171</v>
      </c>
      <c r="BS81" s="9" t="s">
        <v>42</v>
      </c>
      <c r="BW81" s="9" t="s">
        <v>148</v>
      </c>
      <c r="CC81" s="72">
        <f t="shared" si="211"/>
        <v>0</v>
      </c>
      <c r="CD81" s="72">
        <f t="shared" si="212"/>
        <v>0</v>
      </c>
      <c r="CE81" s="72">
        <f t="shared" si="213"/>
        <v>0</v>
      </c>
      <c r="CF81" s="72">
        <f t="shared" si="214"/>
        <v>0</v>
      </c>
      <c r="CG81" s="72">
        <f t="shared" si="215"/>
        <v>0</v>
      </c>
      <c r="CH81" s="9" t="s">
        <v>42</v>
      </c>
      <c r="CI81" s="101">
        <f t="shared" si="216"/>
        <v>0</v>
      </c>
      <c r="CJ81" s="9" t="s">
        <v>169</v>
      </c>
      <c r="CK81" s="9" t="s">
        <v>507</v>
      </c>
    </row>
    <row r="82" spans="2:89" s="1" customFormat="1" ht="31.5" customHeight="1">
      <c r="B82" s="73"/>
      <c r="C82" s="102"/>
      <c r="D82" s="93" t="s">
        <v>149</v>
      </c>
      <c r="E82" s="94" t="s">
        <v>176</v>
      </c>
      <c r="F82" s="500" t="s">
        <v>177</v>
      </c>
      <c r="G82" s="501"/>
      <c r="H82" s="501"/>
      <c r="I82" s="502"/>
      <c r="J82" s="95" t="s">
        <v>168</v>
      </c>
      <c r="K82" s="211">
        <v>26</v>
      </c>
      <c r="L82" s="211">
        <v>26</v>
      </c>
      <c r="M82" s="211">
        <v>26</v>
      </c>
      <c r="N82" s="306">
        <f t="shared" si="187"/>
        <v>78</v>
      </c>
      <c r="O82" s="277">
        <v>0</v>
      </c>
      <c r="P82" s="211">
        <v>0</v>
      </c>
      <c r="Q82" s="211">
        <v>0</v>
      </c>
      <c r="R82" s="220">
        <f t="shared" si="188"/>
        <v>0</v>
      </c>
      <c r="S82" s="289">
        <f t="shared" si="189"/>
        <v>0</v>
      </c>
      <c r="T82" s="277">
        <f t="shared" si="190"/>
        <v>26</v>
      </c>
      <c r="U82" s="211">
        <f t="shared" si="191"/>
        <v>26</v>
      </c>
      <c r="V82" s="211">
        <f t="shared" si="192"/>
        <v>26</v>
      </c>
      <c r="W82" s="220">
        <f t="shared" si="193"/>
        <v>78</v>
      </c>
      <c r="X82" s="289">
        <f t="shared" si="194"/>
        <v>1</v>
      </c>
      <c r="Y82" s="221">
        <v>4.68</v>
      </c>
      <c r="Z82" s="221">
        <v>4.68</v>
      </c>
      <c r="AA82" s="221">
        <v>4.68</v>
      </c>
      <c r="AB82" s="262">
        <f t="shared" si="195"/>
        <v>121.68</v>
      </c>
      <c r="AC82" s="262">
        <f t="shared" si="196"/>
        <v>121.68</v>
      </c>
      <c r="AD82" s="262">
        <f t="shared" si="197"/>
        <v>121.68</v>
      </c>
      <c r="AE82" s="456">
        <f t="shared" si="198"/>
        <v>365.04</v>
      </c>
      <c r="AF82" s="448">
        <f t="shared" si="199"/>
        <v>0</v>
      </c>
      <c r="AG82" s="262">
        <f t="shared" si="200"/>
        <v>0</v>
      </c>
      <c r="AH82" s="262">
        <f t="shared" si="217"/>
        <v>0</v>
      </c>
      <c r="AI82" s="262">
        <f t="shared" si="201"/>
        <v>0</v>
      </c>
      <c r="AJ82" s="289">
        <f t="shared" si="202"/>
        <v>0</v>
      </c>
      <c r="AK82" s="448">
        <f t="shared" si="203"/>
        <v>121.68</v>
      </c>
      <c r="AL82" s="262">
        <f t="shared" si="204"/>
        <v>121.68</v>
      </c>
      <c r="AM82" s="262">
        <f t="shared" si="205"/>
        <v>121.68</v>
      </c>
      <c r="AN82" s="262">
        <f t="shared" si="206"/>
        <v>365.04</v>
      </c>
      <c r="AO82" s="289">
        <f t="shared" si="207"/>
        <v>1</v>
      </c>
      <c r="AP82" s="74"/>
      <c r="AQ82" s="1" t="s">
        <v>954</v>
      </c>
      <c r="AR82" s="98" t="s">
        <v>0</v>
      </c>
      <c r="AS82" s="18" t="s">
        <v>11</v>
      </c>
      <c r="AT82" s="245"/>
      <c r="AU82" s="99">
        <f t="shared" si="208"/>
        <v>0</v>
      </c>
      <c r="AV82" s="99">
        <v>0</v>
      </c>
      <c r="AW82" s="99">
        <f t="shared" si="209"/>
        <v>0</v>
      </c>
      <c r="AX82" s="99">
        <v>0</v>
      </c>
      <c r="AY82" s="100">
        <f t="shared" si="210"/>
        <v>0</v>
      </c>
      <c r="BA82" s="113" t="s">
        <v>991</v>
      </c>
      <c r="BC82" s="1">
        <v>3.56</v>
      </c>
      <c r="BP82" s="9" t="s">
        <v>174</v>
      </c>
      <c r="BR82" s="9" t="s">
        <v>171</v>
      </c>
      <c r="BS82" s="9" t="s">
        <v>42</v>
      </c>
      <c r="BW82" s="9" t="s">
        <v>148</v>
      </c>
      <c r="CC82" s="72">
        <f t="shared" si="211"/>
        <v>0</v>
      </c>
      <c r="CD82" s="72">
        <f t="shared" si="212"/>
        <v>121.68</v>
      </c>
      <c r="CE82" s="72">
        <f t="shared" si="213"/>
        <v>0</v>
      </c>
      <c r="CF82" s="72">
        <f t="shared" si="214"/>
        <v>0</v>
      </c>
      <c r="CG82" s="72">
        <f t="shared" si="215"/>
        <v>0</v>
      </c>
      <c r="CH82" s="9" t="s">
        <v>42</v>
      </c>
      <c r="CI82" s="101">
        <f t="shared" si="216"/>
        <v>121.68</v>
      </c>
      <c r="CJ82" s="9" t="s">
        <v>169</v>
      </c>
      <c r="CK82" s="9" t="s">
        <v>507</v>
      </c>
    </row>
    <row r="83" spans="2:89" s="1" customFormat="1" ht="44.25" customHeight="1">
      <c r="B83" s="73"/>
      <c r="C83" s="102"/>
      <c r="D83" s="93" t="s">
        <v>149</v>
      </c>
      <c r="E83" s="94" t="s">
        <v>179</v>
      </c>
      <c r="F83" s="500" t="s">
        <v>180</v>
      </c>
      <c r="G83" s="501"/>
      <c r="H83" s="501"/>
      <c r="I83" s="502"/>
      <c r="J83" s="95" t="s">
        <v>168</v>
      </c>
      <c r="K83" s="262">
        <v>26</v>
      </c>
      <c r="L83" s="262">
        <v>26</v>
      </c>
      <c r="M83" s="262">
        <v>26</v>
      </c>
      <c r="N83" s="306">
        <f t="shared" si="187"/>
        <v>78</v>
      </c>
      <c r="O83" s="448">
        <v>0</v>
      </c>
      <c r="P83" s="262">
        <v>0</v>
      </c>
      <c r="Q83" s="262">
        <v>0</v>
      </c>
      <c r="R83" s="220">
        <f t="shared" si="188"/>
        <v>0</v>
      </c>
      <c r="S83" s="289">
        <f t="shared" si="189"/>
        <v>0</v>
      </c>
      <c r="T83" s="448">
        <f t="shared" si="190"/>
        <v>26</v>
      </c>
      <c r="U83" s="262">
        <f t="shared" si="191"/>
        <v>26</v>
      </c>
      <c r="V83" s="262">
        <f t="shared" si="192"/>
        <v>26</v>
      </c>
      <c r="W83" s="220">
        <f t="shared" si="193"/>
        <v>78</v>
      </c>
      <c r="X83" s="289">
        <f t="shared" si="194"/>
        <v>1</v>
      </c>
      <c r="Y83" s="263">
        <v>4.99</v>
      </c>
      <c r="Z83" s="263">
        <v>4.99</v>
      </c>
      <c r="AA83" s="263">
        <v>4.99</v>
      </c>
      <c r="AB83" s="262">
        <f t="shared" si="195"/>
        <v>129.74</v>
      </c>
      <c r="AC83" s="262">
        <f t="shared" si="196"/>
        <v>129.74</v>
      </c>
      <c r="AD83" s="262">
        <f t="shared" si="197"/>
        <v>129.74</v>
      </c>
      <c r="AE83" s="456">
        <f t="shared" si="198"/>
        <v>389.22</v>
      </c>
      <c r="AF83" s="448">
        <f t="shared" si="199"/>
        <v>0</v>
      </c>
      <c r="AG83" s="262">
        <f t="shared" si="200"/>
        <v>0</v>
      </c>
      <c r="AH83" s="262">
        <f t="shared" si="217"/>
        <v>0</v>
      </c>
      <c r="AI83" s="262">
        <f t="shared" si="201"/>
        <v>0</v>
      </c>
      <c r="AJ83" s="289">
        <f t="shared" si="202"/>
        <v>0</v>
      </c>
      <c r="AK83" s="448">
        <f t="shared" si="203"/>
        <v>129.74</v>
      </c>
      <c r="AL83" s="262">
        <f t="shared" si="204"/>
        <v>129.74</v>
      </c>
      <c r="AM83" s="262">
        <f t="shared" si="205"/>
        <v>129.74</v>
      </c>
      <c r="AN83" s="262">
        <f t="shared" si="206"/>
        <v>389.22</v>
      </c>
      <c r="AO83" s="289">
        <f t="shared" si="207"/>
        <v>1</v>
      </c>
      <c r="AP83" s="74"/>
      <c r="AQ83" s="1" t="s">
        <v>954</v>
      </c>
      <c r="AR83" s="98" t="s">
        <v>0</v>
      </c>
      <c r="AS83" s="18" t="s">
        <v>11</v>
      </c>
      <c r="AT83" s="245"/>
      <c r="AU83" s="99">
        <f t="shared" si="208"/>
        <v>0</v>
      </c>
      <c r="AV83" s="99">
        <v>0</v>
      </c>
      <c r="AW83" s="99">
        <f t="shared" si="209"/>
        <v>0</v>
      </c>
      <c r="AX83" s="99">
        <v>0</v>
      </c>
      <c r="AY83" s="100">
        <f t="shared" si="210"/>
        <v>0</v>
      </c>
      <c r="BA83" s="113" t="s">
        <v>991</v>
      </c>
      <c r="BC83" s="1">
        <v>3.56</v>
      </c>
      <c r="BP83" s="9" t="s">
        <v>174</v>
      </c>
      <c r="BR83" s="9" t="s">
        <v>171</v>
      </c>
      <c r="BS83" s="9" t="s">
        <v>42</v>
      </c>
      <c r="BW83" s="9" t="s">
        <v>148</v>
      </c>
      <c r="CC83" s="72">
        <f t="shared" si="211"/>
        <v>0</v>
      </c>
      <c r="CD83" s="72">
        <f t="shared" si="212"/>
        <v>129.74</v>
      </c>
      <c r="CE83" s="72">
        <f t="shared" si="213"/>
        <v>0</v>
      </c>
      <c r="CF83" s="72">
        <f t="shared" si="214"/>
        <v>0</v>
      </c>
      <c r="CG83" s="72">
        <f t="shared" si="215"/>
        <v>0</v>
      </c>
      <c r="CH83" s="9" t="s">
        <v>42</v>
      </c>
      <c r="CI83" s="101">
        <f t="shared" si="216"/>
        <v>129.74</v>
      </c>
      <c r="CJ83" s="9" t="s">
        <v>169</v>
      </c>
      <c r="CK83" s="9" t="s">
        <v>507</v>
      </c>
    </row>
    <row r="84" spans="2:89" s="1" customFormat="1" ht="40.5" customHeight="1">
      <c r="B84" s="73"/>
      <c r="C84" s="102"/>
      <c r="D84" s="93" t="s">
        <v>149</v>
      </c>
      <c r="E84" s="94" t="s">
        <v>189</v>
      </c>
      <c r="F84" s="500" t="s">
        <v>190</v>
      </c>
      <c r="G84" s="501"/>
      <c r="H84" s="501"/>
      <c r="I84" s="502"/>
      <c r="J84" s="95" t="s">
        <v>168</v>
      </c>
      <c r="K84" s="262">
        <v>2.5</v>
      </c>
      <c r="L84" s="262">
        <v>2.5</v>
      </c>
      <c r="M84" s="262">
        <v>2.5</v>
      </c>
      <c r="N84" s="306">
        <f t="shared" si="187"/>
        <v>7.5</v>
      </c>
      <c r="O84" s="448">
        <v>0</v>
      </c>
      <c r="P84" s="262">
        <v>0</v>
      </c>
      <c r="Q84" s="262">
        <v>0</v>
      </c>
      <c r="R84" s="220">
        <f t="shared" si="188"/>
        <v>0</v>
      </c>
      <c r="S84" s="289">
        <f t="shared" si="189"/>
        <v>0</v>
      </c>
      <c r="T84" s="448">
        <f t="shared" si="190"/>
        <v>2.5</v>
      </c>
      <c r="U84" s="262">
        <f t="shared" si="191"/>
        <v>2.5</v>
      </c>
      <c r="V84" s="262">
        <f t="shared" si="192"/>
        <v>2.5</v>
      </c>
      <c r="W84" s="220">
        <f t="shared" si="193"/>
        <v>7.5</v>
      </c>
      <c r="X84" s="289">
        <f t="shared" si="194"/>
        <v>1</v>
      </c>
      <c r="Y84" s="263">
        <v>5.2</v>
      </c>
      <c r="Z84" s="263">
        <v>5.2</v>
      </c>
      <c r="AA84" s="263">
        <v>5.2</v>
      </c>
      <c r="AB84" s="262">
        <f t="shared" si="195"/>
        <v>13</v>
      </c>
      <c r="AC84" s="262">
        <f t="shared" si="196"/>
        <v>13</v>
      </c>
      <c r="AD84" s="262">
        <f t="shared" si="197"/>
        <v>13</v>
      </c>
      <c r="AE84" s="456">
        <f t="shared" si="198"/>
        <v>39</v>
      </c>
      <c r="AF84" s="448">
        <f t="shared" si="199"/>
        <v>0</v>
      </c>
      <c r="AG84" s="262">
        <f t="shared" si="200"/>
        <v>0</v>
      </c>
      <c r="AH84" s="262">
        <f t="shared" si="217"/>
        <v>0</v>
      </c>
      <c r="AI84" s="262">
        <f t="shared" si="201"/>
        <v>0</v>
      </c>
      <c r="AJ84" s="289">
        <f t="shared" si="202"/>
        <v>0</v>
      </c>
      <c r="AK84" s="448">
        <f t="shared" si="203"/>
        <v>13</v>
      </c>
      <c r="AL84" s="262">
        <f t="shared" si="204"/>
        <v>13</v>
      </c>
      <c r="AM84" s="262">
        <f t="shared" si="205"/>
        <v>13</v>
      </c>
      <c r="AN84" s="262">
        <f t="shared" si="206"/>
        <v>39</v>
      </c>
      <c r="AO84" s="289">
        <f t="shared" si="207"/>
        <v>1</v>
      </c>
      <c r="AP84" s="74"/>
      <c r="AQ84" s="1" t="s">
        <v>954</v>
      </c>
      <c r="AR84" s="98" t="s">
        <v>0</v>
      </c>
      <c r="AS84" s="18" t="s">
        <v>11</v>
      </c>
      <c r="AT84" s="245"/>
      <c r="AU84" s="99">
        <f t="shared" si="208"/>
        <v>0</v>
      </c>
      <c r="AV84" s="99">
        <v>0</v>
      </c>
      <c r="AW84" s="99">
        <f t="shared" si="209"/>
        <v>0</v>
      </c>
      <c r="AX84" s="99">
        <v>0</v>
      </c>
      <c r="AY84" s="100">
        <f t="shared" si="210"/>
        <v>0</v>
      </c>
      <c r="BA84" s="113" t="s">
        <v>991</v>
      </c>
      <c r="BC84" s="1">
        <v>3.56</v>
      </c>
      <c r="BP84" s="9" t="s">
        <v>174</v>
      </c>
      <c r="BR84" s="9" t="s">
        <v>171</v>
      </c>
      <c r="BS84" s="9" t="s">
        <v>42</v>
      </c>
      <c r="BW84" s="9" t="s">
        <v>148</v>
      </c>
      <c r="CC84" s="72">
        <f t="shared" si="211"/>
        <v>0</v>
      </c>
      <c r="CD84" s="72">
        <f t="shared" si="212"/>
        <v>13</v>
      </c>
      <c r="CE84" s="72">
        <f t="shared" si="213"/>
        <v>0</v>
      </c>
      <c r="CF84" s="72">
        <f t="shared" si="214"/>
        <v>0</v>
      </c>
      <c r="CG84" s="72">
        <f t="shared" si="215"/>
        <v>0</v>
      </c>
      <c r="CH84" s="9" t="s">
        <v>42</v>
      </c>
      <c r="CI84" s="101">
        <f t="shared" si="216"/>
        <v>13</v>
      </c>
      <c r="CJ84" s="9" t="s">
        <v>169</v>
      </c>
      <c r="CK84" s="9" t="s">
        <v>507</v>
      </c>
    </row>
    <row r="85" spans="2:89" s="1" customFormat="1" ht="31.5" customHeight="1">
      <c r="B85" s="73"/>
      <c r="C85" s="102"/>
      <c r="D85" s="102" t="s">
        <v>171</v>
      </c>
      <c r="E85" s="103" t="s">
        <v>1390</v>
      </c>
      <c r="F85" s="499" t="s">
        <v>1389</v>
      </c>
      <c r="G85" s="499"/>
      <c r="H85" s="499"/>
      <c r="I85" s="499"/>
      <c r="J85" s="104" t="s">
        <v>168</v>
      </c>
      <c r="K85" s="223">
        <v>33</v>
      </c>
      <c r="L85" s="223">
        <v>33</v>
      </c>
      <c r="M85" s="223">
        <v>33</v>
      </c>
      <c r="N85" s="428">
        <f t="shared" si="187"/>
        <v>99</v>
      </c>
      <c r="O85" s="278">
        <v>0</v>
      </c>
      <c r="P85" s="223">
        <v>0</v>
      </c>
      <c r="Q85" s="223">
        <v>0</v>
      </c>
      <c r="R85" s="257">
        <f t="shared" si="188"/>
        <v>0</v>
      </c>
      <c r="S85" s="289">
        <f t="shared" si="189"/>
        <v>0</v>
      </c>
      <c r="T85" s="278">
        <f t="shared" si="190"/>
        <v>33</v>
      </c>
      <c r="U85" s="223">
        <f t="shared" si="191"/>
        <v>33</v>
      </c>
      <c r="V85" s="223">
        <f t="shared" si="192"/>
        <v>33</v>
      </c>
      <c r="W85" s="257">
        <f t="shared" si="193"/>
        <v>99</v>
      </c>
      <c r="X85" s="289">
        <f t="shared" si="194"/>
        <v>1</v>
      </c>
      <c r="Y85" s="224">
        <v>10.4</v>
      </c>
      <c r="Z85" s="224">
        <v>10.4</v>
      </c>
      <c r="AA85" s="224">
        <v>10.4</v>
      </c>
      <c r="AB85" s="262">
        <f t="shared" si="195"/>
        <v>343.2</v>
      </c>
      <c r="AC85" s="262">
        <f t="shared" si="196"/>
        <v>343.2</v>
      </c>
      <c r="AD85" s="262">
        <f t="shared" si="197"/>
        <v>343.2</v>
      </c>
      <c r="AE85" s="456">
        <f t="shared" si="198"/>
        <v>1029.5999999999999</v>
      </c>
      <c r="AF85" s="448">
        <f t="shared" si="199"/>
        <v>0</v>
      </c>
      <c r="AG85" s="262">
        <f t="shared" si="200"/>
        <v>0</v>
      </c>
      <c r="AH85" s="262">
        <f t="shared" si="217"/>
        <v>0</v>
      </c>
      <c r="AI85" s="262">
        <f t="shared" si="201"/>
        <v>0</v>
      </c>
      <c r="AJ85" s="289">
        <f t="shared" si="202"/>
        <v>0</v>
      </c>
      <c r="AK85" s="448">
        <f t="shared" si="203"/>
        <v>343.2</v>
      </c>
      <c r="AL85" s="262">
        <f t="shared" si="204"/>
        <v>343.2</v>
      </c>
      <c r="AM85" s="262">
        <f t="shared" si="205"/>
        <v>343.2</v>
      </c>
      <c r="AN85" s="262">
        <f t="shared" si="206"/>
        <v>1029.5999999999999</v>
      </c>
      <c r="AO85" s="289">
        <f t="shared" si="207"/>
        <v>1</v>
      </c>
      <c r="AP85" s="74"/>
      <c r="AQ85" s="1" t="s">
        <v>954</v>
      </c>
      <c r="AR85" s="98" t="s">
        <v>0</v>
      </c>
      <c r="AS85" s="18" t="s">
        <v>11</v>
      </c>
      <c r="AT85" s="245"/>
      <c r="AU85" s="99">
        <f t="shared" si="208"/>
        <v>0</v>
      </c>
      <c r="AV85" s="99">
        <v>0</v>
      </c>
      <c r="AW85" s="99">
        <f t="shared" si="209"/>
        <v>0</v>
      </c>
      <c r="AX85" s="99">
        <v>0</v>
      </c>
      <c r="AY85" s="100">
        <f t="shared" si="210"/>
        <v>0</v>
      </c>
      <c r="BA85" s="113" t="s">
        <v>991</v>
      </c>
      <c r="BC85" s="1">
        <v>3.56</v>
      </c>
      <c r="BP85" s="9" t="s">
        <v>174</v>
      </c>
      <c r="BR85" s="9" t="s">
        <v>171</v>
      </c>
      <c r="BS85" s="9" t="s">
        <v>42</v>
      </c>
      <c r="BW85" s="9" t="s">
        <v>148</v>
      </c>
      <c r="CC85" s="72">
        <f t="shared" si="211"/>
        <v>0</v>
      </c>
      <c r="CD85" s="72">
        <f t="shared" si="212"/>
        <v>343.2</v>
      </c>
      <c r="CE85" s="72">
        <f t="shared" si="213"/>
        <v>0</v>
      </c>
      <c r="CF85" s="72">
        <f t="shared" si="214"/>
        <v>0</v>
      </c>
      <c r="CG85" s="72">
        <f t="shared" si="215"/>
        <v>0</v>
      </c>
      <c r="CH85" s="9" t="s">
        <v>42</v>
      </c>
      <c r="CI85" s="101">
        <f t="shared" si="216"/>
        <v>343.2</v>
      </c>
      <c r="CJ85" s="9" t="s">
        <v>169</v>
      </c>
      <c r="CK85" s="9" t="s">
        <v>507</v>
      </c>
    </row>
    <row r="86" spans="2:89" s="1" customFormat="1" ht="31.5" customHeight="1">
      <c r="B86" s="73"/>
      <c r="C86" s="102"/>
      <c r="D86" s="93" t="s">
        <v>149</v>
      </c>
      <c r="E86" s="94" t="s">
        <v>201</v>
      </c>
      <c r="F86" s="500" t="s">
        <v>202</v>
      </c>
      <c r="G86" s="501"/>
      <c r="H86" s="501"/>
      <c r="I86" s="502"/>
      <c r="J86" s="95" t="s">
        <v>168</v>
      </c>
      <c r="K86" s="262">
        <v>28.5</v>
      </c>
      <c r="L86" s="262">
        <v>28.5</v>
      </c>
      <c r="M86" s="262">
        <v>28.5</v>
      </c>
      <c r="N86" s="306">
        <f t="shared" si="187"/>
        <v>85.5</v>
      </c>
      <c r="O86" s="448">
        <v>0</v>
      </c>
      <c r="P86" s="262">
        <v>0</v>
      </c>
      <c r="Q86" s="262">
        <v>0</v>
      </c>
      <c r="R86" s="220">
        <f t="shared" si="188"/>
        <v>0</v>
      </c>
      <c r="S86" s="289">
        <f t="shared" si="189"/>
        <v>0</v>
      </c>
      <c r="T86" s="448">
        <f t="shared" si="190"/>
        <v>28.5</v>
      </c>
      <c r="U86" s="262">
        <f t="shared" si="191"/>
        <v>28.5</v>
      </c>
      <c r="V86" s="262">
        <f t="shared" si="192"/>
        <v>28.5</v>
      </c>
      <c r="W86" s="220">
        <f t="shared" si="193"/>
        <v>85.5</v>
      </c>
      <c r="X86" s="289">
        <f t="shared" si="194"/>
        <v>1</v>
      </c>
      <c r="Y86" s="230">
        <v>0.26</v>
      </c>
      <c r="Z86" s="230">
        <v>0.26</v>
      </c>
      <c r="AA86" s="230">
        <v>0.26</v>
      </c>
      <c r="AB86" s="262">
        <f t="shared" si="195"/>
        <v>7.41</v>
      </c>
      <c r="AC86" s="262">
        <f t="shared" si="196"/>
        <v>7.41</v>
      </c>
      <c r="AD86" s="262">
        <f t="shared" si="197"/>
        <v>7.41</v>
      </c>
      <c r="AE86" s="456">
        <f t="shared" si="198"/>
        <v>22.23</v>
      </c>
      <c r="AF86" s="448">
        <f t="shared" si="199"/>
        <v>0</v>
      </c>
      <c r="AG86" s="262">
        <f t="shared" si="200"/>
        <v>0</v>
      </c>
      <c r="AH86" s="262">
        <f t="shared" si="217"/>
        <v>0</v>
      </c>
      <c r="AI86" s="262">
        <f t="shared" si="201"/>
        <v>0</v>
      </c>
      <c r="AJ86" s="289">
        <f t="shared" si="202"/>
        <v>0</v>
      </c>
      <c r="AK86" s="448">
        <f t="shared" si="203"/>
        <v>7.41</v>
      </c>
      <c r="AL86" s="262">
        <f t="shared" si="204"/>
        <v>7.41</v>
      </c>
      <c r="AM86" s="262">
        <f t="shared" si="205"/>
        <v>7.41</v>
      </c>
      <c r="AN86" s="262">
        <f t="shared" si="206"/>
        <v>22.23</v>
      </c>
      <c r="AO86" s="289">
        <f t="shared" si="207"/>
        <v>1</v>
      </c>
      <c r="AP86" s="74"/>
      <c r="AQ86" s="1" t="s">
        <v>954</v>
      </c>
      <c r="AR86" s="98" t="s">
        <v>0</v>
      </c>
      <c r="AS86" s="18" t="s">
        <v>11</v>
      </c>
      <c r="AT86" s="245"/>
      <c r="AU86" s="99">
        <f t="shared" si="208"/>
        <v>0</v>
      </c>
      <c r="AV86" s="99">
        <v>0</v>
      </c>
      <c r="AW86" s="99">
        <f t="shared" si="209"/>
        <v>0</v>
      </c>
      <c r="AX86" s="99">
        <v>0</v>
      </c>
      <c r="AY86" s="100">
        <f t="shared" si="210"/>
        <v>0</v>
      </c>
      <c r="BA86" s="113" t="s">
        <v>991</v>
      </c>
      <c r="BC86" s="1">
        <v>3.56</v>
      </c>
      <c r="BP86" s="9" t="s">
        <v>174</v>
      </c>
      <c r="BR86" s="9" t="s">
        <v>171</v>
      </c>
      <c r="BS86" s="9" t="s">
        <v>42</v>
      </c>
      <c r="BW86" s="9" t="s">
        <v>148</v>
      </c>
      <c r="CC86" s="72">
        <f t="shared" si="211"/>
        <v>0</v>
      </c>
      <c r="CD86" s="72">
        <f t="shared" si="212"/>
        <v>7.41</v>
      </c>
      <c r="CE86" s="72">
        <f t="shared" si="213"/>
        <v>0</v>
      </c>
      <c r="CF86" s="72">
        <f t="shared" si="214"/>
        <v>0</v>
      </c>
      <c r="CG86" s="72">
        <f t="shared" si="215"/>
        <v>0</v>
      </c>
      <c r="CH86" s="9" t="s">
        <v>42</v>
      </c>
      <c r="CI86" s="101">
        <f t="shared" si="216"/>
        <v>7.41</v>
      </c>
      <c r="CJ86" s="9" t="s">
        <v>169</v>
      </c>
      <c r="CK86" s="9" t="s">
        <v>507</v>
      </c>
    </row>
    <row r="87" spans="2:89" s="1" customFormat="1" ht="31.5" customHeight="1">
      <c r="B87" s="73"/>
      <c r="C87" s="102"/>
      <c r="D87" s="102" t="s">
        <v>171</v>
      </c>
      <c r="E87" s="103" t="s">
        <v>203</v>
      </c>
      <c r="F87" s="507" t="s">
        <v>204</v>
      </c>
      <c r="G87" s="508"/>
      <c r="H87" s="508"/>
      <c r="I87" s="509"/>
      <c r="J87" s="104" t="s">
        <v>168</v>
      </c>
      <c r="K87" s="223">
        <v>33</v>
      </c>
      <c r="L87" s="223">
        <v>33</v>
      </c>
      <c r="M87" s="223">
        <v>33</v>
      </c>
      <c r="N87" s="428">
        <f t="shared" si="187"/>
        <v>99</v>
      </c>
      <c r="O87" s="278">
        <v>0</v>
      </c>
      <c r="P87" s="223">
        <v>0</v>
      </c>
      <c r="Q87" s="223">
        <v>0</v>
      </c>
      <c r="R87" s="257">
        <f t="shared" si="188"/>
        <v>0</v>
      </c>
      <c r="S87" s="289">
        <f t="shared" si="189"/>
        <v>0</v>
      </c>
      <c r="T87" s="278">
        <f t="shared" si="190"/>
        <v>33</v>
      </c>
      <c r="U87" s="223">
        <f t="shared" si="191"/>
        <v>33</v>
      </c>
      <c r="V87" s="223">
        <f t="shared" si="192"/>
        <v>33</v>
      </c>
      <c r="W87" s="257">
        <f t="shared" si="193"/>
        <v>99</v>
      </c>
      <c r="X87" s="289">
        <f t="shared" si="194"/>
        <v>1</v>
      </c>
      <c r="Y87" s="264">
        <v>1.04</v>
      </c>
      <c r="Z87" s="264">
        <v>1.04</v>
      </c>
      <c r="AA87" s="264">
        <v>1.04</v>
      </c>
      <c r="AB87" s="262">
        <f t="shared" si="195"/>
        <v>34.32</v>
      </c>
      <c r="AC87" s="262">
        <f t="shared" si="196"/>
        <v>34.32</v>
      </c>
      <c r="AD87" s="262">
        <f t="shared" si="197"/>
        <v>34.32</v>
      </c>
      <c r="AE87" s="456">
        <f t="shared" si="198"/>
        <v>102.96000000000001</v>
      </c>
      <c r="AF87" s="448">
        <f t="shared" si="199"/>
        <v>0</v>
      </c>
      <c r="AG87" s="262">
        <f t="shared" si="200"/>
        <v>0</v>
      </c>
      <c r="AH87" s="262">
        <f t="shared" si="217"/>
        <v>0</v>
      </c>
      <c r="AI87" s="262">
        <f t="shared" si="201"/>
        <v>0</v>
      </c>
      <c r="AJ87" s="289">
        <f t="shared" si="202"/>
        <v>0</v>
      </c>
      <c r="AK87" s="448">
        <f t="shared" si="203"/>
        <v>34.32</v>
      </c>
      <c r="AL87" s="262">
        <f t="shared" si="204"/>
        <v>34.32</v>
      </c>
      <c r="AM87" s="262">
        <f t="shared" si="205"/>
        <v>34.32</v>
      </c>
      <c r="AN87" s="262">
        <f t="shared" si="206"/>
        <v>102.96000000000001</v>
      </c>
      <c r="AO87" s="289">
        <f t="shared" si="207"/>
        <v>1</v>
      </c>
      <c r="AP87" s="74"/>
      <c r="AQ87" s="1" t="s">
        <v>954</v>
      </c>
      <c r="AR87" s="98" t="s">
        <v>0</v>
      </c>
      <c r="AS87" s="18" t="s">
        <v>11</v>
      </c>
      <c r="AT87" s="245"/>
      <c r="AU87" s="99">
        <f t="shared" si="208"/>
        <v>0</v>
      </c>
      <c r="AV87" s="99">
        <v>0</v>
      </c>
      <c r="AW87" s="99">
        <f t="shared" si="209"/>
        <v>0</v>
      </c>
      <c r="AX87" s="99">
        <v>0</v>
      </c>
      <c r="AY87" s="100">
        <f t="shared" si="210"/>
        <v>0</v>
      </c>
      <c r="BA87" s="113" t="s">
        <v>991</v>
      </c>
      <c r="BC87" s="1">
        <v>3.56</v>
      </c>
      <c r="BP87" s="9" t="s">
        <v>174</v>
      </c>
      <c r="BR87" s="9" t="s">
        <v>171</v>
      </c>
      <c r="BS87" s="9" t="s">
        <v>42</v>
      </c>
      <c r="BW87" s="9" t="s">
        <v>148</v>
      </c>
      <c r="CC87" s="72">
        <f t="shared" si="211"/>
        <v>0</v>
      </c>
      <c r="CD87" s="72">
        <f t="shared" si="212"/>
        <v>34.32</v>
      </c>
      <c r="CE87" s="72">
        <f t="shared" si="213"/>
        <v>0</v>
      </c>
      <c r="CF87" s="72">
        <f t="shared" si="214"/>
        <v>0</v>
      </c>
      <c r="CG87" s="72">
        <f t="shared" si="215"/>
        <v>0</v>
      </c>
      <c r="CH87" s="9" t="s">
        <v>42</v>
      </c>
      <c r="CI87" s="101">
        <f t="shared" si="216"/>
        <v>34.32</v>
      </c>
      <c r="CJ87" s="9" t="s">
        <v>169</v>
      </c>
      <c r="CK87" s="9" t="s">
        <v>507</v>
      </c>
    </row>
    <row r="88" spans="2:89" s="1" customFormat="1" ht="31.5" customHeight="1">
      <c r="B88" s="73"/>
      <c r="C88" s="102"/>
      <c r="D88" s="93" t="s">
        <v>149</v>
      </c>
      <c r="E88" s="94" t="s">
        <v>461</v>
      </c>
      <c r="F88" s="498" t="s">
        <v>462</v>
      </c>
      <c r="G88" s="498"/>
      <c r="H88" s="498"/>
      <c r="I88" s="498"/>
      <c r="J88" s="95" t="s">
        <v>198</v>
      </c>
      <c r="K88" s="262">
        <f>8.1+3+3</f>
        <v>14.1</v>
      </c>
      <c r="L88" s="262">
        <f>8.1+3+3</f>
        <v>14.1</v>
      </c>
      <c r="M88" s="262">
        <f>8.1+3+3</f>
        <v>14.1</v>
      </c>
      <c r="N88" s="306">
        <f t="shared" si="187"/>
        <v>42.3</v>
      </c>
      <c r="O88" s="448">
        <v>0</v>
      </c>
      <c r="P88" s="262">
        <v>0</v>
      </c>
      <c r="Q88" s="262">
        <v>0</v>
      </c>
      <c r="R88" s="220">
        <f t="shared" si="188"/>
        <v>0</v>
      </c>
      <c r="S88" s="289">
        <f t="shared" si="189"/>
        <v>0</v>
      </c>
      <c r="T88" s="448">
        <f t="shared" si="190"/>
        <v>14.1</v>
      </c>
      <c r="U88" s="262">
        <f t="shared" si="191"/>
        <v>14.1</v>
      </c>
      <c r="V88" s="262">
        <f t="shared" si="192"/>
        <v>14.1</v>
      </c>
      <c r="W88" s="220">
        <f t="shared" si="193"/>
        <v>42.3</v>
      </c>
      <c r="X88" s="289">
        <f t="shared" si="194"/>
        <v>1</v>
      </c>
      <c r="Y88" s="263">
        <v>17.399999999999999</v>
      </c>
      <c r="Z88" s="263">
        <v>17.399999999999999</v>
      </c>
      <c r="AA88" s="263">
        <v>17.399999999999999</v>
      </c>
      <c r="AB88" s="262">
        <f t="shared" si="195"/>
        <v>245.34</v>
      </c>
      <c r="AC88" s="262">
        <f t="shared" si="196"/>
        <v>245.34</v>
      </c>
      <c r="AD88" s="262">
        <f t="shared" si="197"/>
        <v>245.34</v>
      </c>
      <c r="AE88" s="456">
        <f t="shared" si="198"/>
        <v>736.02</v>
      </c>
      <c r="AF88" s="448">
        <f t="shared" si="199"/>
        <v>0</v>
      </c>
      <c r="AG88" s="262">
        <f t="shared" si="200"/>
        <v>0</v>
      </c>
      <c r="AH88" s="262">
        <f t="shared" si="217"/>
        <v>0</v>
      </c>
      <c r="AI88" s="262">
        <f t="shared" si="201"/>
        <v>0</v>
      </c>
      <c r="AJ88" s="289">
        <f t="shared" si="202"/>
        <v>0</v>
      </c>
      <c r="AK88" s="448">
        <f t="shared" si="203"/>
        <v>245.34</v>
      </c>
      <c r="AL88" s="262">
        <f t="shared" si="204"/>
        <v>245.34</v>
      </c>
      <c r="AM88" s="262">
        <f t="shared" si="205"/>
        <v>245.34</v>
      </c>
      <c r="AN88" s="262">
        <f t="shared" si="206"/>
        <v>736.02</v>
      </c>
      <c r="AO88" s="289">
        <f t="shared" si="207"/>
        <v>1</v>
      </c>
      <c r="AP88" s="74"/>
      <c r="AQ88" s="1" t="s">
        <v>954</v>
      </c>
      <c r="AR88" s="98" t="s">
        <v>0</v>
      </c>
      <c r="AS88" s="18" t="s">
        <v>11</v>
      </c>
      <c r="AT88" s="245"/>
      <c r="AU88" s="99">
        <f t="shared" si="208"/>
        <v>0</v>
      </c>
      <c r="AV88" s="99">
        <v>0</v>
      </c>
      <c r="AW88" s="99">
        <f t="shared" si="209"/>
        <v>0</v>
      </c>
      <c r="AX88" s="99">
        <v>0</v>
      </c>
      <c r="AY88" s="100">
        <f t="shared" si="210"/>
        <v>0</v>
      </c>
      <c r="BA88" s="113" t="s">
        <v>991</v>
      </c>
      <c r="BC88" s="1">
        <v>3.56</v>
      </c>
      <c r="BP88" s="9" t="s">
        <v>174</v>
      </c>
      <c r="BR88" s="9" t="s">
        <v>171</v>
      </c>
      <c r="BS88" s="9" t="s">
        <v>42</v>
      </c>
      <c r="BW88" s="9" t="s">
        <v>148</v>
      </c>
      <c r="CC88" s="72">
        <f t="shared" si="211"/>
        <v>0</v>
      </c>
      <c r="CD88" s="72">
        <f t="shared" si="212"/>
        <v>245.34</v>
      </c>
      <c r="CE88" s="72">
        <f t="shared" si="213"/>
        <v>0</v>
      </c>
      <c r="CF88" s="72">
        <f t="shared" si="214"/>
        <v>0</v>
      </c>
      <c r="CG88" s="72">
        <f t="shared" si="215"/>
        <v>0</v>
      </c>
      <c r="CH88" s="9" t="s">
        <v>42</v>
      </c>
      <c r="CI88" s="101">
        <f t="shared" si="216"/>
        <v>245.34</v>
      </c>
      <c r="CJ88" s="9" t="s">
        <v>169</v>
      </c>
      <c r="CK88" s="9" t="s">
        <v>507</v>
      </c>
    </row>
    <row r="89" spans="2:89" s="1" customFormat="1" ht="40.5" customHeight="1">
      <c r="B89" s="73"/>
      <c r="C89" s="102"/>
      <c r="D89" s="93" t="s">
        <v>149</v>
      </c>
      <c r="E89" s="94" t="s">
        <v>196</v>
      </c>
      <c r="F89" s="500" t="s">
        <v>197</v>
      </c>
      <c r="G89" s="501"/>
      <c r="H89" s="501"/>
      <c r="I89" s="502"/>
      <c r="J89" s="95" t="s">
        <v>198</v>
      </c>
      <c r="K89" s="262">
        <f t="shared" ref="K89:M89" si="218">8.1+3+3</f>
        <v>14.1</v>
      </c>
      <c r="L89" s="262">
        <f t="shared" si="218"/>
        <v>14.1</v>
      </c>
      <c r="M89" s="262">
        <f t="shared" si="218"/>
        <v>14.1</v>
      </c>
      <c r="N89" s="306">
        <f t="shared" si="187"/>
        <v>42.3</v>
      </c>
      <c r="O89" s="448">
        <v>0</v>
      </c>
      <c r="P89" s="262">
        <v>0</v>
      </c>
      <c r="Q89" s="262">
        <v>0</v>
      </c>
      <c r="R89" s="220">
        <f t="shared" si="188"/>
        <v>0</v>
      </c>
      <c r="S89" s="289">
        <f t="shared" si="189"/>
        <v>0</v>
      </c>
      <c r="T89" s="448">
        <f t="shared" si="190"/>
        <v>14.1</v>
      </c>
      <c r="U89" s="262">
        <f t="shared" si="191"/>
        <v>14.1</v>
      </c>
      <c r="V89" s="262">
        <f t="shared" si="192"/>
        <v>14.1</v>
      </c>
      <c r="W89" s="220">
        <f t="shared" si="193"/>
        <v>42.3</v>
      </c>
      <c r="X89" s="289">
        <f t="shared" si="194"/>
        <v>1</v>
      </c>
      <c r="Y89" s="263">
        <v>8.32</v>
      </c>
      <c r="Z89" s="263">
        <v>8.32</v>
      </c>
      <c r="AA89" s="263">
        <v>8.32</v>
      </c>
      <c r="AB89" s="262">
        <f t="shared" si="195"/>
        <v>117.312</v>
      </c>
      <c r="AC89" s="262">
        <f t="shared" si="196"/>
        <v>117.312</v>
      </c>
      <c r="AD89" s="262">
        <f t="shared" si="197"/>
        <v>117.312</v>
      </c>
      <c r="AE89" s="456">
        <f t="shared" si="198"/>
        <v>351.93599999999998</v>
      </c>
      <c r="AF89" s="448">
        <f t="shared" si="199"/>
        <v>0</v>
      </c>
      <c r="AG89" s="262">
        <f t="shared" si="200"/>
        <v>0</v>
      </c>
      <c r="AH89" s="262">
        <f t="shared" si="217"/>
        <v>0</v>
      </c>
      <c r="AI89" s="262">
        <f t="shared" si="201"/>
        <v>0</v>
      </c>
      <c r="AJ89" s="289">
        <f t="shared" si="202"/>
        <v>0</v>
      </c>
      <c r="AK89" s="448">
        <f t="shared" si="203"/>
        <v>117.312</v>
      </c>
      <c r="AL89" s="262">
        <f t="shared" si="204"/>
        <v>117.312</v>
      </c>
      <c r="AM89" s="262">
        <f t="shared" si="205"/>
        <v>117.312</v>
      </c>
      <c r="AN89" s="262">
        <f t="shared" si="206"/>
        <v>351.93599999999998</v>
      </c>
      <c r="AO89" s="289">
        <f t="shared" si="207"/>
        <v>1</v>
      </c>
      <c r="AP89" s="74"/>
      <c r="AQ89" s="1" t="s">
        <v>954</v>
      </c>
      <c r="AR89" s="98" t="s">
        <v>0</v>
      </c>
      <c r="AS89" s="18" t="s">
        <v>11</v>
      </c>
      <c r="AT89" s="245"/>
      <c r="AU89" s="99">
        <f t="shared" si="208"/>
        <v>0</v>
      </c>
      <c r="AV89" s="99">
        <v>0</v>
      </c>
      <c r="AW89" s="99">
        <f t="shared" si="209"/>
        <v>0</v>
      </c>
      <c r="AX89" s="99">
        <v>0</v>
      </c>
      <c r="AY89" s="100">
        <f t="shared" si="210"/>
        <v>0</v>
      </c>
      <c r="BA89" s="113" t="s">
        <v>991</v>
      </c>
      <c r="BC89" s="1">
        <v>3.56</v>
      </c>
      <c r="BP89" s="9" t="s">
        <v>174</v>
      </c>
      <c r="BR89" s="9" t="s">
        <v>171</v>
      </c>
      <c r="BS89" s="9" t="s">
        <v>42</v>
      </c>
      <c r="BW89" s="9" t="s">
        <v>148</v>
      </c>
      <c r="CC89" s="72">
        <f t="shared" si="211"/>
        <v>0</v>
      </c>
      <c r="CD89" s="72">
        <f t="shared" si="212"/>
        <v>117.312</v>
      </c>
      <c r="CE89" s="72">
        <f t="shared" si="213"/>
        <v>0</v>
      </c>
      <c r="CF89" s="72">
        <f t="shared" si="214"/>
        <v>0</v>
      </c>
      <c r="CG89" s="72">
        <f t="shared" si="215"/>
        <v>0</v>
      </c>
      <c r="CH89" s="9" t="s">
        <v>42</v>
      </c>
      <c r="CI89" s="101">
        <f t="shared" si="216"/>
        <v>117.312</v>
      </c>
      <c r="CJ89" s="9" t="s">
        <v>169</v>
      </c>
      <c r="CK89" s="9" t="s">
        <v>507</v>
      </c>
    </row>
    <row r="90" spans="2:89" s="1" customFormat="1" ht="42.75" customHeight="1">
      <c r="B90" s="73"/>
      <c r="C90" s="102"/>
      <c r="D90" s="93" t="s">
        <v>149</v>
      </c>
      <c r="E90" s="94" t="s">
        <v>206</v>
      </c>
      <c r="F90" s="500" t="s">
        <v>1391</v>
      </c>
      <c r="G90" s="501"/>
      <c r="H90" s="501"/>
      <c r="I90" s="502"/>
      <c r="J90" s="95" t="s">
        <v>198</v>
      </c>
      <c r="K90" s="262">
        <f>8.1+6</f>
        <v>14.1</v>
      </c>
      <c r="L90" s="262">
        <f>8.1+6</f>
        <v>14.1</v>
      </c>
      <c r="M90" s="262">
        <f>8.1+6</f>
        <v>14.1</v>
      </c>
      <c r="N90" s="306">
        <f t="shared" si="187"/>
        <v>42.3</v>
      </c>
      <c r="O90" s="448">
        <v>0</v>
      </c>
      <c r="P90" s="262">
        <v>0</v>
      </c>
      <c r="Q90" s="262">
        <v>0</v>
      </c>
      <c r="R90" s="220">
        <f t="shared" si="188"/>
        <v>0</v>
      </c>
      <c r="S90" s="289">
        <f t="shared" si="189"/>
        <v>0</v>
      </c>
      <c r="T90" s="448">
        <f t="shared" si="190"/>
        <v>14.1</v>
      </c>
      <c r="U90" s="262">
        <f t="shared" si="191"/>
        <v>14.1</v>
      </c>
      <c r="V90" s="262">
        <f t="shared" si="192"/>
        <v>14.1</v>
      </c>
      <c r="W90" s="220">
        <f t="shared" si="193"/>
        <v>42.3</v>
      </c>
      <c r="X90" s="289">
        <f t="shared" si="194"/>
        <v>1</v>
      </c>
      <c r="Y90" s="230">
        <v>1.87</v>
      </c>
      <c r="Z90" s="230">
        <v>1.87</v>
      </c>
      <c r="AA90" s="230">
        <v>1.87</v>
      </c>
      <c r="AB90" s="262">
        <f t="shared" si="195"/>
        <v>26.367000000000001</v>
      </c>
      <c r="AC90" s="262">
        <f t="shared" si="196"/>
        <v>26.367000000000001</v>
      </c>
      <c r="AD90" s="262">
        <f t="shared" si="197"/>
        <v>26.367000000000001</v>
      </c>
      <c r="AE90" s="456">
        <f t="shared" si="198"/>
        <v>79.100999999999999</v>
      </c>
      <c r="AF90" s="448">
        <f t="shared" si="199"/>
        <v>0</v>
      </c>
      <c r="AG90" s="262">
        <f t="shared" si="200"/>
        <v>0</v>
      </c>
      <c r="AH90" s="262">
        <f t="shared" si="217"/>
        <v>0</v>
      </c>
      <c r="AI90" s="262">
        <f t="shared" si="201"/>
        <v>0</v>
      </c>
      <c r="AJ90" s="289">
        <f t="shared" si="202"/>
        <v>0</v>
      </c>
      <c r="AK90" s="448">
        <f t="shared" si="203"/>
        <v>26.367000000000001</v>
      </c>
      <c r="AL90" s="262">
        <f t="shared" si="204"/>
        <v>26.367000000000001</v>
      </c>
      <c r="AM90" s="262">
        <f t="shared" si="205"/>
        <v>26.367000000000001</v>
      </c>
      <c r="AN90" s="262">
        <f t="shared" si="206"/>
        <v>79.100999999999999</v>
      </c>
      <c r="AO90" s="289">
        <f t="shared" si="207"/>
        <v>1</v>
      </c>
      <c r="AP90" s="74"/>
      <c r="AQ90" s="1" t="s">
        <v>954</v>
      </c>
      <c r="AR90" s="98" t="s">
        <v>0</v>
      </c>
      <c r="AS90" s="18" t="s">
        <v>11</v>
      </c>
      <c r="AT90" s="245"/>
      <c r="AU90" s="99">
        <f t="shared" si="208"/>
        <v>0</v>
      </c>
      <c r="AV90" s="99">
        <v>0</v>
      </c>
      <c r="AW90" s="99">
        <f t="shared" si="209"/>
        <v>0</v>
      </c>
      <c r="AX90" s="99">
        <v>0</v>
      </c>
      <c r="AY90" s="100">
        <f t="shared" si="210"/>
        <v>0</v>
      </c>
      <c r="BA90" s="113" t="s">
        <v>991</v>
      </c>
      <c r="BC90" s="1">
        <v>3.56</v>
      </c>
      <c r="BP90" s="9" t="s">
        <v>174</v>
      </c>
      <c r="BR90" s="9" t="s">
        <v>171</v>
      </c>
      <c r="BS90" s="9" t="s">
        <v>42</v>
      </c>
      <c r="BW90" s="9" t="s">
        <v>148</v>
      </c>
      <c r="CC90" s="72">
        <f t="shared" si="211"/>
        <v>0</v>
      </c>
      <c r="CD90" s="72">
        <f t="shared" si="212"/>
        <v>26.367000000000001</v>
      </c>
      <c r="CE90" s="72">
        <f t="shared" si="213"/>
        <v>0</v>
      </c>
      <c r="CF90" s="72">
        <f t="shared" si="214"/>
        <v>0</v>
      </c>
      <c r="CG90" s="72">
        <f t="shared" si="215"/>
        <v>0</v>
      </c>
      <c r="CH90" s="9" t="s">
        <v>42</v>
      </c>
      <c r="CI90" s="101">
        <f t="shared" si="216"/>
        <v>26.367000000000001</v>
      </c>
      <c r="CJ90" s="9" t="s">
        <v>169</v>
      </c>
      <c r="CK90" s="9" t="s">
        <v>507</v>
      </c>
    </row>
    <row r="91" spans="2:89" s="1" customFormat="1" ht="31.5" customHeight="1">
      <c r="B91" s="73"/>
      <c r="C91" s="102"/>
      <c r="D91" s="102" t="s">
        <v>171</v>
      </c>
      <c r="E91" s="103" t="s">
        <v>209</v>
      </c>
      <c r="F91" s="507" t="s">
        <v>210</v>
      </c>
      <c r="G91" s="508"/>
      <c r="H91" s="508"/>
      <c r="I91" s="509"/>
      <c r="J91" s="104" t="s">
        <v>184</v>
      </c>
      <c r="K91" s="223">
        <v>273</v>
      </c>
      <c r="L91" s="223">
        <v>273</v>
      </c>
      <c r="M91" s="223">
        <v>273</v>
      </c>
      <c r="N91" s="428">
        <f t="shared" si="187"/>
        <v>819</v>
      </c>
      <c r="O91" s="278">
        <v>0</v>
      </c>
      <c r="P91" s="223">
        <v>0</v>
      </c>
      <c r="Q91" s="223">
        <v>0</v>
      </c>
      <c r="R91" s="257">
        <f t="shared" si="188"/>
        <v>0</v>
      </c>
      <c r="S91" s="289">
        <f t="shared" si="189"/>
        <v>0</v>
      </c>
      <c r="T91" s="278">
        <f t="shared" si="190"/>
        <v>273</v>
      </c>
      <c r="U91" s="223">
        <f t="shared" si="191"/>
        <v>273</v>
      </c>
      <c r="V91" s="223">
        <f t="shared" si="192"/>
        <v>273</v>
      </c>
      <c r="W91" s="257">
        <f t="shared" si="193"/>
        <v>819</v>
      </c>
      <c r="X91" s="289">
        <f t="shared" si="194"/>
        <v>1</v>
      </c>
      <c r="Y91" s="264">
        <v>0.26</v>
      </c>
      <c r="Z91" s="264">
        <v>0.26</v>
      </c>
      <c r="AA91" s="264">
        <v>0.26</v>
      </c>
      <c r="AB91" s="262">
        <f t="shared" si="195"/>
        <v>70.98</v>
      </c>
      <c r="AC91" s="262">
        <f t="shared" si="196"/>
        <v>70.98</v>
      </c>
      <c r="AD91" s="262">
        <f t="shared" si="197"/>
        <v>70.98</v>
      </c>
      <c r="AE91" s="456">
        <f t="shared" si="198"/>
        <v>212.94</v>
      </c>
      <c r="AF91" s="448">
        <f t="shared" si="199"/>
        <v>0</v>
      </c>
      <c r="AG91" s="262">
        <f t="shared" si="200"/>
        <v>0</v>
      </c>
      <c r="AH91" s="262">
        <f t="shared" si="217"/>
        <v>0</v>
      </c>
      <c r="AI91" s="262">
        <f t="shared" si="201"/>
        <v>0</v>
      </c>
      <c r="AJ91" s="289">
        <f t="shared" si="202"/>
        <v>0</v>
      </c>
      <c r="AK91" s="448">
        <f t="shared" si="203"/>
        <v>70.98</v>
      </c>
      <c r="AL91" s="262">
        <f t="shared" si="204"/>
        <v>70.98</v>
      </c>
      <c r="AM91" s="262">
        <f t="shared" si="205"/>
        <v>70.98</v>
      </c>
      <c r="AN91" s="262">
        <f t="shared" si="206"/>
        <v>212.94</v>
      </c>
      <c r="AO91" s="289">
        <f t="shared" si="207"/>
        <v>1</v>
      </c>
      <c r="AP91" s="74"/>
      <c r="AQ91" s="1" t="s">
        <v>954</v>
      </c>
      <c r="AR91" s="98" t="s">
        <v>0</v>
      </c>
      <c r="AS91" s="18" t="s">
        <v>11</v>
      </c>
      <c r="AT91" s="245"/>
      <c r="AU91" s="99">
        <f t="shared" si="208"/>
        <v>0</v>
      </c>
      <c r="AV91" s="99">
        <v>0</v>
      </c>
      <c r="AW91" s="99">
        <f t="shared" si="209"/>
        <v>0</v>
      </c>
      <c r="AX91" s="99">
        <v>0</v>
      </c>
      <c r="AY91" s="100">
        <f t="shared" si="210"/>
        <v>0</v>
      </c>
      <c r="BA91" s="113" t="s">
        <v>991</v>
      </c>
      <c r="BC91" s="1">
        <v>3.56</v>
      </c>
      <c r="BP91" s="9" t="s">
        <v>174</v>
      </c>
      <c r="BR91" s="9" t="s">
        <v>171</v>
      </c>
      <c r="BS91" s="9" t="s">
        <v>42</v>
      </c>
      <c r="BW91" s="9" t="s">
        <v>148</v>
      </c>
      <c r="CC91" s="72">
        <f t="shared" si="211"/>
        <v>0</v>
      </c>
      <c r="CD91" s="72">
        <f t="shared" si="212"/>
        <v>70.98</v>
      </c>
      <c r="CE91" s="72">
        <f t="shared" si="213"/>
        <v>0</v>
      </c>
      <c r="CF91" s="72">
        <f t="shared" si="214"/>
        <v>0</v>
      </c>
      <c r="CG91" s="72">
        <f t="shared" si="215"/>
        <v>0</v>
      </c>
      <c r="CH91" s="9" t="s">
        <v>42</v>
      </c>
      <c r="CI91" s="101">
        <f t="shared" si="216"/>
        <v>70.98</v>
      </c>
      <c r="CJ91" s="9" t="s">
        <v>169</v>
      </c>
      <c r="CK91" s="9" t="s">
        <v>507</v>
      </c>
    </row>
    <row r="92" spans="2:89" s="1" customFormat="1" ht="31.5" customHeight="1">
      <c r="B92" s="73"/>
      <c r="C92" s="102"/>
      <c r="D92" s="102" t="s">
        <v>171</v>
      </c>
      <c r="E92" s="103" t="s">
        <v>212</v>
      </c>
      <c r="F92" s="507" t="s">
        <v>1392</v>
      </c>
      <c r="G92" s="508"/>
      <c r="H92" s="508"/>
      <c r="I92" s="509"/>
      <c r="J92" s="104" t="s">
        <v>168</v>
      </c>
      <c r="K92" s="223">
        <f>14.1*0.4*1.1</f>
        <v>6.2040000000000015</v>
      </c>
      <c r="L92" s="223">
        <f>14.1*0.4*1.1</f>
        <v>6.2040000000000015</v>
      </c>
      <c r="M92" s="223">
        <f>14.1*0.4*1.1</f>
        <v>6.2040000000000015</v>
      </c>
      <c r="N92" s="428">
        <f t="shared" ref="N92" si="219">SUM(K92:M92)</f>
        <v>18.612000000000005</v>
      </c>
      <c r="O92" s="278">
        <v>0</v>
      </c>
      <c r="P92" s="223">
        <v>0</v>
      </c>
      <c r="Q92" s="223">
        <v>0</v>
      </c>
      <c r="R92" s="257">
        <f t="shared" ref="R92" si="220">SUM(O92:Q92)</f>
        <v>0</v>
      </c>
      <c r="S92" s="289">
        <f t="shared" si="189"/>
        <v>0</v>
      </c>
      <c r="T92" s="278">
        <f t="shared" si="190"/>
        <v>6.2040000000000015</v>
      </c>
      <c r="U92" s="223">
        <f t="shared" si="191"/>
        <v>6.2040000000000015</v>
      </c>
      <c r="V92" s="223">
        <f t="shared" si="192"/>
        <v>6.2040000000000015</v>
      </c>
      <c r="W92" s="257">
        <f t="shared" ref="W92" si="221">SUM(T92:V92)</f>
        <v>18.612000000000005</v>
      </c>
      <c r="X92" s="289">
        <f t="shared" si="194"/>
        <v>1</v>
      </c>
      <c r="Y92" s="264">
        <v>10.66</v>
      </c>
      <c r="Z92" s="264">
        <v>10.66</v>
      </c>
      <c r="AA92" s="264">
        <v>10.66</v>
      </c>
      <c r="AB92" s="262">
        <f t="shared" si="195"/>
        <v>66.135000000000005</v>
      </c>
      <c r="AC92" s="262">
        <f t="shared" si="196"/>
        <v>66.135000000000005</v>
      </c>
      <c r="AD92" s="262">
        <f t="shared" si="197"/>
        <v>66.135000000000005</v>
      </c>
      <c r="AE92" s="456">
        <f t="shared" si="198"/>
        <v>198.40500000000003</v>
      </c>
      <c r="AF92" s="448">
        <f t="shared" si="199"/>
        <v>0</v>
      </c>
      <c r="AG92" s="262">
        <f t="shared" si="200"/>
        <v>0</v>
      </c>
      <c r="AH92" s="262">
        <f t="shared" si="217"/>
        <v>0</v>
      </c>
      <c r="AI92" s="262">
        <f t="shared" si="201"/>
        <v>0</v>
      </c>
      <c r="AJ92" s="289">
        <f t="shared" si="202"/>
        <v>0</v>
      </c>
      <c r="AK92" s="448">
        <f t="shared" si="203"/>
        <v>66.135000000000005</v>
      </c>
      <c r="AL92" s="262">
        <f t="shared" si="204"/>
        <v>66.135000000000005</v>
      </c>
      <c r="AM92" s="262">
        <f t="shared" si="205"/>
        <v>66.135000000000005</v>
      </c>
      <c r="AN92" s="262">
        <f t="shared" si="206"/>
        <v>198.40500000000003</v>
      </c>
      <c r="AO92" s="289">
        <f t="shared" si="207"/>
        <v>1</v>
      </c>
      <c r="AP92" s="74"/>
      <c r="AQ92" s="1" t="s">
        <v>954</v>
      </c>
      <c r="AR92" s="98" t="s">
        <v>0</v>
      </c>
      <c r="AS92" s="18" t="s">
        <v>11</v>
      </c>
      <c r="AT92" s="245"/>
      <c r="AU92" s="99">
        <f t="shared" si="208"/>
        <v>0</v>
      </c>
      <c r="AV92" s="99">
        <v>0</v>
      </c>
      <c r="AW92" s="99">
        <f t="shared" si="209"/>
        <v>0</v>
      </c>
      <c r="AX92" s="99">
        <v>0</v>
      </c>
      <c r="AY92" s="100">
        <f t="shared" si="210"/>
        <v>0</v>
      </c>
      <c r="BA92" s="113" t="s">
        <v>991</v>
      </c>
      <c r="BC92" s="1">
        <v>3.56</v>
      </c>
      <c r="BP92" s="9" t="s">
        <v>174</v>
      </c>
      <c r="BR92" s="9" t="s">
        <v>171</v>
      </c>
      <c r="BS92" s="9" t="s">
        <v>42</v>
      </c>
      <c r="BW92" s="9" t="s">
        <v>148</v>
      </c>
      <c r="CC92" s="72">
        <f t="shared" si="211"/>
        <v>0</v>
      </c>
      <c r="CD92" s="72">
        <f t="shared" si="212"/>
        <v>66.135000000000005</v>
      </c>
      <c r="CE92" s="72">
        <f t="shared" si="213"/>
        <v>0</v>
      </c>
      <c r="CF92" s="72">
        <f t="shared" si="214"/>
        <v>0</v>
      </c>
      <c r="CG92" s="72">
        <f t="shared" si="215"/>
        <v>0</v>
      </c>
      <c r="CH92" s="9" t="s">
        <v>42</v>
      </c>
      <c r="CI92" s="101">
        <f t="shared" si="216"/>
        <v>66.135000000000005</v>
      </c>
      <c r="CJ92" s="9" t="s">
        <v>169</v>
      </c>
      <c r="CK92" s="9" t="s">
        <v>507</v>
      </c>
    </row>
    <row r="93" spans="2:89" s="7" customFormat="1" ht="29.85" customHeight="1">
      <c r="B93" s="82"/>
      <c r="C93" s="83"/>
      <c r="D93" s="92" t="s">
        <v>335</v>
      </c>
      <c r="E93" s="92"/>
      <c r="F93" s="92"/>
      <c r="G93" s="92"/>
      <c r="H93" s="92"/>
      <c r="I93" s="92"/>
      <c r="J93" s="92"/>
      <c r="K93" s="219"/>
      <c r="L93" s="219"/>
      <c r="M93" s="219"/>
      <c r="N93" s="222"/>
      <c r="O93" s="219"/>
      <c r="P93" s="219"/>
      <c r="Q93" s="219"/>
      <c r="R93" s="222"/>
      <c r="S93" s="222"/>
      <c r="T93" s="219"/>
      <c r="U93" s="219"/>
      <c r="V93" s="219"/>
      <c r="W93" s="222"/>
      <c r="X93" s="222"/>
      <c r="Y93" s="219"/>
      <c r="Z93" s="219"/>
      <c r="AA93" s="219"/>
      <c r="AB93" s="260">
        <f t="shared" ref="AB93:AE93" si="222">SUM(AB94:AB95)</f>
        <v>0</v>
      </c>
      <c r="AC93" s="260">
        <f t="shared" si="222"/>
        <v>0</v>
      </c>
      <c r="AD93" s="260">
        <f t="shared" si="222"/>
        <v>365.21600000000001</v>
      </c>
      <c r="AE93" s="454">
        <f t="shared" si="222"/>
        <v>365.21600000000001</v>
      </c>
      <c r="AF93" s="260">
        <f t="shared" ref="AF93:AI93" si="223">SUM(AF94:AF95)</f>
        <v>0</v>
      </c>
      <c r="AG93" s="260">
        <f t="shared" si="223"/>
        <v>0</v>
      </c>
      <c r="AH93" s="260">
        <f t="shared" si="223"/>
        <v>0</v>
      </c>
      <c r="AI93" s="260">
        <f t="shared" si="223"/>
        <v>0</v>
      </c>
      <c r="AJ93" s="453"/>
      <c r="AK93" s="260">
        <f t="shared" ref="AK93:AN93" si="224">SUM(AK94:AK95)</f>
        <v>0</v>
      </c>
      <c r="AL93" s="260">
        <f t="shared" si="224"/>
        <v>0</v>
      </c>
      <c r="AM93" s="260">
        <f t="shared" si="224"/>
        <v>365.21600000000001</v>
      </c>
      <c r="AN93" s="260">
        <f t="shared" si="224"/>
        <v>365.21600000000001</v>
      </c>
      <c r="AO93" s="453"/>
      <c r="AP93" s="85"/>
      <c r="AR93" s="86"/>
      <c r="AS93" s="83"/>
      <c r="AT93" s="83"/>
      <c r="AU93" s="87">
        <f>SUM(AU94:AU95)</f>
        <v>0</v>
      </c>
      <c r="AV93" s="83"/>
      <c r="AW93" s="87">
        <f>SUM(AW94:AW95)</f>
        <v>0</v>
      </c>
      <c r="AX93" s="83"/>
      <c r="AY93" s="88">
        <f>SUM(AY94:AY95)</f>
        <v>0</v>
      </c>
      <c r="BP93" s="89" t="s">
        <v>42</v>
      </c>
      <c r="BR93" s="90" t="s">
        <v>30</v>
      </c>
      <c r="BS93" s="90" t="s">
        <v>38</v>
      </c>
      <c r="BW93" s="89" t="s">
        <v>148</v>
      </c>
      <c r="CI93" s="91">
        <f>SUM(CI94:CI95)</f>
        <v>0</v>
      </c>
    </row>
    <row r="94" spans="2:89" s="1" customFormat="1" ht="44.25" customHeight="1">
      <c r="B94" s="73"/>
      <c r="C94" s="93"/>
      <c r="D94" s="93" t="s">
        <v>149</v>
      </c>
      <c r="E94" s="94" t="s">
        <v>459</v>
      </c>
      <c r="F94" s="498" t="s">
        <v>460</v>
      </c>
      <c r="G94" s="498"/>
      <c r="H94" s="498"/>
      <c r="I94" s="498"/>
      <c r="J94" s="95" t="s">
        <v>198</v>
      </c>
      <c r="K94" s="211">
        <v>0</v>
      </c>
      <c r="L94" s="211">
        <v>0</v>
      </c>
      <c r="M94" s="211">
        <f>(8.1+6)*2-M42</f>
        <v>20.2</v>
      </c>
      <c r="N94" s="306">
        <f>SUM(K94:M94)</f>
        <v>20.2</v>
      </c>
      <c r="O94" s="277">
        <v>0</v>
      </c>
      <c r="P94" s="211">
        <v>0</v>
      </c>
      <c r="Q94" s="211">
        <v>0</v>
      </c>
      <c r="R94" s="220">
        <f>SUM(O94:Q94)</f>
        <v>0</v>
      </c>
      <c r="S94" s="289">
        <f t="shared" ref="S94:S95" si="225">R94/N94</f>
        <v>0</v>
      </c>
      <c r="T94" s="277">
        <f t="shared" ref="T94:T95" si="226">K94-O94</f>
        <v>0</v>
      </c>
      <c r="U94" s="211">
        <f t="shared" ref="U94:U95" si="227">L94-P94</f>
        <v>0</v>
      </c>
      <c r="V94" s="211">
        <f t="shared" ref="V94:V95" si="228">M94-Q94</f>
        <v>20.2</v>
      </c>
      <c r="W94" s="220">
        <f>SUM(T94:V94)</f>
        <v>20.2</v>
      </c>
      <c r="X94" s="289">
        <f t="shared" ref="X94:X95" si="229">W94/N94</f>
        <v>1</v>
      </c>
      <c r="Y94" s="221">
        <v>0.68</v>
      </c>
      <c r="Z94" s="221">
        <v>0.68</v>
      </c>
      <c r="AA94" s="221">
        <v>0.68</v>
      </c>
      <c r="AB94" s="211">
        <f t="shared" ref="AB94:AD95" si="230">ROUND(Y94*K94,3)</f>
        <v>0</v>
      </c>
      <c r="AC94" s="211">
        <f t="shared" si="230"/>
        <v>0</v>
      </c>
      <c r="AD94" s="211">
        <f t="shared" si="230"/>
        <v>13.736000000000001</v>
      </c>
      <c r="AE94" s="295">
        <f>AB94+AC94+AD94</f>
        <v>13.736000000000001</v>
      </c>
      <c r="AF94" s="448">
        <f t="shared" ref="AF94:AF95" si="231">ROUND(Y94*O94,3)</f>
        <v>0</v>
      </c>
      <c r="AG94" s="448">
        <f t="shared" ref="AG94:AG95" si="232">ROUND(Z94*P94,3)</f>
        <v>0</v>
      </c>
      <c r="AH94" s="448">
        <f t="shared" ref="AH94:AH95" si="233">ROUND(AA94*Q94,3)</f>
        <v>0</v>
      </c>
      <c r="AI94" s="211">
        <f>AF94+AG94+AH94</f>
        <v>0</v>
      </c>
      <c r="AJ94" s="289">
        <f t="shared" ref="AJ94:AJ95" si="234">AI94/AE94</f>
        <v>0</v>
      </c>
      <c r="AK94" s="400">
        <f t="shared" ref="AK94:AK95" si="235">AB94-AF94</f>
        <v>0</v>
      </c>
      <c r="AL94" s="400">
        <f t="shared" ref="AL94:AL95" si="236">AC94-AG94</f>
        <v>0</v>
      </c>
      <c r="AM94" s="400">
        <f t="shared" ref="AM94:AM95" si="237">AD94-AH94</f>
        <v>13.736000000000001</v>
      </c>
      <c r="AN94" s="211">
        <f>AK94+AL94+AM94</f>
        <v>13.736000000000001</v>
      </c>
      <c r="AO94" s="289">
        <f t="shared" ref="AO94:AO95" si="238">AN94/AE94</f>
        <v>1</v>
      </c>
      <c r="AP94" s="74"/>
      <c r="AR94" s="98" t="s">
        <v>0</v>
      </c>
      <c r="AS94" s="18" t="s">
        <v>11</v>
      </c>
      <c r="AT94" s="205"/>
      <c r="AU94" s="99">
        <f>AT94*K94</f>
        <v>0</v>
      </c>
      <c r="AV94" s="99">
        <v>0</v>
      </c>
      <c r="AW94" s="99">
        <f>AV94*K94</f>
        <v>0</v>
      </c>
      <c r="AX94" s="99">
        <v>0</v>
      </c>
      <c r="AY94" s="100">
        <f>AX94*K94</f>
        <v>0</v>
      </c>
      <c r="BC94" s="1">
        <v>0.65</v>
      </c>
      <c r="BP94" s="9" t="s">
        <v>169</v>
      </c>
      <c r="BR94" s="9" t="s">
        <v>149</v>
      </c>
      <c r="BS94" s="9" t="s">
        <v>42</v>
      </c>
      <c r="BW94" s="9" t="s">
        <v>148</v>
      </c>
      <c r="CC94" s="72">
        <f>IF(AS94="základná",AB94,0)</f>
        <v>0</v>
      </c>
      <c r="CD94" s="72">
        <f>IF(AS94="znížená",AB94,0)</f>
        <v>0</v>
      </c>
      <c r="CE94" s="72">
        <f>IF(AS94="zákl. prenesená",AB94,0)</f>
        <v>0</v>
      </c>
      <c r="CF94" s="72">
        <f>IF(AS94="zníž. prenesená",AB94,0)</f>
        <v>0</v>
      </c>
      <c r="CG94" s="72">
        <f>IF(AS94="nulová",AB94,0)</f>
        <v>0</v>
      </c>
      <c r="CH94" s="9" t="s">
        <v>42</v>
      </c>
      <c r="CI94" s="101">
        <f>ROUND(Y94*K94,3)</f>
        <v>0</v>
      </c>
      <c r="CJ94" s="9" t="s">
        <v>169</v>
      </c>
      <c r="CK94" s="9" t="s">
        <v>509</v>
      </c>
    </row>
    <row r="95" spans="2:89" s="1" customFormat="1" ht="22.5" customHeight="1">
      <c r="B95" s="73"/>
      <c r="C95" s="93"/>
      <c r="D95" s="93" t="s">
        <v>149</v>
      </c>
      <c r="E95" s="94" t="s">
        <v>461</v>
      </c>
      <c r="F95" s="498" t="s">
        <v>462</v>
      </c>
      <c r="G95" s="498"/>
      <c r="H95" s="498"/>
      <c r="I95" s="498"/>
      <c r="J95" s="95" t="s">
        <v>198</v>
      </c>
      <c r="K95" s="211">
        <v>0</v>
      </c>
      <c r="L95" s="211">
        <v>0</v>
      </c>
      <c r="M95" s="211">
        <f>(8.1+6)*2-M43</f>
        <v>20.2</v>
      </c>
      <c r="N95" s="306">
        <f>SUM(K95:M95)</f>
        <v>20.2</v>
      </c>
      <c r="O95" s="277">
        <v>0</v>
      </c>
      <c r="P95" s="211">
        <v>0</v>
      </c>
      <c r="Q95" s="211">
        <v>0</v>
      </c>
      <c r="R95" s="220">
        <f>SUM(O95:Q95)</f>
        <v>0</v>
      </c>
      <c r="S95" s="289">
        <f t="shared" si="225"/>
        <v>0</v>
      </c>
      <c r="T95" s="277">
        <f t="shared" si="226"/>
        <v>0</v>
      </c>
      <c r="U95" s="211">
        <f t="shared" si="227"/>
        <v>0</v>
      </c>
      <c r="V95" s="211">
        <f t="shared" si="228"/>
        <v>20.2</v>
      </c>
      <c r="W95" s="220">
        <f>SUM(T95:V95)</f>
        <v>20.2</v>
      </c>
      <c r="X95" s="289">
        <f t="shared" si="229"/>
        <v>1</v>
      </c>
      <c r="Y95" s="221">
        <v>17.399999999999999</v>
      </c>
      <c r="Z95" s="221">
        <v>17.399999999999999</v>
      </c>
      <c r="AA95" s="221">
        <v>17.399999999999999</v>
      </c>
      <c r="AB95" s="211">
        <f t="shared" si="230"/>
        <v>0</v>
      </c>
      <c r="AC95" s="211">
        <f t="shared" si="230"/>
        <v>0</v>
      </c>
      <c r="AD95" s="211">
        <f t="shared" si="230"/>
        <v>351.48</v>
      </c>
      <c r="AE95" s="295">
        <f>AB95+AC95+AD95</f>
        <v>351.48</v>
      </c>
      <c r="AF95" s="448">
        <f t="shared" si="231"/>
        <v>0</v>
      </c>
      <c r="AG95" s="448">
        <f t="shared" si="232"/>
        <v>0</v>
      </c>
      <c r="AH95" s="448">
        <f t="shared" si="233"/>
        <v>0</v>
      </c>
      <c r="AI95" s="211">
        <f>AF95+AG95+AH95</f>
        <v>0</v>
      </c>
      <c r="AJ95" s="289">
        <f t="shared" si="234"/>
        <v>0</v>
      </c>
      <c r="AK95" s="400">
        <f t="shared" si="235"/>
        <v>0</v>
      </c>
      <c r="AL95" s="400">
        <f t="shared" si="236"/>
        <v>0</v>
      </c>
      <c r="AM95" s="400">
        <f t="shared" si="237"/>
        <v>351.48</v>
      </c>
      <c r="AN95" s="211">
        <f>AK95+AL95+AM95</f>
        <v>351.48</v>
      </c>
      <c r="AO95" s="289">
        <f t="shared" si="238"/>
        <v>1</v>
      </c>
      <c r="AP95" s="74"/>
      <c r="AQ95" s="1" t="s">
        <v>954</v>
      </c>
      <c r="AR95" s="98" t="s">
        <v>0</v>
      </c>
      <c r="AS95" s="18" t="s">
        <v>11</v>
      </c>
      <c r="AT95" s="205"/>
      <c r="AU95" s="99">
        <f>AT95*K95</f>
        <v>0</v>
      </c>
      <c r="AV95" s="99">
        <v>0</v>
      </c>
      <c r="AW95" s="99">
        <f>AV95*K95</f>
        <v>0</v>
      </c>
      <c r="AX95" s="99">
        <v>0</v>
      </c>
      <c r="AY95" s="100">
        <f>AX95*K95</f>
        <v>0</v>
      </c>
      <c r="BA95" s="113" t="s">
        <v>995</v>
      </c>
      <c r="BC95" s="1">
        <v>16.73</v>
      </c>
      <c r="BP95" s="9" t="s">
        <v>169</v>
      </c>
      <c r="BR95" s="9" t="s">
        <v>149</v>
      </c>
      <c r="BS95" s="9" t="s">
        <v>42</v>
      </c>
      <c r="BW95" s="9" t="s">
        <v>148</v>
      </c>
      <c r="CC95" s="72">
        <f>IF(AS95="základná",AB95,0)</f>
        <v>0</v>
      </c>
      <c r="CD95" s="72">
        <f>IF(AS95="znížená",AB95,0)</f>
        <v>0</v>
      </c>
      <c r="CE95" s="72">
        <f>IF(AS95="zákl. prenesená",AB95,0)</f>
        <v>0</v>
      </c>
      <c r="CF95" s="72">
        <f>IF(AS95="zníž. prenesená",AB95,0)</f>
        <v>0</v>
      </c>
      <c r="CG95" s="72">
        <f>IF(AS95="nulová",AB95,0)</f>
        <v>0</v>
      </c>
      <c r="CH95" s="9" t="s">
        <v>42</v>
      </c>
      <c r="CI95" s="101">
        <f>ROUND(Y95*K95,3)</f>
        <v>0</v>
      </c>
      <c r="CJ95" s="9" t="s">
        <v>169</v>
      </c>
      <c r="CK95" s="9" t="s">
        <v>510</v>
      </c>
    </row>
    <row r="96" spans="2:89" s="7" customFormat="1" ht="29.85" customHeight="1">
      <c r="B96" s="82"/>
      <c r="C96" s="83"/>
      <c r="D96" s="92" t="s">
        <v>247</v>
      </c>
      <c r="E96" s="92"/>
      <c r="F96" s="92"/>
      <c r="G96" s="92"/>
      <c r="H96" s="92"/>
      <c r="I96" s="92"/>
      <c r="J96" s="92"/>
      <c r="K96" s="219"/>
      <c r="L96" s="219"/>
      <c r="M96" s="219"/>
      <c r="N96" s="222"/>
      <c r="O96" s="219"/>
      <c r="P96" s="219"/>
      <c r="Q96" s="219"/>
      <c r="R96" s="222"/>
      <c r="S96" s="452"/>
      <c r="T96" s="219"/>
      <c r="U96" s="219"/>
      <c r="V96" s="219"/>
      <c r="W96" s="222"/>
      <c r="X96" s="452"/>
      <c r="Y96" s="219"/>
      <c r="Z96" s="219"/>
      <c r="AA96" s="219"/>
      <c r="AB96" s="260">
        <f>SUM(AB97:AB99)</f>
        <v>763.47600000000011</v>
      </c>
      <c r="AC96" s="260">
        <f t="shared" ref="AC96:AI96" si="239">SUM(AC97:AC99)</f>
        <v>763.47600000000011</v>
      </c>
      <c r="AD96" s="260">
        <f t="shared" si="239"/>
        <v>-1799.9300000000003</v>
      </c>
      <c r="AE96" s="454">
        <f t="shared" si="239"/>
        <v>-272.97800000000097</v>
      </c>
      <c r="AF96" s="260">
        <f t="shared" si="239"/>
        <v>0</v>
      </c>
      <c r="AG96" s="260">
        <f t="shared" si="239"/>
        <v>0</v>
      </c>
      <c r="AH96" s="260">
        <f t="shared" si="239"/>
        <v>0</v>
      </c>
      <c r="AI96" s="260">
        <f t="shared" si="239"/>
        <v>0</v>
      </c>
      <c r="AJ96" s="453"/>
      <c r="AK96" s="260">
        <f>SUM(AK97:AK99)</f>
        <v>763.47600000000011</v>
      </c>
      <c r="AL96" s="260">
        <f>SUM(AL97:AL99)</f>
        <v>763.47600000000011</v>
      </c>
      <c r="AM96" s="260">
        <f>SUM(AM97:AM99)</f>
        <v>-1799.9300000000003</v>
      </c>
      <c r="AN96" s="260">
        <f>SUM(AN97:AN99)</f>
        <v>-272.97800000000097</v>
      </c>
      <c r="AO96" s="453"/>
      <c r="AP96" s="85"/>
      <c r="AR96" s="86"/>
      <c r="AS96" s="83"/>
      <c r="AT96" s="83"/>
      <c r="AU96" s="87">
        <f>SUM(AU97:AU106)</f>
        <v>0</v>
      </c>
      <c r="AV96" s="83"/>
      <c r="AW96" s="87">
        <f>SUM(AW97:AW106)</f>
        <v>0</v>
      </c>
      <c r="AX96" s="83"/>
      <c r="AY96" s="88">
        <f>SUM(AY97:AY106)</f>
        <v>0</v>
      </c>
      <c r="BP96" s="89" t="s">
        <v>42</v>
      </c>
      <c r="BR96" s="90" t="s">
        <v>30</v>
      </c>
      <c r="BS96" s="90" t="s">
        <v>38</v>
      </c>
      <c r="BW96" s="89" t="s">
        <v>148</v>
      </c>
      <c r="CI96" s="91">
        <f>SUM(CI97:CI106)</f>
        <v>1879.89</v>
      </c>
    </row>
    <row r="97" spans="2:89" s="1" customFormat="1" ht="31.5" customHeight="1">
      <c r="B97" s="73"/>
      <c r="C97" s="93"/>
      <c r="D97" s="93" t="s">
        <v>149</v>
      </c>
      <c r="E97" s="94" t="s">
        <v>463</v>
      </c>
      <c r="F97" s="500" t="s">
        <v>512</v>
      </c>
      <c r="G97" s="501"/>
      <c r="H97" s="501"/>
      <c r="I97" s="502"/>
      <c r="J97" s="95" t="s">
        <v>198</v>
      </c>
      <c r="K97" s="211">
        <f t="shared" ref="K97:M98" si="240">-K46</f>
        <v>-8.6999999999999993</v>
      </c>
      <c r="L97" s="211">
        <f t="shared" si="240"/>
        <v>-8.6999999999999993</v>
      </c>
      <c r="M97" s="211">
        <f t="shared" si="240"/>
        <v>-28</v>
      </c>
      <c r="N97" s="306">
        <f>SUM(K97:M97)</f>
        <v>-45.4</v>
      </c>
      <c r="O97" s="277">
        <f t="shared" ref="O97:Q98" si="241">-O46</f>
        <v>0</v>
      </c>
      <c r="P97" s="211">
        <f t="shared" si="241"/>
        <v>0</v>
      </c>
      <c r="Q97" s="211">
        <f t="shared" si="241"/>
        <v>0</v>
      </c>
      <c r="R97" s="220">
        <f>SUM(O97:Q97)</f>
        <v>0</v>
      </c>
      <c r="S97" s="289">
        <f t="shared" ref="S97:S99" si="242">R97/N97</f>
        <v>0</v>
      </c>
      <c r="T97" s="277">
        <f t="shared" ref="T97:T99" si="243">K97-O97</f>
        <v>-8.6999999999999993</v>
      </c>
      <c r="U97" s="211">
        <f t="shared" ref="U97:U99" si="244">L97-P97</f>
        <v>-8.6999999999999993</v>
      </c>
      <c r="V97" s="211">
        <f t="shared" ref="V97:V99" si="245">M97-Q97</f>
        <v>-28</v>
      </c>
      <c r="W97" s="220">
        <f>SUM(T97:V97)</f>
        <v>-45.4</v>
      </c>
      <c r="X97" s="289">
        <f t="shared" ref="X97:X99" si="246">W97/N97</f>
        <v>1</v>
      </c>
      <c r="Y97" s="221">
        <v>10.17</v>
      </c>
      <c r="Z97" s="221">
        <v>10.17</v>
      </c>
      <c r="AA97" s="221">
        <v>10.17</v>
      </c>
      <c r="AB97" s="211">
        <f t="shared" ref="AB97:AD98" si="247">ROUND(Y97*K97,3)</f>
        <v>-88.478999999999999</v>
      </c>
      <c r="AC97" s="211">
        <f t="shared" si="247"/>
        <v>-88.478999999999999</v>
      </c>
      <c r="AD97" s="211">
        <f t="shared" si="247"/>
        <v>-284.76</v>
      </c>
      <c r="AE97" s="295">
        <f>AB97+AC97+AD97</f>
        <v>-461.71799999999996</v>
      </c>
      <c r="AF97" s="277">
        <f t="shared" ref="AF97:AF99" si="248">ROUND(Y97*O97,3)</f>
        <v>0</v>
      </c>
      <c r="AG97" s="211">
        <f t="shared" ref="AG97:AG99" si="249">ROUND(Z97*P97,3)</f>
        <v>0</v>
      </c>
      <c r="AH97" s="211">
        <f t="shared" ref="AH97:AH99" si="250">ROUND(AA97*Q97,3)</f>
        <v>0</v>
      </c>
      <c r="AI97" s="211">
        <f>AF97+AG97+AH97</f>
        <v>0</v>
      </c>
      <c r="AJ97" s="289">
        <f t="shared" ref="AJ97:AJ99" si="251">AI97/AE97</f>
        <v>0</v>
      </c>
      <c r="AK97" s="277">
        <f t="shared" ref="AK97:AK99" si="252">AB97-AF97</f>
        <v>-88.478999999999999</v>
      </c>
      <c r="AL97" s="211">
        <f t="shared" ref="AL97:AL99" si="253">AC97-AG97</f>
        <v>-88.478999999999999</v>
      </c>
      <c r="AM97" s="211">
        <f t="shared" ref="AM97:AM99" si="254">AD97-AH97</f>
        <v>-284.76</v>
      </c>
      <c r="AN97" s="211">
        <f>AK97+AL97+AM97</f>
        <v>-461.71799999999996</v>
      </c>
      <c r="AO97" s="289">
        <f t="shared" ref="AO97:AO99" si="255">AN97/AE97</f>
        <v>1</v>
      </c>
      <c r="AP97" s="74"/>
      <c r="AR97" s="98" t="s">
        <v>0</v>
      </c>
      <c r="AS97" s="18" t="s">
        <v>11</v>
      </c>
      <c r="AT97" s="205"/>
      <c r="AU97" s="99">
        <f>AT97*K97</f>
        <v>0</v>
      </c>
      <c r="AV97" s="99">
        <v>0</v>
      </c>
      <c r="AW97" s="99">
        <f>AV97*K97</f>
        <v>0</v>
      </c>
      <c r="AX97" s="99">
        <v>0</v>
      </c>
      <c r="AY97" s="100">
        <f>AX97*K97</f>
        <v>0</v>
      </c>
      <c r="BC97" s="1">
        <v>9.7799999999999994</v>
      </c>
      <c r="BP97" s="9" t="s">
        <v>169</v>
      </c>
      <c r="BR97" s="9" t="s">
        <v>149</v>
      </c>
      <c r="BS97" s="9" t="s">
        <v>42</v>
      </c>
      <c r="BW97" s="9" t="s">
        <v>148</v>
      </c>
      <c r="CC97" s="72">
        <f>IF(AS97="základná",AB97,0)</f>
        <v>0</v>
      </c>
      <c r="CD97" s="72">
        <f>IF(AS97="znížená",AB97,0)</f>
        <v>-88.478999999999999</v>
      </c>
      <c r="CE97" s="72">
        <f>IF(AS97="zákl. prenesená",AB97,0)</f>
        <v>0</v>
      </c>
      <c r="CF97" s="72">
        <f>IF(AS97="zníž. prenesená",AB97,0)</f>
        <v>0</v>
      </c>
      <c r="CG97" s="72">
        <f>IF(AS97="nulová",AB97,0)</f>
        <v>0</v>
      </c>
      <c r="CH97" s="9" t="s">
        <v>42</v>
      </c>
      <c r="CI97" s="101">
        <f>ROUND(Y97*K97,3)</f>
        <v>-88.478999999999999</v>
      </c>
      <c r="CJ97" s="9" t="s">
        <v>169</v>
      </c>
      <c r="CK97" s="9" t="s">
        <v>513</v>
      </c>
    </row>
    <row r="98" spans="2:89" s="1" customFormat="1" ht="57" customHeight="1">
      <c r="B98" s="73"/>
      <c r="C98" s="102"/>
      <c r="D98" s="102" t="s">
        <v>171</v>
      </c>
      <c r="E98" s="103" t="s">
        <v>464</v>
      </c>
      <c r="F98" s="499" t="s">
        <v>514</v>
      </c>
      <c r="G98" s="499"/>
      <c r="H98" s="499"/>
      <c r="I98" s="499"/>
      <c r="J98" s="104" t="s">
        <v>198</v>
      </c>
      <c r="K98" s="257">
        <f t="shared" si="240"/>
        <v>-13.5</v>
      </c>
      <c r="L98" s="257">
        <f t="shared" si="240"/>
        <v>-13.5</v>
      </c>
      <c r="M98" s="257">
        <f t="shared" si="240"/>
        <v>-28</v>
      </c>
      <c r="N98" s="428">
        <f>SUM(K98:M98)</f>
        <v>-55</v>
      </c>
      <c r="O98" s="449">
        <f t="shared" si="241"/>
        <v>0</v>
      </c>
      <c r="P98" s="257">
        <f t="shared" si="241"/>
        <v>0</v>
      </c>
      <c r="Q98" s="257">
        <f t="shared" si="241"/>
        <v>0</v>
      </c>
      <c r="R98" s="257">
        <f>SUM(O98:Q98)</f>
        <v>0</v>
      </c>
      <c r="S98" s="289">
        <f t="shared" si="242"/>
        <v>0</v>
      </c>
      <c r="T98" s="449">
        <f t="shared" si="243"/>
        <v>-13.5</v>
      </c>
      <c r="U98" s="257">
        <f t="shared" si="244"/>
        <v>-13.5</v>
      </c>
      <c r="V98" s="257">
        <f t="shared" si="245"/>
        <v>-28</v>
      </c>
      <c r="W98" s="257">
        <f>SUM(T98:V98)</f>
        <v>-55</v>
      </c>
      <c r="X98" s="289">
        <f t="shared" si="246"/>
        <v>1</v>
      </c>
      <c r="Y98" s="224">
        <v>163.25</v>
      </c>
      <c r="Z98" s="224">
        <v>163.25</v>
      </c>
      <c r="AA98" s="224">
        <v>163.25</v>
      </c>
      <c r="AB98" s="223">
        <f t="shared" si="247"/>
        <v>-2203.875</v>
      </c>
      <c r="AC98" s="223">
        <f t="shared" si="247"/>
        <v>-2203.875</v>
      </c>
      <c r="AD98" s="223">
        <f t="shared" si="247"/>
        <v>-4571</v>
      </c>
      <c r="AE98" s="297">
        <f>AB98+AC98+AD98</f>
        <v>-8978.75</v>
      </c>
      <c r="AF98" s="278">
        <f t="shared" si="248"/>
        <v>0</v>
      </c>
      <c r="AG98" s="223">
        <f t="shared" si="249"/>
        <v>0</v>
      </c>
      <c r="AH98" s="223">
        <f t="shared" si="250"/>
        <v>0</v>
      </c>
      <c r="AI98" s="223">
        <f>AF98+AG98+AH98</f>
        <v>0</v>
      </c>
      <c r="AJ98" s="289">
        <f t="shared" si="251"/>
        <v>0</v>
      </c>
      <c r="AK98" s="278">
        <f t="shared" si="252"/>
        <v>-2203.875</v>
      </c>
      <c r="AL98" s="223">
        <f t="shared" si="253"/>
        <v>-2203.875</v>
      </c>
      <c r="AM98" s="223">
        <f t="shared" si="254"/>
        <v>-4571</v>
      </c>
      <c r="AN98" s="223">
        <f>AK98+AL98+AM98</f>
        <v>-8978.75</v>
      </c>
      <c r="AO98" s="289">
        <f t="shared" si="255"/>
        <v>1</v>
      </c>
      <c r="AP98" s="74"/>
      <c r="AQ98" s="1" t="s">
        <v>993</v>
      </c>
      <c r="AR98" s="98" t="s">
        <v>0</v>
      </c>
      <c r="AS98" s="18" t="s">
        <v>11</v>
      </c>
      <c r="AT98" s="192"/>
      <c r="AU98" s="99">
        <f>AT98*K98</f>
        <v>0</v>
      </c>
      <c r="AV98" s="99">
        <v>0</v>
      </c>
      <c r="AW98" s="99">
        <f>AV98*K98</f>
        <v>0</v>
      </c>
      <c r="AX98" s="99">
        <v>0</v>
      </c>
      <c r="AY98" s="100">
        <f>AX98*K98</f>
        <v>0</v>
      </c>
      <c r="BA98" s="113" t="s">
        <v>994</v>
      </c>
      <c r="BC98" s="1">
        <v>156.97</v>
      </c>
      <c r="BP98" s="9" t="s">
        <v>174</v>
      </c>
      <c r="BR98" s="9" t="s">
        <v>171</v>
      </c>
      <c r="BS98" s="9" t="s">
        <v>42</v>
      </c>
      <c r="BW98" s="9" t="s">
        <v>148</v>
      </c>
      <c r="CC98" s="72">
        <f>IF(AS98="základná",AB98,0)</f>
        <v>0</v>
      </c>
      <c r="CD98" s="72">
        <f>IF(AS98="znížená",AB98,0)</f>
        <v>-2203.875</v>
      </c>
      <c r="CE98" s="72">
        <f>IF(AS98="zákl. prenesená",AB98,0)</f>
        <v>0</v>
      </c>
      <c r="CF98" s="72">
        <f>IF(AS98="zníž. prenesená",AB98,0)</f>
        <v>0</v>
      </c>
      <c r="CG98" s="72">
        <f>IF(AS98="nulová",AB98,0)</f>
        <v>0</v>
      </c>
      <c r="CH98" s="9" t="s">
        <v>42</v>
      </c>
      <c r="CI98" s="101">
        <f>ROUND(Y98*K98,3)</f>
        <v>-2203.875</v>
      </c>
      <c r="CJ98" s="9" t="s">
        <v>169</v>
      </c>
      <c r="CK98" s="9" t="s">
        <v>515</v>
      </c>
    </row>
    <row r="99" spans="2:89" s="1" customFormat="1" ht="32.25" customHeight="1">
      <c r="B99" s="73"/>
      <c r="C99" s="102"/>
      <c r="D99" s="93" t="s">
        <v>149</v>
      </c>
      <c r="E99" s="94" t="s">
        <v>1407</v>
      </c>
      <c r="F99" s="500" t="s">
        <v>1406</v>
      </c>
      <c r="G99" s="501"/>
      <c r="H99" s="501"/>
      <c r="I99" s="502"/>
      <c r="J99" s="95" t="s">
        <v>1328</v>
      </c>
      <c r="K99" s="267">
        <v>1</v>
      </c>
      <c r="L99" s="267">
        <v>1</v>
      </c>
      <c r="M99" s="267">
        <v>1</v>
      </c>
      <c r="N99" s="451">
        <f>SUM(K99:M99)</f>
        <v>3</v>
      </c>
      <c r="O99" s="211">
        <v>0</v>
      </c>
      <c r="P99" s="211">
        <v>0</v>
      </c>
      <c r="Q99" s="211">
        <v>0</v>
      </c>
      <c r="R99" s="265">
        <f>SUM(O99:Q99)</f>
        <v>0</v>
      </c>
      <c r="S99" s="289">
        <f t="shared" si="242"/>
        <v>0</v>
      </c>
      <c r="T99" s="450">
        <f t="shared" si="243"/>
        <v>1</v>
      </c>
      <c r="U99" s="267">
        <f t="shared" si="244"/>
        <v>1</v>
      </c>
      <c r="V99" s="267">
        <f t="shared" si="245"/>
        <v>1</v>
      </c>
      <c r="W99" s="265">
        <f>SUM(T99:V99)</f>
        <v>3</v>
      </c>
      <c r="X99" s="289">
        <f t="shared" si="246"/>
        <v>1</v>
      </c>
      <c r="Y99" s="266">
        <f>3819.787*0.8</f>
        <v>3055.8296</v>
      </c>
      <c r="Z99" s="266">
        <f>3819.787*0.8</f>
        <v>3055.8296</v>
      </c>
      <c r="AA99" s="266">
        <f>3819.787*0.8</f>
        <v>3055.8296</v>
      </c>
      <c r="AB99" s="267">
        <f t="shared" ref="AB99" si="256">ROUND(Y99*K99,3)</f>
        <v>3055.83</v>
      </c>
      <c r="AC99" s="267">
        <f t="shared" ref="AC99" si="257">ROUND(Z99*L99,3)</f>
        <v>3055.83</v>
      </c>
      <c r="AD99" s="267">
        <f t="shared" ref="AD99" si="258">ROUND(AA99*M99,3)</f>
        <v>3055.83</v>
      </c>
      <c r="AE99" s="457">
        <f>AB99+AC99+AD99</f>
        <v>9167.49</v>
      </c>
      <c r="AF99" s="450">
        <f t="shared" si="248"/>
        <v>0</v>
      </c>
      <c r="AG99" s="267">
        <f t="shared" si="249"/>
        <v>0</v>
      </c>
      <c r="AH99" s="267">
        <f t="shared" si="250"/>
        <v>0</v>
      </c>
      <c r="AI99" s="267">
        <f>AF99+AG99+AH99</f>
        <v>0</v>
      </c>
      <c r="AJ99" s="289">
        <f t="shared" si="251"/>
        <v>0</v>
      </c>
      <c r="AK99" s="450">
        <f t="shared" si="252"/>
        <v>3055.83</v>
      </c>
      <c r="AL99" s="267">
        <f t="shared" si="253"/>
        <v>3055.83</v>
      </c>
      <c r="AM99" s="267">
        <f t="shared" si="254"/>
        <v>3055.83</v>
      </c>
      <c r="AN99" s="267">
        <f>AK99+AL99+AM99</f>
        <v>9167.49</v>
      </c>
      <c r="AO99" s="289">
        <f t="shared" si="255"/>
        <v>1</v>
      </c>
      <c r="AP99" s="74"/>
      <c r="AQ99" s="1" t="s">
        <v>993</v>
      </c>
      <c r="AR99" s="98" t="s">
        <v>0</v>
      </c>
      <c r="AS99" s="18" t="s">
        <v>11</v>
      </c>
      <c r="AT99" s="250"/>
      <c r="AU99" s="99">
        <f>AT99*K99</f>
        <v>0</v>
      </c>
      <c r="AV99" s="99">
        <v>0</v>
      </c>
      <c r="AW99" s="99">
        <f>AV99*K99</f>
        <v>0</v>
      </c>
      <c r="AX99" s="99">
        <v>0</v>
      </c>
      <c r="AY99" s="100">
        <f>AX99*K99</f>
        <v>0</v>
      </c>
      <c r="BA99" s="113" t="s">
        <v>994</v>
      </c>
      <c r="BC99" s="1">
        <v>156.97</v>
      </c>
      <c r="BP99" s="9" t="s">
        <v>174</v>
      </c>
      <c r="BR99" s="9" t="s">
        <v>171</v>
      </c>
      <c r="BS99" s="9" t="s">
        <v>42</v>
      </c>
      <c r="BW99" s="9" t="s">
        <v>148</v>
      </c>
      <c r="CC99" s="72">
        <f>IF(AS99="základná",AB99,0)</f>
        <v>0</v>
      </c>
      <c r="CD99" s="72">
        <f>IF(AS99="znížená",AB99,0)</f>
        <v>3055.83</v>
      </c>
      <c r="CE99" s="72">
        <f>IF(AS99="zákl. prenesená",AB99,0)</f>
        <v>0</v>
      </c>
      <c r="CF99" s="72">
        <f>IF(AS99="zníž. prenesená",AB99,0)</f>
        <v>0</v>
      </c>
      <c r="CG99" s="72">
        <f>IF(AS99="nulová",AB99,0)</f>
        <v>0</v>
      </c>
      <c r="CH99" s="9" t="s">
        <v>42</v>
      </c>
      <c r="CI99" s="101">
        <f>ROUND(Y99*K99,3)</f>
        <v>3055.83</v>
      </c>
      <c r="CJ99" s="9" t="s">
        <v>169</v>
      </c>
      <c r="CK99" s="9" t="s">
        <v>515</v>
      </c>
    </row>
    <row r="100" spans="2:89" s="7" customFormat="1" ht="29.85" customHeight="1">
      <c r="B100" s="82"/>
      <c r="C100" s="83"/>
      <c r="D100" s="92" t="s">
        <v>431</v>
      </c>
      <c r="E100" s="92"/>
      <c r="F100" s="92"/>
      <c r="G100" s="92"/>
      <c r="H100" s="92"/>
      <c r="I100" s="92"/>
      <c r="J100" s="92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  <c r="AA100" s="219"/>
      <c r="AB100" s="260">
        <f t="shared" ref="AB100:AE100" si="259">SUM(AB101:AB104)</f>
        <v>558.20699999999999</v>
      </c>
      <c r="AC100" s="260">
        <f t="shared" si="259"/>
        <v>558.20699999999999</v>
      </c>
      <c r="AD100" s="260">
        <f t="shared" si="259"/>
        <v>-305.99</v>
      </c>
      <c r="AE100" s="454">
        <f t="shared" si="259"/>
        <v>810.42399999999998</v>
      </c>
      <c r="AF100" s="260">
        <f t="shared" ref="AF100:AI100" si="260">SUM(AF101:AF104)</f>
        <v>0</v>
      </c>
      <c r="AG100" s="260">
        <f t="shared" si="260"/>
        <v>0</v>
      </c>
      <c r="AH100" s="260">
        <f t="shared" si="260"/>
        <v>0</v>
      </c>
      <c r="AI100" s="260">
        <f t="shared" si="260"/>
        <v>0</v>
      </c>
      <c r="AJ100" s="453"/>
      <c r="AK100" s="260">
        <f t="shared" ref="AK100:AN100" si="261">SUM(AK101:AK104)</f>
        <v>558.20699999999999</v>
      </c>
      <c r="AL100" s="260">
        <f t="shared" si="261"/>
        <v>558.20699999999999</v>
      </c>
      <c r="AM100" s="260">
        <f t="shared" si="261"/>
        <v>-305.99</v>
      </c>
      <c r="AN100" s="260">
        <f t="shared" si="261"/>
        <v>810.42399999999998</v>
      </c>
      <c r="AO100" s="453"/>
      <c r="AP100" s="85"/>
      <c r="AR100" s="86"/>
      <c r="AS100" s="83"/>
      <c r="AT100" s="83"/>
      <c r="AU100" s="87">
        <f>SUM(AU101:AU104)</f>
        <v>0</v>
      </c>
      <c r="AV100" s="83"/>
      <c r="AW100" s="87">
        <f>SUM(AW101:AW104)</f>
        <v>0</v>
      </c>
      <c r="AX100" s="83"/>
      <c r="AY100" s="88">
        <f>SUM(AY101:AY104)</f>
        <v>0</v>
      </c>
      <c r="BP100" s="89" t="s">
        <v>42</v>
      </c>
      <c r="BR100" s="90" t="s">
        <v>30</v>
      </c>
      <c r="BS100" s="90" t="s">
        <v>38</v>
      </c>
      <c r="BW100" s="89" t="s">
        <v>148</v>
      </c>
      <c r="CI100" s="91">
        <f>SUM(CI101:CI104)</f>
        <v>558.20699999999999</v>
      </c>
    </row>
    <row r="101" spans="2:89" s="1" customFormat="1" ht="31.5" customHeight="1">
      <c r="B101" s="73"/>
      <c r="C101" s="93"/>
      <c r="D101" s="93" t="s">
        <v>149</v>
      </c>
      <c r="E101" s="94" t="s">
        <v>469</v>
      </c>
      <c r="F101" s="498" t="s">
        <v>470</v>
      </c>
      <c r="G101" s="498"/>
      <c r="H101" s="498"/>
      <c r="I101" s="498"/>
      <c r="J101" s="95" t="s">
        <v>168</v>
      </c>
      <c r="K101" s="211">
        <v>0</v>
      </c>
      <c r="L101" s="211">
        <v>0</v>
      </c>
      <c r="M101" s="211">
        <v>-24.3</v>
      </c>
      <c r="N101" s="306">
        <f>SUM(K101:M101)</f>
        <v>-24.3</v>
      </c>
      <c r="O101" s="277">
        <v>0</v>
      </c>
      <c r="P101" s="211">
        <v>0</v>
      </c>
      <c r="Q101" s="211">
        <v>0</v>
      </c>
      <c r="R101" s="220">
        <f>SUM(O101:Q101)</f>
        <v>0</v>
      </c>
      <c r="S101" s="289">
        <f t="shared" ref="S101:S104" si="262">R101/N101</f>
        <v>0</v>
      </c>
      <c r="T101" s="277">
        <f t="shared" ref="T101:T104" si="263">K101-O101</f>
        <v>0</v>
      </c>
      <c r="U101" s="211">
        <f t="shared" ref="U101:U104" si="264">L101-P101</f>
        <v>0</v>
      </c>
      <c r="V101" s="211">
        <f t="shared" ref="V101:V104" si="265">M101-Q101</f>
        <v>-24.3</v>
      </c>
      <c r="W101" s="220">
        <f>SUM(T101:V101)</f>
        <v>-24.3</v>
      </c>
      <c r="X101" s="289">
        <f t="shared" ref="X101:X104" si="266">W101/N101</f>
        <v>1</v>
      </c>
      <c r="Y101" s="221">
        <v>19.010000000000002</v>
      </c>
      <c r="Z101" s="221">
        <v>19.010000000000002</v>
      </c>
      <c r="AA101" s="221">
        <v>19.010000000000002</v>
      </c>
      <c r="AB101" s="211">
        <f t="shared" ref="AB101:AD104" si="267">ROUND(Y101*K101,3)</f>
        <v>0</v>
      </c>
      <c r="AC101" s="211">
        <f t="shared" si="267"/>
        <v>0</v>
      </c>
      <c r="AD101" s="211">
        <f t="shared" si="267"/>
        <v>-461.94299999999998</v>
      </c>
      <c r="AE101" s="295">
        <f>AB101+AC101+AD101</f>
        <v>-461.94299999999998</v>
      </c>
      <c r="AF101" s="277">
        <f t="shared" ref="AF101:AF104" si="268">ROUND(Y101*O101,3)</f>
        <v>0</v>
      </c>
      <c r="AG101" s="211">
        <f t="shared" ref="AG101:AG104" si="269">ROUND(Z101*P101,3)</f>
        <v>0</v>
      </c>
      <c r="AH101" s="211">
        <f t="shared" ref="AH101:AH104" si="270">ROUND(AA101*Q101,3)</f>
        <v>0</v>
      </c>
      <c r="AI101" s="211">
        <f>AF101+AG101+AH101</f>
        <v>0</v>
      </c>
      <c r="AJ101" s="289">
        <f t="shared" ref="AJ101:AJ104" si="271">AI101/AE101</f>
        <v>0</v>
      </c>
      <c r="AK101" s="277">
        <f t="shared" ref="AK101:AK104" si="272">AB101-AF101</f>
        <v>0</v>
      </c>
      <c r="AL101" s="211">
        <f t="shared" ref="AL101:AL104" si="273">AC101-AG101</f>
        <v>0</v>
      </c>
      <c r="AM101" s="211">
        <f t="shared" ref="AM101:AM104" si="274">AD101-AH101</f>
        <v>-461.94299999999998</v>
      </c>
      <c r="AN101" s="211">
        <f>AK101+AL101+AM101</f>
        <v>-461.94299999999998</v>
      </c>
      <c r="AO101" s="289">
        <f t="shared" ref="AO101:AO104" si="275">AN101/AE101</f>
        <v>1</v>
      </c>
      <c r="AP101" s="74"/>
      <c r="AR101" s="98" t="s">
        <v>0</v>
      </c>
      <c r="AS101" s="18" t="s">
        <v>11</v>
      </c>
      <c r="AT101" s="206"/>
      <c r="AU101" s="99">
        <f>AT101*K101</f>
        <v>0</v>
      </c>
      <c r="AV101" s="99">
        <v>0</v>
      </c>
      <c r="AW101" s="99">
        <f>AV101*K101</f>
        <v>0</v>
      </c>
      <c r="AX101" s="99">
        <v>0</v>
      </c>
      <c r="AY101" s="100">
        <f>AX101*K101</f>
        <v>0</v>
      </c>
      <c r="BC101" s="1">
        <v>18.28</v>
      </c>
      <c r="BP101" s="9" t="s">
        <v>169</v>
      </c>
      <c r="BR101" s="9" t="s">
        <v>149</v>
      </c>
      <c r="BS101" s="9" t="s">
        <v>42</v>
      </c>
      <c r="BW101" s="9" t="s">
        <v>148</v>
      </c>
      <c r="CC101" s="72">
        <f>IF(AS101="základná",AB101,0)</f>
        <v>0</v>
      </c>
      <c r="CD101" s="72">
        <f>IF(AS101="znížená",AB101,0)</f>
        <v>0</v>
      </c>
      <c r="CE101" s="72">
        <f>IF(AS101="zákl. prenesená",AB101,0)</f>
        <v>0</v>
      </c>
      <c r="CF101" s="72">
        <f>IF(AS101="zníž. prenesená",AB101,0)</f>
        <v>0</v>
      </c>
      <c r="CG101" s="72">
        <f>IF(AS101="nulová",AB101,0)</f>
        <v>0</v>
      </c>
      <c r="CH101" s="9" t="s">
        <v>42</v>
      </c>
      <c r="CI101" s="101">
        <f>ROUND(Y101*K101,3)</f>
        <v>0</v>
      </c>
      <c r="CJ101" s="9" t="s">
        <v>169</v>
      </c>
      <c r="CK101" s="9" t="s">
        <v>520</v>
      </c>
    </row>
    <row r="102" spans="2:89" s="1" customFormat="1" ht="31.5" customHeight="1">
      <c r="B102" s="73"/>
      <c r="C102" s="93"/>
      <c r="D102" s="93" t="s">
        <v>149</v>
      </c>
      <c r="E102" s="94" t="s">
        <v>1387</v>
      </c>
      <c r="F102" s="498" t="s">
        <v>1385</v>
      </c>
      <c r="G102" s="498"/>
      <c r="H102" s="498"/>
      <c r="I102" s="498"/>
      <c r="J102" s="95" t="s">
        <v>168</v>
      </c>
      <c r="K102" s="211">
        <v>24</v>
      </c>
      <c r="L102" s="211">
        <v>24</v>
      </c>
      <c r="M102" s="211">
        <f>8.1*3</f>
        <v>24.299999999999997</v>
      </c>
      <c r="N102" s="306">
        <f>SUM(K102:M102)</f>
        <v>72.3</v>
      </c>
      <c r="O102" s="277">
        <v>0</v>
      </c>
      <c r="P102" s="211">
        <v>0</v>
      </c>
      <c r="Q102" s="211">
        <v>0</v>
      </c>
      <c r="R102" s="220">
        <f>SUM(O102:Q102)</f>
        <v>0</v>
      </c>
      <c r="S102" s="289">
        <f t="shared" si="262"/>
        <v>0</v>
      </c>
      <c r="T102" s="277">
        <f t="shared" si="263"/>
        <v>24</v>
      </c>
      <c r="U102" s="211">
        <f t="shared" si="264"/>
        <v>24</v>
      </c>
      <c r="V102" s="211">
        <f t="shared" si="265"/>
        <v>24.299999999999997</v>
      </c>
      <c r="W102" s="220">
        <f>SUM(T102:V102)</f>
        <v>72.3</v>
      </c>
      <c r="X102" s="289">
        <f t="shared" si="266"/>
        <v>1</v>
      </c>
      <c r="Y102" s="221">
        <v>15.600000000000001</v>
      </c>
      <c r="Z102" s="221">
        <v>15.600000000000001</v>
      </c>
      <c r="AA102" s="221">
        <v>15.600000000000001</v>
      </c>
      <c r="AB102" s="211">
        <f t="shared" si="267"/>
        <v>374.4</v>
      </c>
      <c r="AC102" s="211">
        <f t="shared" si="267"/>
        <v>374.4</v>
      </c>
      <c r="AD102" s="211">
        <f t="shared" si="267"/>
        <v>379.08</v>
      </c>
      <c r="AE102" s="295">
        <f>AB102+AC102+AD102</f>
        <v>1127.8799999999999</v>
      </c>
      <c r="AF102" s="277">
        <f t="shared" si="268"/>
        <v>0</v>
      </c>
      <c r="AG102" s="211">
        <f t="shared" si="269"/>
        <v>0</v>
      </c>
      <c r="AH102" s="211">
        <f t="shared" si="270"/>
        <v>0</v>
      </c>
      <c r="AI102" s="211">
        <f>AF102+AG102+AH102</f>
        <v>0</v>
      </c>
      <c r="AJ102" s="289">
        <f t="shared" si="271"/>
        <v>0</v>
      </c>
      <c r="AK102" s="277">
        <f t="shared" si="272"/>
        <v>374.4</v>
      </c>
      <c r="AL102" s="211">
        <f t="shared" si="273"/>
        <v>374.4</v>
      </c>
      <c r="AM102" s="211">
        <f t="shared" si="274"/>
        <v>379.08</v>
      </c>
      <c r="AN102" s="211">
        <f>AK102+AL102+AM102</f>
        <v>1127.8799999999999</v>
      </c>
      <c r="AO102" s="289">
        <f t="shared" si="275"/>
        <v>1</v>
      </c>
      <c r="AP102" s="74"/>
      <c r="AR102" s="98" t="s">
        <v>0</v>
      </c>
      <c r="AS102" s="18" t="s">
        <v>11</v>
      </c>
      <c r="AT102" s="245"/>
      <c r="AU102" s="99">
        <f>AT102*K102</f>
        <v>0</v>
      </c>
      <c r="AV102" s="99">
        <v>0</v>
      </c>
      <c r="AW102" s="99">
        <f>AV102*K102</f>
        <v>0</v>
      </c>
      <c r="AX102" s="99">
        <v>0</v>
      </c>
      <c r="AY102" s="100">
        <f>AX102*K102</f>
        <v>0</v>
      </c>
      <c r="BC102" s="1">
        <v>18.28</v>
      </c>
      <c r="BP102" s="9" t="s">
        <v>169</v>
      </c>
      <c r="BR102" s="9" t="s">
        <v>149</v>
      </c>
      <c r="BS102" s="9" t="s">
        <v>42</v>
      </c>
      <c r="BW102" s="9" t="s">
        <v>148</v>
      </c>
      <c r="CC102" s="72">
        <f>IF(AS102="základná",AB102,0)</f>
        <v>0</v>
      </c>
      <c r="CD102" s="72">
        <f>IF(AS102="znížená",AB102,0)</f>
        <v>374.4</v>
      </c>
      <c r="CE102" s="72">
        <f>IF(AS102="zákl. prenesená",AB102,0)</f>
        <v>0</v>
      </c>
      <c r="CF102" s="72">
        <f>IF(AS102="zníž. prenesená",AB102,0)</f>
        <v>0</v>
      </c>
      <c r="CG102" s="72">
        <f>IF(AS102="nulová",AB102,0)</f>
        <v>0</v>
      </c>
      <c r="CH102" s="9" t="s">
        <v>42</v>
      </c>
      <c r="CI102" s="101">
        <f>ROUND(Y102*K102,3)</f>
        <v>374.4</v>
      </c>
      <c r="CJ102" s="9" t="s">
        <v>169</v>
      </c>
      <c r="CK102" s="9" t="s">
        <v>520</v>
      </c>
    </row>
    <row r="103" spans="2:89" s="1" customFormat="1" ht="31.5" customHeight="1">
      <c r="B103" s="73"/>
      <c r="C103" s="93"/>
      <c r="D103" s="93" t="s">
        <v>149</v>
      </c>
      <c r="E103" s="94" t="s">
        <v>1388</v>
      </c>
      <c r="F103" s="498" t="s">
        <v>1386</v>
      </c>
      <c r="G103" s="498"/>
      <c r="H103" s="498"/>
      <c r="I103" s="498"/>
      <c r="J103" s="95" t="s">
        <v>168</v>
      </c>
      <c r="K103" s="211">
        <v>24</v>
      </c>
      <c r="L103" s="211">
        <v>24</v>
      </c>
      <c r="M103" s="211">
        <f>8.1*3</f>
        <v>24.299999999999997</v>
      </c>
      <c r="N103" s="306">
        <f>SUM(K103:M103)</f>
        <v>72.3</v>
      </c>
      <c r="O103" s="277">
        <v>0</v>
      </c>
      <c r="P103" s="211">
        <v>0</v>
      </c>
      <c r="Q103" s="211">
        <v>0</v>
      </c>
      <c r="R103" s="220">
        <f>SUM(O103:Q103)</f>
        <v>0</v>
      </c>
      <c r="S103" s="289">
        <f t="shared" si="262"/>
        <v>0</v>
      </c>
      <c r="T103" s="277">
        <f t="shared" si="263"/>
        <v>24</v>
      </c>
      <c r="U103" s="211">
        <f t="shared" si="264"/>
        <v>24</v>
      </c>
      <c r="V103" s="211">
        <f t="shared" si="265"/>
        <v>24.299999999999997</v>
      </c>
      <c r="W103" s="220">
        <f>SUM(T103:V103)</f>
        <v>72.3</v>
      </c>
      <c r="X103" s="289">
        <f t="shared" si="266"/>
        <v>1</v>
      </c>
      <c r="Y103" s="221">
        <v>6.7600000000000007</v>
      </c>
      <c r="Z103" s="221">
        <v>6.7600000000000007</v>
      </c>
      <c r="AA103" s="221">
        <v>6.7600000000000007</v>
      </c>
      <c r="AB103" s="211">
        <f t="shared" si="267"/>
        <v>162.24</v>
      </c>
      <c r="AC103" s="211">
        <f t="shared" si="267"/>
        <v>162.24</v>
      </c>
      <c r="AD103" s="211">
        <f t="shared" si="267"/>
        <v>164.268</v>
      </c>
      <c r="AE103" s="295">
        <f>AB103+AC103+AD103</f>
        <v>488.74800000000005</v>
      </c>
      <c r="AF103" s="277">
        <f t="shared" si="268"/>
        <v>0</v>
      </c>
      <c r="AG103" s="211">
        <f t="shared" si="269"/>
        <v>0</v>
      </c>
      <c r="AH103" s="211">
        <f t="shared" si="270"/>
        <v>0</v>
      </c>
      <c r="AI103" s="211">
        <f>AF103+AG103+AH103</f>
        <v>0</v>
      </c>
      <c r="AJ103" s="289">
        <f t="shared" si="271"/>
        <v>0</v>
      </c>
      <c r="AK103" s="277">
        <f t="shared" si="272"/>
        <v>162.24</v>
      </c>
      <c r="AL103" s="211">
        <f t="shared" si="273"/>
        <v>162.24</v>
      </c>
      <c r="AM103" s="211">
        <f t="shared" si="274"/>
        <v>164.268</v>
      </c>
      <c r="AN103" s="211">
        <f>AK103+AL103+AM103</f>
        <v>488.74800000000005</v>
      </c>
      <c r="AO103" s="289">
        <f t="shared" si="275"/>
        <v>1</v>
      </c>
      <c r="AP103" s="74"/>
      <c r="AR103" s="98" t="s">
        <v>0</v>
      </c>
      <c r="AS103" s="18" t="s">
        <v>11</v>
      </c>
      <c r="AT103" s="245"/>
      <c r="AU103" s="99">
        <f>AT103*K103</f>
        <v>0</v>
      </c>
      <c r="AV103" s="99">
        <v>0</v>
      </c>
      <c r="AW103" s="99">
        <f>AV103*K103</f>
        <v>0</v>
      </c>
      <c r="AX103" s="99">
        <v>0</v>
      </c>
      <c r="AY103" s="100">
        <f>AX103*K103</f>
        <v>0</v>
      </c>
      <c r="BC103" s="1">
        <v>18.28</v>
      </c>
      <c r="BP103" s="9" t="s">
        <v>169</v>
      </c>
      <c r="BR103" s="9" t="s">
        <v>149</v>
      </c>
      <c r="BS103" s="9" t="s">
        <v>42</v>
      </c>
      <c r="BW103" s="9" t="s">
        <v>148</v>
      </c>
      <c r="CC103" s="72">
        <f>IF(AS103="základná",AB103,0)</f>
        <v>0</v>
      </c>
      <c r="CD103" s="72">
        <f>IF(AS103="znížená",AB103,0)</f>
        <v>162.24</v>
      </c>
      <c r="CE103" s="72">
        <f>IF(AS103="zákl. prenesená",AB103,0)</f>
        <v>0</v>
      </c>
      <c r="CF103" s="72">
        <f>IF(AS103="zníž. prenesená",AB103,0)</f>
        <v>0</v>
      </c>
      <c r="CG103" s="72">
        <f>IF(AS103="nulová",AB103,0)</f>
        <v>0</v>
      </c>
      <c r="CH103" s="9" t="s">
        <v>42</v>
      </c>
      <c r="CI103" s="101">
        <f>ROUND(Y103*K103,3)</f>
        <v>162.24</v>
      </c>
      <c r="CJ103" s="9" t="s">
        <v>169</v>
      </c>
      <c r="CK103" s="9" t="s">
        <v>520</v>
      </c>
    </row>
    <row r="104" spans="2:89" s="1" customFormat="1" ht="22.5" customHeight="1">
      <c r="B104" s="73"/>
      <c r="C104" s="102"/>
      <c r="D104" s="102" t="s">
        <v>171</v>
      </c>
      <c r="E104" s="103" t="s">
        <v>471</v>
      </c>
      <c r="F104" s="499" t="s">
        <v>472</v>
      </c>
      <c r="G104" s="499"/>
      <c r="H104" s="499"/>
      <c r="I104" s="499"/>
      <c r="J104" s="104" t="s">
        <v>168</v>
      </c>
      <c r="K104" s="223">
        <f>(K101+K53)*1.05-K54</f>
        <v>1.2590000000000003</v>
      </c>
      <c r="L104" s="223">
        <f>(L101+L53)*1.05-L54</f>
        <v>1.2590000000000003</v>
      </c>
      <c r="M104" s="223">
        <f>(M101+M53)*1.05-M54</f>
        <v>-22.614999999999995</v>
      </c>
      <c r="N104" s="428">
        <f>SUM(K104:M104)</f>
        <v>-20.096999999999994</v>
      </c>
      <c r="O104" s="278">
        <v>0</v>
      </c>
      <c r="P104" s="223">
        <v>0</v>
      </c>
      <c r="Q104" s="223">
        <v>0</v>
      </c>
      <c r="R104" s="257">
        <f>SUM(O104:Q104)</f>
        <v>0</v>
      </c>
      <c r="S104" s="289">
        <f t="shared" si="262"/>
        <v>0</v>
      </c>
      <c r="T104" s="278">
        <f t="shared" si="263"/>
        <v>1.2590000000000003</v>
      </c>
      <c r="U104" s="223">
        <f t="shared" si="264"/>
        <v>1.2590000000000003</v>
      </c>
      <c r="V104" s="223">
        <f t="shared" si="265"/>
        <v>-22.614999999999995</v>
      </c>
      <c r="W104" s="257">
        <f>SUM(T104:V104)</f>
        <v>-20.096999999999994</v>
      </c>
      <c r="X104" s="289">
        <f t="shared" si="266"/>
        <v>1</v>
      </c>
      <c r="Y104" s="224">
        <v>17.13</v>
      </c>
      <c r="Z104" s="224">
        <v>17.13</v>
      </c>
      <c r="AA104" s="224">
        <v>17.13</v>
      </c>
      <c r="AB104" s="223">
        <f t="shared" si="267"/>
        <v>21.567</v>
      </c>
      <c r="AC104" s="223">
        <f t="shared" si="267"/>
        <v>21.567</v>
      </c>
      <c r="AD104" s="223">
        <f t="shared" si="267"/>
        <v>-387.39499999999998</v>
      </c>
      <c r="AE104" s="297">
        <f>AB104+AC104+AD104</f>
        <v>-344.26099999999997</v>
      </c>
      <c r="AF104" s="278">
        <f t="shared" si="268"/>
        <v>0</v>
      </c>
      <c r="AG104" s="223">
        <f t="shared" si="269"/>
        <v>0</v>
      </c>
      <c r="AH104" s="223">
        <f t="shared" si="270"/>
        <v>0</v>
      </c>
      <c r="AI104" s="223">
        <f>AF104+AG104+AH104</f>
        <v>0</v>
      </c>
      <c r="AJ104" s="289">
        <f t="shared" si="271"/>
        <v>0</v>
      </c>
      <c r="AK104" s="278">
        <f t="shared" si="272"/>
        <v>21.567</v>
      </c>
      <c r="AL104" s="223">
        <f t="shared" si="273"/>
        <v>21.567</v>
      </c>
      <c r="AM104" s="223">
        <f t="shared" si="274"/>
        <v>-387.39499999999998</v>
      </c>
      <c r="AN104" s="223">
        <f>AK104+AL104+AM104</f>
        <v>-344.26099999999997</v>
      </c>
      <c r="AO104" s="289">
        <f t="shared" si="275"/>
        <v>1</v>
      </c>
      <c r="AP104" s="74"/>
      <c r="AQ104" s="1" t="s">
        <v>969</v>
      </c>
      <c r="AR104" s="98" t="s">
        <v>0</v>
      </c>
      <c r="AS104" s="18" t="s">
        <v>11</v>
      </c>
      <c r="AT104" s="206"/>
      <c r="AU104" s="99">
        <f>AT104*K104</f>
        <v>0</v>
      </c>
      <c r="AV104" s="99">
        <v>0</v>
      </c>
      <c r="AW104" s="99">
        <f>AV104*K104</f>
        <v>0</v>
      </c>
      <c r="AX104" s="99">
        <v>0</v>
      </c>
      <c r="AY104" s="100">
        <f>AX104*K104</f>
        <v>0</v>
      </c>
      <c r="BA104" s="1" t="s">
        <v>992</v>
      </c>
      <c r="BC104" s="1">
        <v>16.47</v>
      </c>
      <c r="BP104" s="9" t="s">
        <v>174</v>
      </c>
      <c r="BR104" s="9" t="s">
        <v>171</v>
      </c>
      <c r="BS104" s="9" t="s">
        <v>42</v>
      </c>
      <c r="BW104" s="9" t="s">
        <v>148</v>
      </c>
      <c r="CC104" s="72">
        <f>IF(AS104="základná",AB104,0)</f>
        <v>0</v>
      </c>
      <c r="CD104" s="72">
        <f>IF(AS104="znížená",AB104,0)</f>
        <v>21.567</v>
      </c>
      <c r="CE104" s="72">
        <f>IF(AS104="zákl. prenesená",AB104,0)</f>
        <v>0</v>
      </c>
      <c r="CF104" s="72">
        <f>IF(AS104="zníž. prenesená",AB104,0)</f>
        <v>0</v>
      </c>
      <c r="CG104" s="72">
        <f>IF(AS104="nulová",AB104,0)</f>
        <v>0</v>
      </c>
      <c r="CH104" s="9" t="s">
        <v>42</v>
      </c>
      <c r="CI104" s="101">
        <f>ROUND(Y104*K104,3)</f>
        <v>21.567</v>
      </c>
      <c r="CJ104" s="9" t="s">
        <v>169</v>
      </c>
      <c r="CK104" s="9" t="s">
        <v>521</v>
      </c>
    </row>
    <row r="105" spans="2:89" s="1" customFormat="1" ht="6.95" customHeight="1">
      <c r="B105" s="23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5"/>
    </row>
  </sheetData>
  <autoFilter ref="C17:AO17">
    <filterColumn colId="3" showButton="0"/>
    <filterColumn colId="4" showButton="0"/>
    <filterColumn colId="5" showButton="0"/>
  </autoFilter>
  <mergeCells count="79">
    <mergeCell ref="C5:AB5"/>
    <mergeCell ref="F7:AB7"/>
    <mergeCell ref="F8:AB8"/>
    <mergeCell ref="F9:AB9"/>
    <mergeCell ref="F17:I17"/>
    <mergeCell ref="K16:N16"/>
    <mergeCell ref="O16:S16"/>
    <mergeCell ref="T16:X16"/>
    <mergeCell ref="AB16:AE16"/>
    <mergeCell ref="F21:I21"/>
    <mergeCell ref="F22:I22"/>
    <mergeCell ref="F23:I23"/>
    <mergeCell ref="F25:I25"/>
    <mergeCell ref="F26:I26"/>
    <mergeCell ref="F27:I27"/>
    <mergeCell ref="F29:I29"/>
    <mergeCell ref="F32:I32"/>
    <mergeCell ref="F33:I33"/>
    <mergeCell ref="F34:I34"/>
    <mergeCell ref="F35:I35"/>
    <mergeCell ref="F36:I36"/>
    <mergeCell ref="F37:I37"/>
    <mergeCell ref="F38:I38"/>
    <mergeCell ref="F39:I39"/>
    <mergeCell ref="F40:I40"/>
    <mergeCell ref="F42:I42"/>
    <mergeCell ref="F43:I43"/>
    <mergeCell ref="F44:I44"/>
    <mergeCell ref="F46:I46"/>
    <mergeCell ref="F47:I47"/>
    <mergeCell ref="F54:I54"/>
    <mergeCell ref="F48:I48"/>
    <mergeCell ref="F49:I49"/>
    <mergeCell ref="F51:I51"/>
    <mergeCell ref="F52:I52"/>
    <mergeCell ref="F53:I53"/>
    <mergeCell ref="F55:I55"/>
    <mergeCell ref="F94:I94"/>
    <mergeCell ref="F95:I95"/>
    <mergeCell ref="F64:I64"/>
    <mergeCell ref="F60:I60"/>
    <mergeCell ref="F61:I61"/>
    <mergeCell ref="F62:I62"/>
    <mergeCell ref="F65:I65"/>
    <mergeCell ref="F66:I66"/>
    <mergeCell ref="F74:I74"/>
    <mergeCell ref="F75:I75"/>
    <mergeCell ref="F76:I76"/>
    <mergeCell ref="F77:I77"/>
    <mergeCell ref="F79:I79"/>
    <mergeCell ref="F80:I80"/>
    <mergeCell ref="F81:I81"/>
    <mergeCell ref="F72:I72"/>
    <mergeCell ref="F104:I104"/>
    <mergeCell ref="F97:I97"/>
    <mergeCell ref="F98:I98"/>
    <mergeCell ref="F102:I102"/>
    <mergeCell ref="F103:I103"/>
    <mergeCell ref="F90:I90"/>
    <mergeCell ref="F91:I91"/>
    <mergeCell ref="F92:I92"/>
    <mergeCell ref="F101:I101"/>
    <mergeCell ref="F99:I99"/>
    <mergeCell ref="AF16:AJ16"/>
    <mergeCell ref="AK16:AO16"/>
    <mergeCell ref="F87:I87"/>
    <mergeCell ref="F88:I88"/>
    <mergeCell ref="F89:I89"/>
    <mergeCell ref="F82:I82"/>
    <mergeCell ref="F83:I83"/>
    <mergeCell ref="F84:I84"/>
    <mergeCell ref="F85:I85"/>
    <mergeCell ref="F86:I86"/>
    <mergeCell ref="F71:I71"/>
    <mergeCell ref="F69:I69"/>
    <mergeCell ref="F70:I70"/>
    <mergeCell ref="F67:I67"/>
    <mergeCell ref="F68:I68"/>
    <mergeCell ref="F78:I78"/>
  </mergeCells>
  <conditionalFormatting sqref="S21">
    <cfRule type="dataBar" priority="12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{9C3E7DBE-18BF-4FEA-949E-791EAB322172}</x14:id>
        </ext>
      </extLst>
    </cfRule>
  </conditionalFormatting>
  <conditionalFormatting sqref="S22:S23">
    <cfRule type="dataBar" priority="12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{66F739AA-36F2-4966-9CDA-97785EDB483B}</x14:id>
        </ext>
      </extLst>
    </cfRule>
  </conditionalFormatting>
  <conditionalFormatting sqref="S25:S27">
    <cfRule type="dataBar" priority="12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{211BBA2A-A194-4F2C-B4ED-2DC066841485}</x14:id>
        </ext>
      </extLst>
    </cfRule>
  </conditionalFormatting>
  <conditionalFormatting sqref="S29">
    <cfRule type="dataBar" priority="12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{E0541EC3-6CF3-40C0-A69B-A9F791997E31}</x14:id>
        </ext>
      </extLst>
    </cfRule>
  </conditionalFormatting>
  <conditionalFormatting sqref="S32:S40">
    <cfRule type="dataBar" priority="12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{71FDC49E-0977-4978-B5C9-223175427D13}</x14:id>
        </ext>
      </extLst>
    </cfRule>
  </conditionalFormatting>
  <conditionalFormatting sqref="S42:S44">
    <cfRule type="dataBar" priority="12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{92E70CA6-892C-4B98-B57E-06E1FCB8CC18}</x14:id>
        </ext>
      </extLst>
    </cfRule>
  </conditionalFormatting>
  <conditionalFormatting sqref="S46:S49">
    <cfRule type="dataBar" priority="1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{48659C82-26CC-4F71-99F3-5F4977348D79}</x14:id>
        </ext>
      </extLst>
    </cfRule>
  </conditionalFormatting>
  <conditionalFormatting sqref="S51:S55">
    <cfRule type="dataBar" priority="11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{5DD6CDC8-70B8-4C01-BD3D-BD7316334A2A}</x14:id>
        </ext>
      </extLst>
    </cfRule>
  </conditionalFormatting>
  <conditionalFormatting sqref="S60:S62">
    <cfRule type="dataBar" priority="11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{E93A75AE-D933-487E-AA5B-32A0D8757E58}</x14:id>
        </ext>
      </extLst>
    </cfRule>
  </conditionalFormatting>
  <conditionalFormatting sqref="S64:S72">
    <cfRule type="dataBar" priority="11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{0C70F9E9-3A45-4156-99E5-3067004F72AA}</x14:id>
        </ext>
      </extLst>
    </cfRule>
  </conditionalFormatting>
  <conditionalFormatting sqref="S74:S92">
    <cfRule type="dataBar" priority="11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{5CB6372E-109B-4C3C-9671-0930F6E06A94}</x14:id>
        </ext>
      </extLst>
    </cfRule>
  </conditionalFormatting>
  <conditionalFormatting sqref="S94:S95">
    <cfRule type="dataBar" priority="1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{47C16CBB-86EF-4D5C-85F9-BE1E77699594}</x14:id>
        </ext>
      </extLst>
    </cfRule>
  </conditionalFormatting>
  <conditionalFormatting sqref="S97:S99">
    <cfRule type="dataBar" priority="1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{0C1F9A45-12C0-4874-8793-ED47D6442945}</x14:id>
        </ext>
      </extLst>
    </cfRule>
  </conditionalFormatting>
  <conditionalFormatting sqref="S101:S104">
    <cfRule type="dataBar" priority="1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{A9A13D45-5F80-47C7-B0FA-3E75DEB438F7}</x14:id>
        </ext>
      </extLst>
    </cfRule>
  </conditionalFormatting>
  <conditionalFormatting sqref="X21">
    <cfRule type="dataBar" priority="1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{BD7618C4-7C7F-44AF-B29E-AA3D5BD379F3}</x14:id>
        </ext>
      </extLst>
    </cfRule>
  </conditionalFormatting>
  <conditionalFormatting sqref="X22:X23">
    <cfRule type="dataBar" priority="1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{32CCA3B6-7307-41F7-A9B3-BAE7017D5C3F}</x14:id>
        </ext>
      </extLst>
    </cfRule>
  </conditionalFormatting>
  <conditionalFormatting sqref="X25:X27">
    <cfRule type="dataBar" priority="10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{5D2556CF-182F-4BC8-ABC6-A67B0F9F56F3}</x14:id>
        </ext>
      </extLst>
    </cfRule>
  </conditionalFormatting>
  <conditionalFormatting sqref="X29">
    <cfRule type="dataBar" priority="10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{4D7B8131-2F0A-4F2A-B02D-D4E93548EBA0}</x14:id>
        </ext>
      </extLst>
    </cfRule>
  </conditionalFormatting>
  <conditionalFormatting sqref="X32:X40">
    <cfRule type="dataBar" priority="10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{6AB18148-3CD5-4C65-B5CE-90D87BFB138D}</x14:id>
        </ext>
      </extLst>
    </cfRule>
  </conditionalFormatting>
  <conditionalFormatting sqref="X42:X44">
    <cfRule type="dataBar" priority="10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{8A86BC0F-197C-4754-BCD6-4532ED80AA8E}</x14:id>
        </ext>
      </extLst>
    </cfRule>
  </conditionalFormatting>
  <conditionalFormatting sqref="X46:X49">
    <cfRule type="dataBar" priority="10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{7AA4EC71-120C-4B36-B0D2-2DE26D787E0E}</x14:id>
        </ext>
      </extLst>
    </cfRule>
  </conditionalFormatting>
  <conditionalFormatting sqref="X51:X55">
    <cfRule type="dataBar" priority="10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{A09C721A-BB41-4A74-8439-35216EDF3B4C}</x14:id>
        </ext>
      </extLst>
    </cfRule>
  </conditionalFormatting>
  <conditionalFormatting sqref="X60:X62">
    <cfRule type="dataBar" priority="10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{3ECC3C08-0A9F-4995-83CD-7B5D9DE86EB4}</x14:id>
        </ext>
      </extLst>
    </cfRule>
  </conditionalFormatting>
  <conditionalFormatting sqref="X64:X72">
    <cfRule type="dataBar" priority="10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{49E522D8-C8BF-4DA0-A93F-5DECF5FA4250}</x14:id>
        </ext>
      </extLst>
    </cfRule>
  </conditionalFormatting>
  <conditionalFormatting sqref="X74:X92">
    <cfRule type="dataBar" priority="10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{B1F06E44-9276-4F3D-81B7-BCA5D236D3FE}</x14:id>
        </ext>
      </extLst>
    </cfRule>
  </conditionalFormatting>
  <conditionalFormatting sqref="X94:X95">
    <cfRule type="dataBar" priority="10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{6C3FAE69-3CC0-4EBA-AFB0-4E71EFB9724C}</x14:id>
        </ext>
      </extLst>
    </cfRule>
  </conditionalFormatting>
  <conditionalFormatting sqref="X97:X99">
    <cfRule type="dataBar" priority="9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{456387CE-A42A-4DC6-8B73-B0B32181FCE5}</x14:id>
        </ext>
      </extLst>
    </cfRule>
  </conditionalFormatting>
  <conditionalFormatting sqref="X101:X104">
    <cfRule type="dataBar" priority="9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{52209341-EFE3-4C7B-9232-B71FE1AD2A55}</x14:id>
        </ext>
      </extLst>
    </cfRule>
  </conditionalFormatting>
  <conditionalFormatting sqref="K21:W104">
    <cfRule type="cellIs" dxfId="51" priority="97" operator="lessThan">
      <formula>0</formula>
    </cfRule>
  </conditionalFormatting>
  <conditionalFormatting sqref="O21:R104">
    <cfRule type="cellIs" dxfId="50" priority="96" operator="greaterThan">
      <formula>0</formula>
    </cfRule>
  </conditionalFormatting>
  <conditionalFormatting sqref="AJ21">
    <cfRule type="dataBar" priority="9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{DF4D028B-126E-4E50-AA52-E8C7E782279C}</x14:id>
        </ext>
      </extLst>
    </cfRule>
  </conditionalFormatting>
  <conditionalFormatting sqref="AJ21">
    <cfRule type="cellIs" dxfId="49" priority="94" operator="lessThan">
      <formula>0</formula>
    </cfRule>
  </conditionalFormatting>
  <conditionalFormatting sqref="AJ22:AJ23">
    <cfRule type="dataBar" priority="9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{88C400E5-51EF-40BB-9840-AEF9EE24C4DA}</x14:id>
        </ext>
      </extLst>
    </cfRule>
  </conditionalFormatting>
  <conditionalFormatting sqref="AJ22:AJ23">
    <cfRule type="cellIs" dxfId="48" priority="92" operator="lessThan">
      <formula>0</formula>
    </cfRule>
  </conditionalFormatting>
  <conditionalFormatting sqref="AJ25:AJ27">
    <cfRule type="dataBar" priority="9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{CEF90149-5AF0-48F1-A53D-CE23075470A5}</x14:id>
        </ext>
      </extLst>
    </cfRule>
  </conditionalFormatting>
  <conditionalFormatting sqref="AJ25:AJ27">
    <cfRule type="cellIs" dxfId="47" priority="90" operator="lessThan">
      <formula>0</formula>
    </cfRule>
  </conditionalFormatting>
  <conditionalFormatting sqref="AJ29">
    <cfRule type="dataBar" priority="8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{259220CD-819E-402D-B97A-C2F9F0136274}</x14:id>
        </ext>
      </extLst>
    </cfRule>
  </conditionalFormatting>
  <conditionalFormatting sqref="AJ29">
    <cfRule type="cellIs" dxfId="46" priority="88" operator="lessThan">
      <formula>0</formula>
    </cfRule>
  </conditionalFormatting>
  <conditionalFormatting sqref="AJ32:AJ40">
    <cfRule type="dataBar" priority="8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{E847DF80-4735-4A71-9074-6269386EEF06}</x14:id>
        </ext>
      </extLst>
    </cfRule>
  </conditionalFormatting>
  <conditionalFormatting sqref="AJ32:AJ40">
    <cfRule type="cellIs" dxfId="45" priority="86" operator="lessThan">
      <formula>0</formula>
    </cfRule>
  </conditionalFormatting>
  <conditionalFormatting sqref="AJ42:AJ44">
    <cfRule type="dataBar" priority="8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{BC34BC12-0281-4592-9F31-4537AF5C080F}</x14:id>
        </ext>
      </extLst>
    </cfRule>
  </conditionalFormatting>
  <conditionalFormatting sqref="AJ42:AJ44">
    <cfRule type="cellIs" dxfId="44" priority="84" operator="lessThan">
      <formula>0</formula>
    </cfRule>
  </conditionalFormatting>
  <conditionalFormatting sqref="AJ46:AJ49">
    <cfRule type="dataBar" priority="8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{3074B066-368E-4645-9967-EC22C23BEC75}</x14:id>
        </ext>
      </extLst>
    </cfRule>
  </conditionalFormatting>
  <conditionalFormatting sqref="AJ46:AJ49">
    <cfRule type="cellIs" dxfId="43" priority="82" operator="lessThan">
      <formula>0</formula>
    </cfRule>
  </conditionalFormatting>
  <conditionalFormatting sqref="AJ51:AJ55">
    <cfRule type="dataBar" priority="8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{8E7172C4-4E00-4272-85E0-1CD08258D482}</x14:id>
        </ext>
      </extLst>
    </cfRule>
  </conditionalFormatting>
  <conditionalFormatting sqref="AJ51:AJ55">
    <cfRule type="cellIs" dxfId="42" priority="80" operator="lessThan">
      <formula>0</formula>
    </cfRule>
  </conditionalFormatting>
  <conditionalFormatting sqref="AJ60:AJ62">
    <cfRule type="dataBar" priority="7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{1B4B6B35-627C-45E9-B782-156B80B7FE65}</x14:id>
        </ext>
      </extLst>
    </cfRule>
  </conditionalFormatting>
  <conditionalFormatting sqref="AJ60:AJ62">
    <cfRule type="cellIs" dxfId="41" priority="78" operator="lessThan">
      <formula>0</formula>
    </cfRule>
  </conditionalFormatting>
  <conditionalFormatting sqref="AJ64:AJ72">
    <cfRule type="dataBar" priority="7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{A5536EC2-DD24-4914-AA19-130FE1A76B09}</x14:id>
        </ext>
      </extLst>
    </cfRule>
  </conditionalFormatting>
  <conditionalFormatting sqref="AJ64:AJ72">
    <cfRule type="cellIs" dxfId="40" priority="76" operator="lessThan">
      <formula>0</formula>
    </cfRule>
  </conditionalFormatting>
  <conditionalFormatting sqref="AJ74:AJ92">
    <cfRule type="dataBar" priority="7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{55555CF3-5B47-47AC-A481-BEE5F8DEBF8E}</x14:id>
        </ext>
      </extLst>
    </cfRule>
  </conditionalFormatting>
  <conditionalFormatting sqref="AJ74:AJ92">
    <cfRule type="cellIs" dxfId="39" priority="74" operator="lessThan">
      <formula>0</formula>
    </cfRule>
  </conditionalFormatting>
  <conditionalFormatting sqref="AJ94:AJ95">
    <cfRule type="dataBar" priority="7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{D097CDE7-3670-48F0-9ADA-9B41309218A3}</x14:id>
        </ext>
      </extLst>
    </cfRule>
  </conditionalFormatting>
  <conditionalFormatting sqref="AJ94:AJ95">
    <cfRule type="cellIs" dxfId="38" priority="72" operator="lessThan">
      <formula>0</formula>
    </cfRule>
  </conditionalFormatting>
  <conditionalFormatting sqref="AJ97:AJ99">
    <cfRule type="dataBar" priority="7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{20A330D0-1BB3-4212-818A-D5FD7BCDED4D}</x14:id>
        </ext>
      </extLst>
    </cfRule>
  </conditionalFormatting>
  <conditionalFormatting sqref="AJ97:AJ99">
    <cfRule type="cellIs" dxfId="37" priority="70" operator="lessThan">
      <formula>0</formula>
    </cfRule>
  </conditionalFormatting>
  <conditionalFormatting sqref="AJ101:AJ104">
    <cfRule type="dataBar" priority="6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{B112BD58-C7BF-4E5D-BBDE-84EB6AA6A2D2}</x14:id>
        </ext>
      </extLst>
    </cfRule>
  </conditionalFormatting>
  <conditionalFormatting sqref="AJ101:AJ104">
    <cfRule type="cellIs" dxfId="36" priority="68" operator="lessThan">
      <formula>0</formula>
    </cfRule>
  </conditionalFormatting>
  <conditionalFormatting sqref="AO21">
    <cfRule type="dataBar" priority="6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{6E46EAF4-91A9-4B90-9B31-9484D5A31E4D}</x14:id>
        </ext>
      </extLst>
    </cfRule>
  </conditionalFormatting>
  <conditionalFormatting sqref="AO21">
    <cfRule type="cellIs" dxfId="35" priority="66" operator="lessThan">
      <formula>0</formula>
    </cfRule>
  </conditionalFormatting>
  <conditionalFormatting sqref="AO22:AO23">
    <cfRule type="dataBar" priority="3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{4AB83F4C-3502-47CC-9D2C-33C040A4398B}</x14:id>
        </ext>
      </extLst>
    </cfRule>
  </conditionalFormatting>
  <conditionalFormatting sqref="AO22:AO23">
    <cfRule type="cellIs" dxfId="34" priority="38" operator="lessThan">
      <formula>0</formula>
    </cfRule>
  </conditionalFormatting>
  <conditionalFormatting sqref="AO25:AO27">
    <cfRule type="dataBar" priority="3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{DDA82FE3-0272-42AD-BCDC-D7D3E63B3345}</x14:id>
        </ext>
      </extLst>
    </cfRule>
  </conditionalFormatting>
  <conditionalFormatting sqref="AO25:AO27">
    <cfRule type="cellIs" dxfId="33" priority="36" operator="lessThan">
      <formula>0</formula>
    </cfRule>
  </conditionalFormatting>
  <conditionalFormatting sqref="AO29">
    <cfRule type="dataBar" priority="3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{DD2256F0-AF25-4702-8218-600DC805441E}</x14:id>
        </ext>
      </extLst>
    </cfRule>
  </conditionalFormatting>
  <conditionalFormatting sqref="AO29">
    <cfRule type="cellIs" dxfId="32" priority="34" operator="lessThan">
      <formula>0</formula>
    </cfRule>
  </conditionalFormatting>
  <conditionalFormatting sqref="AO32:AO40">
    <cfRule type="dataBar" priority="3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{30EBF32F-E178-45FC-A811-3A08FF70ADB9}</x14:id>
        </ext>
      </extLst>
    </cfRule>
  </conditionalFormatting>
  <conditionalFormatting sqref="AO32:AO40">
    <cfRule type="cellIs" dxfId="31" priority="32" operator="lessThan">
      <formula>0</formula>
    </cfRule>
  </conditionalFormatting>
  <conditionalFormatting sqref="AO42:AO44">
    <cfRule type="dataBar" priority="3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{CC750C1A-8163-40FA-A65A-11A91D72647D}</x14:id>
        </ext>
      </extLst>
    </cfRule>
  </conditionalFormatting>
  <conditionalFormatting sqref="AO42:AO44">
    <cfRule type="cellIs" dxfId="30" priority="30" operator="lessThan">
      <formula>0</formula>
    </cfRule>
  </conditionalFormatting>
  <conditionalFormatting sqref="AO46:AO49">
    <cfRule type="dataBar" priority="2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{C382F183-88BD-42D0-A8CC-95452CDC7FD7}</x14:id>
        </ext>
      </extLst>
    </cfRule>
  </conditionalFormatting>
  <conditionalFormatting sqref="AO46:AO49">
    <cfRule type="cellIs" dxfId="29" priority="28" operator="lessThan">
      <formula>0</formula>
    </cfRule>
  </conditionalFormatting>
  <conditionalFormatting sqref="AO51:AO55">
    <cfRule type="dataBar" priority="2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{A03DFF5D-BC8C-4663-8BA5-1BE6ACFA672C}</x14:id>
        </ext>
      </extLst>
    </cfRule>
  </conditionalFormatting>
  <conditionalFormatting sqref="AO51:AO55">
    <cfRule type="cellIs" dxfId="28" priority="26" operator="lessThan">
      <formula>0</formula>
    </cfRule>
  </conditionalFormatting>
  <conditionalFormatting sqref="AO60:AO62">
    <cfRule type="dataBar" priority="2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{45112EB6-C37C-48DB-9782-D807569AC67B}</x14:id>
        </ext>
      </extLst>
    </cfRule>
  </conditionalFormatting>
  <conditionalFormatting sqref="AO60:AO62">
    <cfRule type="cellIs" dxfId="27" priority="24" operator="lessThan">
      <formula>0</formula>
    </cfRule>
  </conditionalFormatting>
  <conditionalFormatting sqref="AO64:AO72">
    <cfRule type="dataBar" priority="2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{3401C2C7-0DF1-4659-A02E-7943BD13163F}</x14:id>
        </ext>
      </extLst>
    </cfRule>
  </conditionalFormatting>
  <conditionalFormatting sqref="AO64:AO72">
    <cfRule type="cellIs" dxfId="26" priority="22" operator="lessThan">
      <formula>0</formula>
    </cfRule>
  </conditionalFormatting>
  <conditionalFormatting sqref="AO74:AO92">
    <cfRule type="dataBar" priority="2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{5A65B8AF-BA11-45D6-9579-A52EEC539A19}</x14:id>
        </ext>
      </extLst>
    </cfRule>
  </conditionalFormatting>
  <conditionalFormatting sqref="AO74:AO92">
    <cfRule type="cellIs" dxfId="25" priority="20" operator="lessThan">
      <formula>0</formula>
    </cfRule>
  </conditionalFormatting>
  <conditionalFormatting sqref="AO94:AO9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{5C8FB342-8987-45F1-8086-10937259A97D}</x14:id>
        </ext>
      </extLst>
    </cfRule>
  </conditionalFormatting>
  <conditionalFormatting sqref="AO94:AO95">
    <cfRule type="cellIs" dxfId="24" priority="18" operator="lessThan">
      <formula>0</formula>
    </cfRule>
  </conditionalFormatting>
  <conditionalFormatting sqref="AO97:AO99">
    <cfRule type="dataBar" priority="1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{357AE4B3-1174-44BD-876B-1744A04078D2}</x14:id>
        </ext>
      </extLst>
    </cfRule>
  </conditionalFormatting>
  <conditionalFormatting sqref="AO97:AO99">
    <cfRule type="cellIs" dxfId="23" priority="16" operator="lessThan">
      <formula>0</formula>
    </cfRule>
  </conditionalFormatting>
  <conditionalFormatting sqref="AO101:AO104">
    <cfRule type="dataBar" priority="1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{57FB22B5-357C-4085-B935-0B71051390EA}</x14:id>
        </ext>
      </extLst>
    </cfRule>
  </conditionalFormatting>
  <conditionalFormatting sqref="AO101:AO104">
    <cfRule type="cellIs" dxfId="22" priority="14" operator="lessThan">
      <formula>0</formula>
    </cfRule>
  </conditionalFormatting>
  <conditionalFormatting sqref="AO18">
    <cfRule type="dataBar" priority="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{C4C6999B-DABB-4C25-B323-341CAF948748}</x14:id>
        </ext>
      </extLst>
    </cfRule>
  </conditionalFormatting>
  <conditionalFormatting sqref="AO56:AO58"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{56C25A98-A5E1-4887-8081-6382DB08EAE7}</x14:id>
        </ext>
      </extLst>
    </cfRule>
  </conditionalFormatting>
  <conditionalFormatting sqref="AB18:AO56 AB59:AO104 AE57:AO58">
    <cfRule type="cellIs" dxfId="21" priority="11" operator="lessThan">
      <formula>0</formula>
    </cfRule>
  </conditionalFormatting>
  <conditionalFormatting sqref="AF18:AI104">
    <cfRule type="cellIs" dxfId="20" priority="10" operator="greaterThan">
      <formula>0</formula>
    </cfRule>
  </conditionalFormatting>
  <conditionalFormatting sqref="Y72:AA72">
    <cfRule type="cellIs" dxfId="19" priority="9" operator="lessThan">
      <formula>0</formula>
    </cfRule>
  </conditionalFormatting>
  <conditionalFormatting sqref="Y67:AA67">
    <cfRule type="cellIs" dxfId="18" priority="8" operator="lessThan">
      <formula>0</formula>
    </cfRule>
  </conditionalFormatting>
  <conditionalFormatting sqref="Y69:AA70">
    <cfRule type="cellIs" dxfId="17" priority="7" operator="lessThan">
      <formula>0</formula>
    </cfRule>
  </conditionalFormatting>
  <conditionalFormatting sqref="AB57">
    <cfRule type="cellIs" dxfId="16" priority="6" operator="lessThan">
      <formula>0</formula>
    </cfRule>
  </conditionalFormatting>
  <conditionalFormatting sqref="AC57">
    <cfRule type="cellIs" dxfId="15" priority="5" operator="lessThan">
      <formula>0</formula>
    </cfRule>
  </conditionalFormatting>
  <conditionalFormatting sqref="AD57">
    <cfRule type="cellIs" dxfId="14" priority="4" operator="lessThan">
      <formula>0</formula>
    </cfRule>
  </conditionalFormatting>
  <conditionalFormatting sqref="AB58">
    <cfRule type="cellIs" dxfId="13" priority="3" operator="lessThan">
      <formula>0</formula>
    </cfRule>
  </conditionalFormatting>
  <conditionalFormatting sqref="AC58">
    <cfRule type="cellIs" dxfId="12" priority="2" operator="lessThan">
      <formula>0</formula>
    </cfRule>
  </conditionalFormatting>
  <conditionalFormatting sqref="AD58">
    <cfRule type="cellIs" dxfId="11" priority="1" operator="lessThan">
      <formula>0</formula>
    </cfRule>
  </conditionalFormatting>
  <pageMargins left="0.58333330000000005" right="0.58333330000000005" top="0.5" bottom="0.46666669999999999" header="0" footer="0"/>
  <pageSetup paperSize="8" fitToHeight="100" orientation="landscape" blackAndWhite="1" r:id="rId1"/>
  <headerFooter>
    <oddFooter>&amp;CStrana &amp;P z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C3E7DBE-18BF-4FEA-949E-791EAB32217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S21</xm:sqref>
        </x14:conditionalFormatting>
        <x14:conditionalFormatting xmlns:xm="http://schemas.microsoft.com/office/excel/2006/main">
          <x14:cfRule type="dataBar" id="{66F739AA-36F2-4966-9CDA-97785EDB483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S22:S23</xm:sqref>
        </x14:conditionalFormatting>
        <x14:conditionalFormatting xmlns:xm="http://schemas.microsoft.com/office/excel/2006/main">
          <x14:cfRule type="dataBar" id="{211BBA2A-A194-4F2C-B4ED-2DC06684148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S25:S27</xm:sqref>
        </x14:conditionalFormatting>
        <x14:conditionalFormatting xmlns:xm="http://schemas.microsoft.com/office/excel/2006/main">
          <x14:cfRule type="dataBar" id="{E0541EC3-6CF3-40C0-A69B-A9F791997E3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S29</xm:sqref>
        </x14:conditionalFormatting>
        <x14:conditionalFormatting xmlns:xm="http://schemas.microsoft.com/office/excel/2006/main">
          <x14:cfRule type="dataBar" id="{71FDC49E-0977-4978-B5C9-223175427D1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S32:S40</xm:sqref>
        </x14:conditionalFormatting>
        <x14:conditionalFormatting xmlns:xm="http://schemas.microsoft.com/office/excel/2006/main">
          <x14:cfRule type="dataBar" id="{92E70CA6-892C-4B98-B57E-06E1FCB8CC1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S42:S44</xm:sqref>
        </x14:conditionalFormatting>
        <x14:conditionalFormatting xmlns:xm="http://schemas.microsoft.com/office/excel/2006/main">
          <x14:cfRule type="dataBar" id="{48659C82-26CC-4F71-99F3-5F4977348D7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S46:S49</xm:sqref>
        </x14:conditionalFormatting>
        <x14:conditionalFormatting xmlns:xm="http://schemas.microsoft.com/office/excel/2006/main">
          <x14:cfRule type="dataBar" id="{5DD6CDC8-70B8-4C01-BD3D-BD7316334A2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S51:S55</xm:sqref>
        </x14:conditionalFormatting>
        <x14:conditionalFormatting xmlns:xm="http://schemas.microsoft.com/office/excel/2006/main">
          <x14:cfRule type="dataBar" id="{E93A75AE-D933-487E-AA5B-32A0D8757E5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S60:S62</xm:sqref>
        </x14:conditionalFormatting>
        <x14:conditionalFormatting xmlns:xm="http://schemas.microsoft.com/office/excel/2006/main">
          <x14:cfRule type="dataBar" id="{0C70F9E9-3A45-4156-99E5-3067004F72A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S64:S72</xm:sqref>
        </x14:conditionalFormatting>
        <x14:conditionalFormatting xmlns:xm="http://schemas.microsoft.com/office/excel/2006/main">
          <x14:cfRule type="dataBar" id="{5CB6372E-109B-4C3C-9671-0930F6E06A9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S74:S92</xm:sqref>
        </x14:conditionalFormatting>
        <x14:conditionalFormatting xmlns:xm="http://schemas.microsoft.com/office/excel/2006/main">
          <x14:cfRule type="dataBar" id="{47C16CBB-86EF-4D5C-85F9-BE1E7769959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S94:S95</xm:sqref>
        </x14:conditionalFormatting>
        <x14:conditionalFormatting xmlns:xm="http://schemas.microsoft.com/office/excel/2006/main">
          <x14:cfRule type="dataBar" id="{0C1F9A45-12C0-4874-8793-ED47D644294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S97:S99</xm:sqref>
        </x14:conditionalFormatting>
        <x14:conditionalFormatting xmlns:xm="http://schemas.microsoft.com/office/excel/2006/main">
          <x14:cfRule type="dataBar" id="{A9A13D45-5F80-47C7-B0FA-3E75DEB438F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S101:S104</xm:sqref>
        </x14:conditionalFormatting>
        <x14:conditionalFormatting xmlns:xm="http://schemas.microsoft.com/office/excel/2006/main">
          <x14:cfRule type="dataBar" id="{BD7618C4-7C7F-44AF-B29E-AA3D5BD379F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X21</xm:sqref>
        </x14:conditionalFormatting>
        <x14:conditionalFormatting xmlns:xm="http://schemas.microsoft.com/office/excel/2006/main">
          <x14:cfRule type="dataBar" id="{32CCA3B6-7307-41F7-A9B3-BAE7017D5C3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X22:X23</xm:sqref>
        </x14:conditionalFormatting>
        <x14:conditionalFormatting xmlns:xm="http://schemas.microsoft.com/office/excel/2006/main">
          <x14:cfRule type="dataBar" id="{5D2556CF-182F-4BC8-ABC6-A67B0F9F56F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X25:X27</xm:sqref>
        </x14:conditionalFormatting>
        <x14:conditionalFormatting xmlns:xm="http://schemas.microsoft.com/office/excel/2006/main">
          <x14:cfRule type="dataBar" id="{4D7B8131-2F0A-4F2A-B02D-D4E93548EBA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X29</xm:sqref>
        </x14:conditionalFormatting>
        <x14:conditionalFormatting xmlns:xm="http://schemas.microsoft.com/office/excel/2006/main">
          <x14:cfRule type="dataBar" id="{6AB18148-3CD5-4C65-B5CE-90D87BFB138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X32:X40</xm:sqref>
        </x14:conditionalFormatting>
        <x14:conditionalFormatting xmlns:xm="http://schemas.microsoft.com/office/excel/2006/main">
          <x14:cfRule type="dataBar" id="{8A86BC0F-197C-4754-BCD6-4532ED80AA8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X42:X44</xm:sqref>
        </x14:conditionalFormatting>
        <x14:conditionalFormatting xmlns:xm="http://schemas.microsoft.com/office/excel/2006/main">
          <x14:cfRule type="dataBar" id="{7AA4EC71-120C-4B36-B0D2-2DE26D787E0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X46:X49</xm:sqref>
        </x14:conditionalFormatting>
        <x14:conditionalFormatting xmlns:xm="http://schemas.microsoft.com/office/excel/2006/main">
          <x14:cfRule type="dataBar" id="{A09C721A-BB41-4A74-8439-35216EDF3B4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X51:X55</xm:sqref>
        </x14:conditionalFormatting>
        <x14:conditionalFormatting xmlns:xm="http://schemas.microsoft.com/office/excel/2006/main">
          <x14:cfRule type="dataBar" id="{3ECC3C08-0A9F-4995-83CD-7B5D9DE86EB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X60:X62</xm:sqref>
        </x14:conditionalFormatting>
        <x14:conditionalFormatting xmlns:xm="http://schemas.microsoft.com/office/excel/2006/main">
          <x14:cfRule type="dataBar" id="{49E522D8-C8BF-4DA0-A93F-5DECF5FA425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X64:X72</xm:sqref>
        </x14:conditionalFormatting>
        <x14:conditionalFormatting xmlns:xm="http://schemas.microsoft.com/office/excel/2006/main">
          <x14:cfRule type="dataBar" id="{B1F06E44-9276-4F3D-81B7-BCA5D236D3F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X74:X92</xm:sqref>
        </x14:conditionalFormatting>
        <x14:conditionalFormatting xmlns:xm="http://schemas.microsoft.com/office/excel/2006/main">
          <x14:cfRule type="dataBar" id="{6C3FAE69-3CC0-4EBA-AFB0-4E71EFB9724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X94:X95</xm:sqref>
        </x14:conditionalFormatting>
        <x14:conditionalFormatting xmlns:xm="http://schemas.microsoft.com/office/excel/2006/main">
          <x14:cfRule type="dataBar" id="{456387CE-A42A-4DC6-8B73-B0B32181FCE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X97:X99</xm:sqref>
        </x14:conditionalFormatting>
        <x14:conditionalFormatting xmlns:xm="http://schemas.microsoft.com/office/excel/2006/main">
          <x14:cfRule type="dataBar" id="{52209341-EFE3-4C7B-9232-B71FE1AD2A5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X101:X104</xm:sqref>
        </x14:conditionalFormatting>
        <x14:conditionalFormatting xmlns:xm="http://schemas.microsoft.com/office/excel/2006/main">
          <x14:cfRule type="dataBar" id="{DF4D028B-126E-4E50-AA52-E8C7E782279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AJ21</xm:sqref>
        </x14:conditionalFormatting>
        <x14:conditionalFormatting xmlns:xm="http://schemas.microsoft.com/office/excel/2006/main">
          <x14:cfRule type="dataBar" id="{88C400E5-51EF-40BB-9840-AEF9EE24C4D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AJ22:AJ23</xm:sqref>
        </x14:conditionalFormatting>
        <x14:conditionalFormatting xmlns:xm="http://schemas.microsoft.com/office/excel/2006/main">
          <x14:cfRule type="dataBar" id="{CEF90149-5AF0-48F1-A53D-CE23075470A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AJ25:AJ27</xm:sqref>
        </x14:conditionalFormatting>
        <x14:conditionalFormatting xmlns:xm="http://schemas.microsoft.com/office/excel/2006/main">
          <x14:cfRule type="dataBar" id="{259220CD-819E-402D-B97A-C2F9F013627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AJ29</xm:sqref>
        </x14:conditionalFormatting>
        <x14:conditionalFormatting xmlns:xm="http://schemas.microsoft.com/office/excel/2006/main">
          <x14:cfRule type="dataBar" id="{E847DF80-4735-4A71-9074-6269386EEF0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AJ32:AJ40</xm:sqref>
        </x14:conditionalFormatting>
        <x14:conditionalFormatting xmlns:xm="http://schemas.microsoft.com/office/excel/2006/main">
          <x14:cfRule type="dataBar" id="{BC34BC12-0281-4592-9F31-4537AF5C080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AJ42:AJ44</xm:sqref>
        </x14:conditionalFormatting>
        <x14:conditionalFormatting xmlns:xm="http://schemas.microsoft.com/office/excel/2006/main">
          <x14:cfRule type="dataBar" id="{3074B066-368E-4645-9967-EC22C23BEC7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AJ46:AJ49</xm:sqref>
        </x14:conditionalFormatting>
        <x14:conditionalFormatting xmlns:xm="http://schemas.microsoft.com/office/excel/2006/main">
          <x14:cfRule type="dataBar" id="{8E7172C4-4E00-4272-85E0-1CD08258D48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AJ51:AJ55</xm:sqref>
        </x14:conditionalFormatting>
        <x14:conditionalFormatting xmlns:xm="http://schemas.microsoft.com/office/excel/2006/main">
          <x14:cfRule type="dataBar" id="{1B4B6B35-627C-45E9-B782-156B80B7FE6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AJ60:AJ62</xm:sqref>
        </x14:conditionalFormatting>
        <x14:conditionalFormatting xmlns:xm="http://schemas.microsoft.com/office/excel/2006/main">
          <x14:cfRule type="dataBar" id="{A5536EC2-DD24-4914-AA19-130FE1A76B0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AJ64:AJ72</xm:sqref>
        </x14:conditionalFormatting>
        <x14:conditionalFormatting xmlns:xm="http://schemas.microsoft.com/office/excel/2006/main">
          <x14:cfRule type="dataBar" id="{55555CF3-5B47-47AC-A481-BEE5F8DEBF8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AJ74:AJ92</xm:sqref>
        </x14:conditionalFormatting>
        <x14:conditionalFormatting xmlns:xm="http://schemas.microsoft.com/office/excel/2006/main">
          <x14:cfRule type="dataBar" id="{D097CDE7-3670-48F0-9ADA-9B41309218A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AJ94:AJ95</xm:sqref>
        </x14:conditionalFormatting>
        <x14:conditionalFormatting xmlns:xm="http://schemas.microsoft.com/office/excel/2006/main">
          <x14:cfRule type="dataBar" id="{20A330D0-1BB3-4212-818A-D5FD7BCDED4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AJ97:AJ99</xm:sqref>
        </x14:conditionalFormatting>
        <x14:conditionalFormatting xmlns:xm="http://schemas.microsoft.com/office/excel/2006/main">
          <x14:cfRule type="dataBar" id="{B112BD58-C7BF-4E5D-BBDE-84EB6AA6A2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AJ101:AJ104</xm:sqref>
        </x14:conditionalFormatting>
        <x14:conditionalFormatting xmlns:xm="http://schemas.microsoft.com/office/excel/2006/main">
          <x14:cfRule type="dataBar" id="{6E46EAF4-91A9-4B90-9B31-9484D5A31E4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AO21</xm:sqref>
        </x14:conditionalFormatting>
        <x14:conditionalFormatting xmlns:xm="http://schemas.microsoft.com/office/excel/2006/main">
          <x14:cfRule type="dataBar" id="{4AB83F4C-3502-47CC-9D2C-33C040A4398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AO22:AO23</xm:sqref>
        </x14:conditionalFormatting>
        <x14:conditionalFormatting xmlns:xm="http://schemas.microsoft.com/office/excel/2006/main">
          <x14:cfRule type="dataBar" id="{DDA82FE3-0272-42AD-BCDC-D7D3E63B334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AO25:AO27</xm:sqref>
        </x14:conditionalFormatting>
        <x14:conditionalFormatting xmlns:xm="http://schemas.microsoft.com/office/excel/2006/main">
          <x14:cfRule type="dataBar" id="{DD2256F0-AF25-4702-8218-600DC805441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AO29</xm:sqref>
        </x14:conditionalFormatting>
        <x14:conditionalFormatting xmlns:xm="http://schemas.microsoft.com/office/excel/2006/main">
          <x14:cfRule type="dataBar" id="{30EBF32F-E178-45FC-A811-3A08FF70ADB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AO32:AO40</xm:sqref>
        </x14:conditionalFormatting>
        <x14:conditionalFormatting xmlns:xm="http://schemas.microsoft.com/office/excel/2006/main">
          <x14:cfRule type="dataBar" id="{CC750C1A-8163-40FA-A65A-11A91D72647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AO42:AO44</xm:sqref>
        </x14:conditionalFormatting>
        <x14:conditionalFormatting xmlns:xm="http://schemas.microsoft.com/office/excel/2006/main">
          <x14:cfRule type="dataBar" id="{C382F183-88BD-42D0-A8CC-95452CDC7FD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AO46:AO49</xm:sqref>
        </x14:conditionalFormatting>
        <x14:conditionalFormatting xmlns:xm="http://schemas.microsoft.com/office/excel/2006/main">
          <x14:cfRule type="dataBar" id="{A03DFF5D-BC8C-4663-8BA5-1BE6ACFA672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AO51:AO55</xm:sqref>
        </x14:conditionalFormatting>
        <x14:conditionalFormatting xmlns:xm="http://schemas.microsoft.com/office/excel/2006/main">
          <x14:cfRule type="dataBar" id="{45112EB6-C37C-48DB-9782-D807569AC67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AO60:AO62</xm:sqref>
        </x14:conditionalFormatting>
        <x14:conditionalFormatting xmlns:xm="http://schemas.microsoft.com/office/excel/2006/main">
          <x14:cfRule type="dataBar" id="{3401C2C7-0DF1-4659-A02E-7943BD13163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AO64:AO72</xm:sqref>
        </x14:conditionalFormatting>
        <x14:conditionalFormatting xmlns:xm="http://schemas.microsoft.com/office/excel/2006/main">
          <x14:cfRule type="dataBar" id="{5A65B8AF-BA11-45D6-9579-A52EEC539A1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AO74:AO92</xm:sqref>
        </x14:conditionalFormatting>
        <x14:conditionalFormatting xmlns:xm="http://schemas.microsoft.com/office/excel/2006/main">
          <x14:cfRule type="dataBar" id="{5C8FB342-8987-45F1-8086-10937259A97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AO94:AO95</xm:sqref>
        </x14:conditionalFormatting>
        <x14:conditionalFormatting xmlns:xm="http://schemas.microsoft.com/office/excel/2006/main">
          <x14:cfRule type="dataBar" id="{357AE4B3-1174-44BD-876B-1744A04078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AO97:AO99</xm:sqref>
        </x14:conditionalFormatting>
        <x14:conditionalFormatting xmlns:xm="http://schemas.microsoft.com/office/excel/2006/main">
          <x14:cfRule type="dataBar" id="{57FB22B5-357C-4085-B935-0B71051390E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AO101:AO104</xm:sqref>
        </x14:conditionalFormatting>
        <x14:conditionalFormatting xmlns:xm="http://schemas.microsoft.com/office/excel/2006/main">
          <x14:cfRule type="dataBar" id="{C4C6999B-DABB-4C25-B323-341CAF94874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AO18</xm:sqref>
        </x14:conditionalFormatting>
        <x14:conditionalFormatting xmlns:xm="http://schemas.microsoft.com/office/excel/2006/main">
          <x14:cfRule type="dataBar" id="{56C25A98-A5E1-4887-8081-6382DB08EAE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AO56:AO58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BW137"/>
  <sheetViews>
    <sheetView showGridLines="0" view="pageBreakPreview" zoomScale="85" zoomScaleNormal="70" zoomScaleSheetLayoutView="85" workbookViewId="0">
      <pane ySplit="1" topLeftCell="A112" activePane="bottomLeft" state="frozen"/>
      <selection pane="bottomLeft" activeCell="P127" sqref="P127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6" width="11.5" style="121" customWidth="1"/>
    <col min="17" max="17" width="12.83203125" bestFit="1" customWidth="1"/>
    <col min="18" max="21" width="12.83203125" style="121" customWidth="1"/>
    <col min="22" max="22" width="18.6640625" bestFit="1" customWidth="1"/>
    <col min="23" max="27" width="18.6640625" style="121" customWidth="1"/>
    <col min="28" max="28" width="1.6640625" customWidth="1"/>
    <col min="29" max="29" width="9.5" customWidth="1"/>
    <col min="30" max="30" width="29.6640625" hidden="1" customWidth="1"/>
    <col min="31" max="31" width="16.33203125" hidden="1" customWidth="1"/>
    <col min="32" max="32" width="12.33203125" hidden="1" customWidth="1"/>
    <col min="33" max="33" width="16.33203125" hidden="1" customWidth="1"/>
    <col min="34" max="34" width="12.1640625" hidden="1" customWidth="1"/>
    <col min="35" max="35" width="15" hidden="1" customWidth="1"/>
    <col min="36" max="36" width="11" hidden="1" customWidth="1"/>
    <col min="37" max="37" width="15" hidden="1" customWidth="1"/>
    <col min="38" max="38" width="16.33203125" hidden="1" customWidth="1"/>
    <col min="39" max="39" width="14" customWidth="1"/>
    <col min="40" max="40" width="8" hidden="1" customWidth="1"/>
    <col min="41" max="41" width="16.33203125" hidden="1" customWidth="1"/>
    <col min="54" max="75" width="9.33203125" hidden="1"/>
  </cols>
  <sheetData>
    <row r="4" spans="2:28" s="1" customFormat="1" ht="6.95" customHeight="1"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8"/>
    </row>
    <row r="5" spans="2:28" s="1" customFormat="1" ht="36.950000000000003" customHeight="1">
      <c r="B5" s="15"/>
      <c r="C5" s="485" t="s">
        <v>134</v>
      </c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  <c r="S5" s="515"/>
      <c r="T5" s="515"/>
      <c r="U5" s="515"/>
      <c r="V5" s="515"/>
      <c r="W5" s="123"/>
      <c r="X5" s="123"/>
      <c r="Y5" s="123"/>
      <c r="Z5" s="123"/>
      <c r="AA5" s="123"/>
      <c r="AB5" s="17"/>
    </row>
    <row r="6" spans="2:28" s="1" customFormat="1" ht="6.95" customHeight="1">
      <c r="B6" s="15"/>
      <c r="C6" s="16"/>
      <c r="D6" s="16"/>
      <c r="E6" s="16"/>
      <c r="F6" s="16"/>
      <c r="G6" s="16"/>
      <c r="H6" s="16"/>
      <c r="I6" s="16"/>
      <c r="J6" s="16"/>
      <c r="K6" s="16"/>
      <c r="L6" s="123"/>
      <c r="M6" s="123"/>
      <c r="N6" s="123"/>
      <c r="O6" s="123"/>
      <c r="P6" s="123"/>
      <c r="Q6" s="16"/>
      <c r="R6" s="123"/>
      <c r="S6" s="123"/>
      <c r="T6" s="123"/>
      <c r="U6" s="123"/>
      <c r="V6" s="16"/>
      <c r="W6" s="123"/>
      <c r="X6" s="123"/>
      <c r="Y6" s="123"/>
      <c r="Z6" s="123"/>
      <c r="AA6" s="123"/>
      <c r="AB6" s="17"/>
    </row>
    <row r="7" spans="2:28" s="1" customFormat="1" ht="30" customHeight="1">
      <c r="B7" s="15"/>
      <c r="C7" s="14" t="s">
        <v>3</v>
      </c>
      <c r="D7" s="16"/>
      <c r="E7" s="16"/>
      <c r="F7" s="513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6"/>
      <c r="S7" s="516"/>
      <c r="T7" s="516"/>
      <c r="U7" s="516"/>
      <c r="V7" s="516"/>
      <c r="W7" s="122"/>
      <c r="X7" s="122"/>
      <c r="Y7" s="122"/>
      <c r="Z7" s="122"/>
      <c r="AA7" s="122"/>
      <c r="AB7" s="17"/>
    </row>
    <row r="8" spans="2:28" ht="30" customHeight="1">
      <c r="B8" s="10"/>
      <c r="C8" s="14" t="s">
        <v>121</v>
      </c>
      <c r="D8" s="12"/>
      <c r="E8" s="12"/>
      <c r="F8" s="513" t="s">
        <v>549</v>
      </c>
      <c r="G8" s="517"/>
      <c r="H8" s="517"/>
      <c r="I8" s="517"/>
      <c r="J8" s="517"/>
      <c r="K8" s="517"/>
      <c r="L8" s="517"/>
      <c r="M8" s="517"/>
      <c r="N8" s="517"/>
      <c r="O8" s="517"/>
      <c r="P8" s="517"/>
      <c r="Q8" s="517"/>
      <c r="R8" s="517"/>
      <c r="S8" s="517"/>
      <c r="T8" s="517"/>
      <c r="U8" s="517"/>
      <c r="V8" s="517"/>
      <c r="W8" s="120"/>
      <c r="X8" s="120"/>
      <c r="Y8" s="120"/>
      <c r="Z8" s="120"/>
      <c r="AA8" s="120"/>
      <c r="AB8" s="11"/>
    </row>
    <row r="9" spans="2:28" ht="30" customHeight="1">
      <c r="B9" s="10"/>
      <c r="C9" s="14" t="s">
        <v>123</v>
      </c>
      <c r="D9" s="12"/>
      <c r="E9" s="12"/>
      <c r="F9" s="513" t="s">
        <v>550</v>
      </c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120"/>
      <c r="X9" s="120"/>
      <c r="Y9" s="120"/>
      <c r="Z9" s="120"/>
      <c r="AA9" s="120"/>
      <c r="AB9" s="11"/>
    </row>
    <row r="10" spans="2:28" s="1" customFormat="1" ht="36.950000000000003" customHeight="1">
      <c r="B10" s="15"/>
      <c r="C10" s="33" t="s">
        <v>551</v>
      </c>
      <c r="D10" s="16"/>
      <c r="E10" s="16"/>
      <c r="F10" s="487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123"/>
      <c r="X10" s="123"/>
      <c r="Y10" s="123"/>
      <c r="Z10" s="123"/>
      <c r="AA10" s="123"/>
      <c r="AB10" s="17"/>
    </row>
    <row r="11" spans="2:28" s="1" customFormat="1" ht="6.95" customHeigh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23"/>
      <c r="M11" s="123"/>
      <c r="N11" s="123"/>
      <c r="O11" s="123"/>
      <c r="P11" s="123"/>
      <c r="Q11" s="16"/>
      <c r="R11" s="123"/>
      <c r="S11" s="123"/>
      <c r="T11" s="123"/>
      <c r="U11" s="123"/>
      <c r="V11" s="16"/>
      <c r="W11" s="123"/>
      <c r="X11" s="123"/>
      <c r="Y11" s="123"/>
      <c r="Z11" s="123"/>
      <c r="AA11" s="123"/>
      <c r="AB11" s="17"/>
    </row>
    <row r="12" spans="2:28" s="1" customFormat="1" ht="18" customHeight="1">
      <c r="B12" s="15"/>
      <c r="C12" s="14" t="s">
        <v>4</v>
      </c>
      <c r="D12" s="16"/>
      <c r="E12" s="16"/>
      <c r="F12" s="13"/>
      <c r="G12" s="16"/>
      <c r="H12" s="16"/>
      <c r="I12" s="16"/>
      <c r="J12" s="16"/>
      <c r="K12" s="14" t="s">
        <v>5</v>
      </c>
      <c r="L12" s="122"/>
      <c r="M12" s="122"/>
      <c r="N12" s="122"/>
      <c r="O12" s="122"/>
      <c r="P12" s="122"/>
      <c r="Q12" s="16"/>
      <c r="R12" s="123"/>
      <c r="S12" s="123"/>
      <c r="T12" s="123"/>
      <c r="U12" s="123"/>
      <c r="V12" s="124"/>
      <c r="W12" s="124"/>
      <c r="X12" s="124"/>
      <c r="Y12" s="124"/>
      <c r="Z12" s="124"/>
      <c r="AA12" s="124"/>
      <c r="AB12" s="17"/>
    </row>
    <row r="13" spans="2:28" s="1" customFormat="1" ht="6.95" customHeight="1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23"/>
      <c r="M13" s="123"/>
      <c r="N13" s="123"/>
      <c r="O13" s="123"/>
      <c r="P13" s="123"/>
      <c r="Q13" s="16"/>
      <c r="R13" s="123"/>
      <c r="S13" s="123"/>
      <c r="T13" s="123"/>
      <c r="U13" s="123"/>
      <c r="V13" s="16"/>
      <c r="W13" s="123"/>
      <c r="X13" s="123"/>
      <c r="Y13" s="123"/>
      <c r="Z13" s="123"/>
      <c r="AA13" s="123"/>
      <c r="AB13" s="17"/>
    </row>
    <row r="14" spans="2:28" s="1" customFormat="1" ht="15">
      <c r="B14" s="15"/>
      <c r="C14" s="14" t="s">
        <v>6</v>
      </c>
      <c r="D14" s="16"/>
      <c r="E14" s="16"/>
      <c r="F14" s="13"/>
      <c r="G14" s="16"/>
      <c r="H14" s="16"/>
      <c r="I14" s="16"/>
      <c r="J14" s="16"/>
      <c r="K14" s="14" t="s">
        <v>8</v>
      </c>
      <c r="L14" s="122"/>
      <c r="M14" s="122"/>
      <c r="N14" s="122"/>
      <c r="O14" s="122"/>
      <c r="P14" s="122"/>
      <c r="Q14" s="16"/>
      <c r="R14" s="123"/>
      <c r="S14" s="123"/>
      <c r="T14" s="123"/>
      <c r="U14" s="123"/>
      <c r="V14" s="119"/>
      <c r="W14" s="119"/>
      <c r="X14" s="119"/>
      <c r="Y14" s="119"/>
      <c r="Z14" s="119"/>
      <c r="AA14" s="119"/>
      <c r="AB14" s="17"/>
    </row>
    <row r="15" spans="2:28" s="1" customFormat="1" ht="14.45" customHeight="1">
      <c r="B15" s="15"/>
      <c r="C15" s="14" t="s">
        <v>7</v>
      </c>
      <c r="D15" s="16"/>
      <c r="E15" s="16"/>
      <c r="F15" s="13"/>
      <c r="G15" s="16"/>
      <c r="H15" s="16"/>
      <c r="I15" s="16"/>
      <c r="J15" s="16"/>
      <c r="K15" s="14" t="s">
        <v>9</v>
      </c>
      <c r="L15" s="122"/>
      <c r="M15" s="122"/>
      <c r="N15" s="122"/>
      <c r="O15" s="122"/>
      <c r="P15" s="122"/>
      <c r="Q15" s="16"/>
      <c r="R15" s="123"/>
      <c r="S15" s="123"/>
      <c r="T15" s="123"/>
      <c r="U15" s="123"/>
      <c r="V15" s="119"/>
      <c r="W15" s="119"/>
      <c r="X15" s="119"/>
      <c r="Y15" s="119"/>
      <c r="Z15" s="119"/>
      <c r="AA15" s="119"/>
      <c r="AB15" s="17"/>
    </row>
    <row r="16" spans="2:28" s="1" customFormat="1" ht="10.35" customHeight="1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23"/>
      <c r="M16" s="123"/>
      <c r="N16" s="123"/>
      <c r="O16" s="123"/>
      <c r="P16" s="123"/>
      <c r="Q16" s="16"/>
      <c r="R16" s="123"/>
      <c r="S16" s="123"/>
      <c r="T16" s="123"/>
      <c r="U16" s="123"/>
      <c r="V16" s="16"/>
      <c r="W16" s="123"/>
      <c r="X16" s="123"/>
      <c r="Y16" s="123"/>
      <c r="Z16" s="123"/>
      <c r="AA16" s="123"/>
      <c r="AB16" s="17"/>
    </row>
    <row r="17" spans="2:75" s="6" customFormat="1" ht="29.25" customHeight="1">
      <c r="B17" s="75"/>
      <c r="C17" s="76" t="s">
        <v>135</v>
      </c>
      <c r="D17" s="77" t="s">
        <v>136</v>
      </c>
      <c r="E17" s="77" t="s">
        <v>14</v>
      </c>
      <c r="F17" s="511" t="s">
        <v>137</v>
      </c>
      <c r="G17" s="511"/>
      <c r="H17" s="511"/>
      <c r="I17" s="511"/>
      <c r="J17" s="77" t="s">
        <v>138</v>
      </c>
      <c r="K17" s="125" t="s">
        <v>1089</v>
      </c>
      <c r="L17" s="125" t="s">
        <v>1090</v>
      </c>
      <c r="M17" s="125" t="s">
        <v>1091</v>
      </c>
      <c r="N17" s="125" t="s">
        <v>1092</v>
      </c>
      <c r="O17" s="125" t="s">
        <v>1093</v>
      </c>
      <c r="P17" s="125" t="s">
        <v>1106</v>
      </c>
      <c r="Q17" s="126" t="s">
        <v>1095</v>
      </c>
      <c r="R17" s="126" t="s">
        <v>1096</v>
      </c>
      <c r="S17" s="126" t="s">
        <v>1098</v>
      </c>
      <c r="T17" s="126" t="s">
        <v>1100</v>
      </c>
      <c r="U17" s="126" t="s">
        <v>1102</v>
      </c>
      <c r="V17" s="125" t="s">
        <v>1094</v>
      </c>
      <c r="W17" s="125" t="s">
        <v>1097</v>
      </c>
      <c r="X17" s="125" t="s">
        <v>1099</v>
      </c>
      <c r="Y17" s="125" t="s">
        <v>1101</v>
      </c>
      <c r="Z17" s="125" t="s">
        <v>1103</v>
      </c>
      <c r="AA17" s="125" t="s">
        <v>1107</v>
      </c>
      <c r="AB17" s="78"/>
      <c r="AC17" s="6" t="s">
        <v>950</v>
      </c>
      <c r="AD17" s="39" t="s">
        <v>141</v>
      </c>
      <c r="AE17" s="40" t="s">
        <v>10</v>
      </c>
      <c r="AF17" s="40" t="s">
        <v>142</v>
      </c>
      <c r="AG17" s="40" t="s">
        <v>143</v>
      </c>
      <c r="AH17" s="40" t="s">
        <v>144</v>
      </c>
      <c r="AI17" s="40" t="s">
        <v>145</v>
      </c>
      <c r="AJ17" s="40" t="s">
        <v>146</v>
      </c>
      <c r="AK17" s="41" t="s">
        <v>147</v>
      </c>
      <c r="AM17" s="6" t="s">
        <v>136</v>
      </c>
    </row>
    <row r="18" spans="2:75" s="1" customFormat="1" ht="29.25" customHeight="1">
      <c r="B18" s="15"/>
      <c r="C18" s="363" t="s">
        <v>124</v>
      </c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2">
        <f t="shared" ref="V18:AA18" si="0">V19+V28+V103</f>
        <v>33727.088000000003</v>
      </c>
      <c r="W18" s="362">
        <f t="shared" si="0"/>
        <v>33465.868000000002</v>
      </c>
      <c r="X18" s="362">
        <f t="shared" si="0"/>
        <v>38323.313999999998</v>
      </c>
      <c r="Y18" s="362">
        <f t="shared" si="0"/>
        <v>39354.334999999992</v>
      </c>
      <c r="Z18" s="362">
        <f t="shared" si="0"/>
        <v>6094.6130000000003</v>
      </c>
      <c r="AA18" s="362">
        <f t="shared" si="0"/>
        <v>150965.21799999999</v>
      </c>
      <c r="AB18" s="17"/>
      <c r="AD18" s="42"/>
      <c r="AE18" s="19"/>
      <c r="AF18" s="19"/>
      <c r="AG18" s="79">
        <f>AG19+AG28+AG103+AG115</f>
        <v>0</v>
      </c>
      <c r="AH18" s="19"/>
      <c r="AI18" s="79">
        <f>AI19+AI28+AI103+AI115</f>
        <v>0</v>
      </c>
      <c r="AJ18" s="19"/>
      <c r="AK18" s="80">
        <f>AK19+AK28+AK103+AK115</f>
        <v>0</v>
      </c>
      <c r="AN18" s="1">
        <v>1.02</v>
      </c>
      <c r="BD18" s="9" t="s">
        <v>30</v>
      </c>
      <c r="BE18" s="9" t="s">
        <v>126</v>
      </c>
      <c r="BU18" s="81">
        <f>BU19+BU28+BU103+BU115</f>
        <v>33727.088000000003</v>
      </c>
    </row>
    <row r="19" spans="2:75" s="7" customFormat="1" ht="37.35" customHeight="1">
      <c r="B19" s="82"/>
      <c r="C19" s="83"/>
      <c r="D19" s="84" t="s">
        <v>127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130">
        <f t="shared" ref="V19:AA19" si="1">V20</f>
        <v>15189.397999999999</v>
      </c>
      <c r="W19" s="130">
        <f t="shared" si="1"/>
        <v>14928.178000000002</v>
      </c>
      <c r="X19" s="130">
        <f t="shared" si="1"/>
        <v>17980.064000000002</v>
      </c>
      <c r="Y19" s="130">
        <f t="shared" si="1"/>
        <v>18507.149000000001</v>
      </c>
      <c r="Z19" s="130">
        <f t="shared" si="1"/>
        <v>1642.443</v>
      </c>
      <c r="AA19" s="130">
        <f t="shared" si="1"/>
        <v>68247.232000000004</v>
      </c>
      <c r="AB19" s="85"/>
      <c r="AD19" s="86"/>
      <c r="AE19" s="83"/>
      <c r="AF19" s="83"/>
      <c r="AG19" s="87">
        <f>AG20</f>
        <v>0</v>
      </c>
      <c r="AH19" s="83"/>
      <c r="AI19" s="87">
        <f>AI20</f>
        <v>0</v>
      </c>
      <c r="AJ19" s="83"/>
      <c r="AK19" s="88">
        <f>AK20</f>
        <v>0</v>
      </c>
      <c r="BB19" s="89" t="s">
        <v>38</v>
      </c>
      <c r="BD19" s="90" t="s">
        <v>30</v>
      </c>
      <c r="BE19" s="90" t="s">
        <v>31</v>
      </c>
      <c r="BI19" s="89" t="s">
        <v>148</v>
      </c>
      <c r="BU19" s="91">
        <f>BU20</f>
        <v>15189.397999999999</v>
      </c>
    </row>
    <row r="20" spans="2:75" s="7" customFormat="1" ht="19.899999999999999" customHeight="1">
      <c r="B20" s="82"/>
      <c r="C20" s="83"/>
      <c r="D20" s="92" t="s">
        <v>128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131">
        <f t="shared" ref="V20:AA20" si="2">SUM(V21:V27)</f>
        <v>15189.397999999999</v>
      </c>
      <c r="W20" s="131">
        <f t="shared" si="2"/>
        <v>14928.178000000002</v>
      </c>
      <c r="X20" s="131">
        <f t="shared" si="2"/>
        <v>17980.064000000002</v>
      </c>
      <c r="Y20" s="131">
        <f t="shared" si="2"/>
        <v>18507.149000000001</v>
      </c>
      <c r="Z20" s="131">
        <f t="shared" si="2"/>
        <v>1642.443</v>
      </c>
      <c r="AA20" s="131">
        <f t="shared" si="2"/>
        <v>68247.232000000004</v>
      </c>
      <c r="AB20" s="85"/>
      <c r="AD20" s="86"/>
      <c r="AE20" s="83"/>
      <c r="AF20" s="83"/>
      <c r="AG20" s="87">
        <f>SUM(AG21:AG27)</f>
        <v>0</v>
      </c>
      <c r="AH20" s="83"/>
      <c r="AI20" s="87">
        <f>SUM(AI21:AI27)</f>
        <v>0</v>
      </c>
      <c r="AJ20" s="83"/>
      <c r="AK20" s="88">
        <f>SUM(AK21:AK27)</f>
        <v>0</v>
      </c>
      <c r="BB20" s="89" t="s">
        <v>38</v>
      </c>
      <c r="BD20" s="90" t="s">
        <v>30</v>
      </c>
      <c r="BE20" s="90" t="s">
        <v>38</v>
      </c>
      <c r="BI20" s="89" t="s">
        <v>148</v>
      </c>
      <c r="BU20" s="91">
        <f>SUM(BU21:BU27)</f>
        <v>15189.397999999999</v>
      </c>
    </row>
    <row r="21" spans="2:75" s="1" customFormat="1" ht="31.5" customHeight="1">
      <c r="B21" s="73"/>
      <c r="C21" s="93" t="s">
        <v>38</v>
      </c>
      <c r="D21" s="93" t="s">
        <v>149</v>
      </c>
      <c r="E21" s="94" t="s">
        <v>561</v>
      </c>
      <c r="F21" s="498" t="s">
        <v>562</v>
      </c>
      <c r="G21" s="498"/>
      <c r="H21" s="498"/>
      <c r="I21" s="498"/>
      <c r="J21" s="95" t="s">
        <v>152</v>
      </c>
      <c r="K21" s="96">
        <v>3.55</v>
      </c>
      <c r="L21" s="128">
        <v>3.55</v>
      </c>
      <c r="M21" s="128">
        <v>3.55</v>
      </c>
      <c r="N21" s="128">
        <v>3.55</v>
      </c>
      <c r="O21" s="128">
        <v>0.55000000000000004</v>
      </c>
      <c r="P21" s="165">
        <f>SUM(K21:O21)</f>
        <v>14.75</v>
      </c>
      <c r="Q21" s="127">
        <v>32.79</v>
      </c>
      <c r="R21" s="127">
        <v>32.79</v>
      </c>
      <c r="S21" s="127">
        <v>32.79</v>
      </c>
      <c r="T21" s="127">
        <v>32.79</v>
      </c>
      <c r="U21" s="127">
        <v>32.79</v>
      </c>
      <c r="V21" s="128">
        <f t="shared" ref="V21:Z27" si="3">ROUND(Q21*K21,3)</f>
        <v>116.405</v>
      </c>
      <c r="W21" s="128">
        <f t="shared" si="3"/>
        <v>116.405</v>
      </c>
      <c r="X21" s="128">
        <f t="shared" si="3"/>
        <v>116.405</v>
      </c>
      <c r="Y21" s="128">
        <f t="shared" si="3"/>
        <v>116.405</v>
      </c>
      <c r="Z21" s="128">
        <f t="shared" si="3"/>
        <v>18.035</v>
      </c>
      <c r="AA21" s="128">
        <f>SUM(V21:Z21)</f>
        <v>483.65500000000003</v>
      </c>
      <c r="AB21" s="74"/>
      <c r="AD21" s="98" t="s">
        <v>0</v>
      </c>
      <c r="AE21" s="18" t="s">
        <v>11</v>
      </c>
      <c r="AF21" s="16"/>
      <c r="AG21" s="99">
        <f t="shared" ref="AG21:AG27" si="4">AF21*K21</f>
        <v>0</v>
      </c>
      <c r="AH21" s="99">
        <v>0</v>
      </c>
      <c r="AI21" s="99">
        <f t="shared" ref="AI21:AI27" si="5">AH21*K21</f>
        <v>0</v>
      </c>
      <c r="AJ21" s="99">
        <v>0</v>
      </c>
      <c r="AK21" s="100">
        <f t="shared" ref="AK21:AK27" si="6">AJ21*K21</f>
        <v>0</v>
      </c>
      <c r="AO21" s="1">
        <v>36.72</v>
      </c>
      <c r="BB21" s="9" t="s">
        <v>153</v>
      </c>
      <c r="BD21" s="9" t="s">
        <v>149</v>
      </c>
      <c r="BE21" s="9" t="s">
        <v>42</v>
      </c>
      <c r="BI21" s="9" t="s">
        <v>148</v>
      </c>
      <c r="BO21" s="72">
        <f t="shared" ref="BO21:BO27" si="7">IF(AE21="základná",V21,0)</f>
        <v>0</v>
      </c>
      <c r="BP21" s="72">
        <f t="shared" ref="BP21:BP27" si="8">IF(AE21="znížená",V21,0)</f>
        <v>116.405</v>
      </c>
      <c r="BQ21" s="72">
        <f t="shared" ref="BQ21:BQ27" si="9">IF(AE21="zákl. prenesená",V21,0)</f>
        <v>0</v>
      </c>
      <c r="BR21" s="72">
        <f t="shared" ref="BR21:BR27" si="10">IF(AE21="zníž. prenesená",V21,0)</f>
        <v>0</v>
      </c>
      <c r="BS21" s="72">
        <f t="shared" ref="BS21:BS27" si="11">IF(AE21="nulová",V21,0)</f>
        <v>0</v>
      </c>
      <c r="BT21" s="9" t="s">
        <v>42</v>
      </c>
      <c r="BU21" s="101">
        <f t="shared" ref="BU21:BU27" si="12">ROUND(Q21*K21,3)</f>
        <v>116.405</v>
      </c>
      <c r="BV21" s="9" t="s">
        <v>153</v>
      </c>
      <c r="BW21" s="9" t="s">
        <v>42</v>
      </c>
    </row>
    <row r="22" spans="2:75" s="1" customFormat="1" ht="22.5" customHeight="1">
      <c r="B22" s="73"/>
      <c r="C22" s="93" t="s">
        <v>563</v>
      </c>
      <c r="D22" s="93" t="s">
        <v>149</v>
      </c>
      <c r="E22" s="94" t="s">
        <v>564</v>
      </c>
      <c r="F22" s="498" t="s">
        <v>565</v>
      </c>
      <c r="G22" s="498"/>
      <c r="H22" s="498"/>
      <c r="I22" s="498"/>
      <c r="J22" s="95" t="s">
        <v>198</v>
      </c>
      <c r="K22" s="96">
        <v>1600</v>
      </c>
      <c r="L22" s="128">
        <v>1540</v>
      </c>
      <c r="M22" s="128">
        <v>1900</v>
      </c>
      <c r="N22" s="128">
        <v>1900</v>
      </c>
      <c r="O22" s="128">
        <v>90</v>
      </c>
      <c r="P22" s="165">
        <f t="shared" ref="P22:P27" si="13">SUM(K22:O22)</f>
        <v>7030</v>
      </c>
      <c r="Q22" s="127">
        <v>3.89</v>
      </c>
      <c r="R22" s="127">
        <v>3.89</v>
      </c>
      <c r="S22" s="127">
        <v>3.89</v>
      </c>
      <c r="T22" s="127">
        <v>3.89</v>
      </c>
      <c r="U22" s="127">
        <v>3.89</v>
      </c>
      <c r="V22" s="128">
        <f t="shared" si="3"/>
        <v>6224</v>
      </c>
      <c r="W22" s="128">
        <f t="shared" si="3"/>
        <v>5990.6</v>
      </c>
      <c r="X22" s="128">
        <f t="shared" si="3"/>
        <v>7391</v>
      </c>
      <c r="Y22" s="128">
        <f t="shared" si="3"/>
        <v>7391</v>
      </c>
      <c r="Z22" s="128">
        <f t="shared" si="3"/>
        <v>350.1</v>
      </c>
      <c r="AA22" s="128">
        <f t="shared" ref="AA22:AA27" si="14">SUM(V22:Z22)</f>
        <v>27346.699999999997</v>
      </c>
      <c r="AB22" s="74"/>
      <c r="AD22" s="98" t="s">
        <v>0</v>
      </c>
      <c r="AE22" s="18" t="s">
        <v>11</v>
      </c>
      <c r="AF22" s="16"/>
      <c r="AG22" s="99">
        <f t="shared" si="4"/>
        <v>0</v>
      </c>
      <c r="AH22" s="99">
        <v>0</v>
      </c>
      <c r="AI22" s="99">
        <f t="shared" si="5"/>
        <v>0</v>
      </c>
      <c r="AJ22" s="99">
        <v>0</v>
      </c>
      <c r="AK22" s="100">
        <f t="shared" si="6"/>
        <v>0</v>
      </c>
      <c r="AO22" s="1">
        <v>4.3499999999999996</v>
      </c>
      <c r="BB22" s="9" t="s">
        <v>169</v>
      </c>
      <c r="BD22" s="9" t="s">
        <v>149</v>
      </c>
      <c r="BE22" s="9" t="s">
        <v>42</v>
      </c>
      <c r="BI22" s="9" t="s">
        <v>148</v>
      </c>
      <c r="BO22" s="72">
        <f t="shared" si="7"/>
        <v>0</v>
      </c>
      <c r="BP22" s="72">
        <f t="shared" si="8"/>
        <v>6224</v>
      </c>
      <c r="BQ22" s="72">
        <f t="shared" si="9"/>
        <v>0</v>
      </c>
      <c r="BR22" s="72">
        <f t="shared" si="10"/>
        <v>0</v>
      </c>
      <c r="BS22" s="72">
        <f t="shared" si="11"/>
        <v>0</v>
      </c>
      <c r="BT22" s="9" t="s">
        <v>42</v>
      </c>
      <c r="BU22" s="101">
        <f t="shared" si="12"/>
        <v>6224</v>
      </c>
      <c r="BV22" s="9" t="s">
        <v>169</v>
      </c>
      <c r="BW22" s="9" t="s">
        <v>566</v>
      </c>
    </row>
    <row r="23" spans="2:75" s="1" customFormat="1" ht="22.5" customHeight="1">
      <c r="B23" s="73"/>
      <c r="C23" s="93" t="s">
        <v>567</v>
      </c>
      <c r="D23" s="93" t="s">
        <v>149</v>
      </c>
      <c r="E23" s="94" t="s">
        <v>568</v>
      </c>
      <c r="F23" s="498" t="s">
        <v>569</v>
      </c>
      <c r="G23" s="498"/>
      <c r="H23" s="498"/>
      <c r="I23" s="498"/>
      <c r="J23" s="95" t="s">
        <v>198</v>
      </c>
      <c r="K23" s="96">
        <v>1600</v>
      </c>
      <c r="L23" s="128">
        <v>1600</v>
      </c>
      <c r="M23" s="128">
        <v>1900</v>
      </c>
      <c r="N23" s="128">
        <v>1900</v>
      </c>
      <c r="O23" s="128">
        <v>90</v>
      </c>
      <c r="P23" s="165">
        <f t="shared" si="13"/>
        <v>7090</v>
      </c>
      <c r="Q23" s="127">
        <v>5.24</v>
      </c>
      <c r="R23" s="127">
        <v>5.24</v>
      </c>
      <c r="S23" s="127">
        <v>5.24</v>
      </c>
      <c r="T23" s="127">
        <v>5.24</v>
      </c>
      <c r="U23" s="127">
        <v>5.24</v>
      </c>
      <c r="V23" s="128">
        <f t="shared" si="3"/>
        <v>8384</v>
      </c>
      <c r="W23" s="128">
        <f t="shared" si="3"/>
        <v>8384</v>
      </c>
      <c r="X23" s="128">
        <f t="shared" si="3"/>
        <v>9956</v>
      </c>
      <c r="Y23" s="128">
        <f t="shared" si="3"/>
        <v>9956</v>
      </c>
      <c r="Z23" s="128">
        <f t="shared" si="3"/>
        <v>471.6</v>
      </c>
      <c r="AA23" s="128">
        <f t="shared" si="14"/>
        <v>37151.599999999999</v>
      </c>
      <c r="AB23" s="74"/>
      <c r="AD23" s="98" t="s">
        <v>0</v>
      </c>
      <c r="AE23" s="18" t="s">
        <v>11</v>
      </c>
      <c r="AF23" s="16"/>
      <c r="AG23" s="99">
        <f t="shared" si="4"/>
        <v>0</v>
      </c>
      <c r="AH23" s="99">
        <v>0</v>
      </c>
      <c r="AI23" s="99">
        <f t="shared" si="5"/>
        <v>0</v>
      </c>
      <c r="AJ23" s="99">
        <v>0</v>
      </c>
      <c r="AK23" s="100">
        <f t="shared" si="6"/>
        <v>0</v>
      </c>
      <c r="AO23" s="1">
        <v>5.86</v>
      </c>
      <c r="BB23" s="9" t="s">
        <v>169</v>
      </c>
      <c r="BD23" s="9" t="s">
        <v>149</v>
      </c>
      <c r="BE23" s="9" t="s">
        <v>42</v>
      </c>
      <c r="BI23" s="9" t="s">
        <v>148</v>
      </c>
      <c r="BO23" s="72">
        <f t="shared" si="7"/>
        <v>0</v>
      </c>
      <c r="BP23" s="72">
        <f t="shared" si="8"/>
        <v>8384</v>
      </c>
      <c r="BQ23" s="72">
        <f t="shared" si="9"/>
        <v>0</v>
      </c>
      <c r="BR23" s="72">
        <f t="shared" si="10"/>
        <v>0</v>
      </c>
      <c r="BS23" s="72">
        <f t="shared" si="11"/>
        <v>0</v>
      </c>
      <c r="BT23" s="9" t="s">
        <v>42</v>
      </c>
      <c r="BU23" s="101">
        <f t="shared" si="12"/>
        <v>8384</v>
      </c>
      <c r="BV23" s="9" t="s">
        <v>169</v>
      </c>
      <c r="BW23" s="9" t="s">
        <v>570</v>
      </c>
    </row>
    <row r="24" spans="2:75" s="1" customFormat="1" ht="31.5" customHeight="1">
      <c r="B24" s="73"/>
      <c r="C24" s="93" t="s">
        <v>571</v>
      </c>
      <c r="D24" s="93" t="s">
        <v>149</v>
      </c>
      <c r="E24" s="94" t="s">
        <v>150</v>
      </c>
      <c r="F24" s="498" t="s">
        <v>151</v>
      </c>
      <c r="G24" s="498"/>
      <c r="H24" s="498"/>
      <c r="I24" s="498"/>
      <c r="J24" s="95" t="s">
        <v>152</v>
      </c>
      <c r="K24" s="96">
        <v>1.17</v>
      </c>
      <c r="L24" s="128">
        <v>1.1000000000000001</v>
      </c>
      <c r="M24" s="128">
        <v>1.3</v>
      </c>
      <c r="N24" s="128">
        <v>13</v>
      </c>
      <c r="O24" s="128">
        <v>0.25</v>
      </c>
      <c r="P24" s="165">
        <f t="shared" si="13"/>
        <v>16.82</v>
      </c>
      <c r="Q24" s="127">
        <v>44.66</v>
      </c>
      <c r="R24" s="127">
        <v>44.66</v>
      </c>
      <c r="S24" s="127">
        <v>44.66</v>
      </c>
      <c r="T24" s="127">
        <v>44.66</v>
      </c>
      <c r="U24" s="127">
        <v>44.66</v>
      </c>
      <c r="V24" s="128">
        <f t="shared" si="3"/>
        <v>52.252000000000002</v>
      </c>
      <c r="W24" s="128">
        <f t="shared" si="3"/>
        <v>49.125999999999998</v>
      </c>
      <c r="X24" s="128">
        <f t="shared" si="3"/>
        <v>58.058</v>
      </c>
      <c r="Y24" s="128">
        <f t="shared" si="3"/>
        <v>580.58000000000004</v>
      </c>
      <c r="Z24" s="128">
        <f t="shared" si="3"/>
        <v>11.164999999999999</v>
      </c>
      <c r="AA24" s="128">
        <f t="shared" si="14"/>
        <v>751.18100000000004</v>
      </c>
      <c r="AB24" s="74"/>
      <c r="AD24" s="98" t="s">
        <v>0</v>
      </c>
      <c r="AE24" s="18" t="s">
        <v>11</v>
      </c>
      <c r="AF24" s="16"/>
      <c r="AG24" s="99">
        <f t="shared" si="4"/>
        <v>0</v>
      </c>
      <c r="AH24" s="99">
        <v>0</v>
      </c>
      <c r="AI24" s="99">
        <f t="shared" si="5"/>
        <v>0</v>
      </c>
      <c r="AJ24" s="99">
        <v>0</v>
      </c>
      <c r="AK24" s="100">
        <f t="shared" si="6"/>
        <v>0</v>
      </c>
      <c r="AO24" s="1">
        <v>50</v>
      </c>
      <c r="BB24" s="9" t="s">
        <v>153</v>
      </c>
      <c r="BD24" s="9" t="s">
        <v>149</v>
      </c>
      <c r="BE24" s="9" t="s">
        <v>42</v>
      </c>
      <c r="BI24" s="9" t="s">
        <v>148</v>
      </c>
      <c r="BO24" s="72">
        <f t="shared" si="7"/>
        <v>0</v>
      </c>
      <c r="BP24" s="72">
        <f t="shared" si="8"/>
        <v>52.252000000000002</v>
      </c>
      <c r="BQ24" s="72">
        <f t="shared" si="9"/>
        <v>0</v>
      </c>
      <c r="BR24" s="72">
        <f t="shared" si="10"/>
        <v>0</v>
      </c>
      <c r="BS24" s="72">
        <f t="shared" si="11"/>
        <v>0</v>
      </c>
      <c r="BT24" s="9" t="s">
        <v>42</v>
      </c>
      <c r="BU24" s="101">
        <f t="shared" si="12"/>
        <v>52.252000000000002</v>
      </c>
      <c r="BV24" s="9" t="s">
        <v>153</v>
      </c>
      <c r="BW24" s="9" t="s">
        <v>572</v>
      </c>
    </row>
    <row r="25" spans="2:75" s="1" customFormat="1" ht="31.5" customHeight="1">
      <c r="B25" s="73"/>
      <c r="C25" s="93" t="s">
        <v>575</v>
      </c>
      <c r="D25" s="93" t="s">
        <v>149</v>
      </c>
      <c r="E25" s="94" t="s">
        <v>154</v>
      </c>
      <c r="F25" s="498" t="s">
        <v>155</v>
      </c>
      <c r="G25" s="498"/>
      <c r="H25" s="498"/>
      <c r="I25" s="498"/>
      <c r="J25" s="95" t="s">
        <v>152</v>
      </c>
      <c r="K25" s="96">
        <v>11.7</v>
      </c>
      <c r="L25" s="128">
        <v>1.1000000000000001</v>
      </c>
      <c r="M25" s="128">
        <v>1.3</v>
      </c>
      <c r="N25" s="128">
        <v>13</v>
      </c>
      <c r="O25" s="128">
        <v>0.25</v>
      </c>
      <c r="P25" s="165">
        <f t="shared" si="13"/>
        <v>27.35</v>
      </c>
      <c r="Q25" s="127">
        <v>31.26</v>
      </c>
      <c r="R25" s="127">
        <v>0.39</v>
      </c>
      <c r="S25" s="127">
        <v>0.39</v>
      </c>
      <c r="T25" s="127">
        <v>0.39</v>
      </c>
      <c r="U25" s="127">
        <v>0.39</v>
      </c>
      <c r="V25" s="128">
        <f t="shared" si="3"/>
        <v>365.74200000000002</v>
      </c>
      <c r="W25" s="128">
        <f t="shared" si="3"/>
        <v>0.42899999999999999</v>
      </c>
      <c r="X25" s="128">
        <f t="shared" si="3"/>
        <v>0.50700000000000001</v>
      </c>
      <c r="Y25" s="128">
        <f t="shared" si="3"/>
        <v>5.07</v>
      </c>
      <c r="Z25" s="128">
        <f t="shared" si="3"/>
        <v>9.8000000000000004E-2</v>
      </c>
      <c r="AA25" s="128">
        <f>SUM(V25:Z25)</f>
        <v>371.846</v>
      </c>
      <c r="AB25" s="74"/>
      <c r="AD25" s="98" t="s">
        <v>0</v>
      </c>
      <c r="AE25" s="18" t="s">
        <v>11</v>
      </c>
      <c r="AF25" s="16"/>
      <c r="AG25" s="99">
        <f t="shared" si="4"/>
        <v>0</v>
      </c>
      <c r="AH25" s="99">
        <v>0</v>
      </c>
      <c r="AI25" s="99">
        <f t="shared" si="5"/>
        <v>0</v>
      </c>
      <c r="AJ25" s="99">
        <v>0</v>
      </c>
      <c r="AK25" s="100">
        <f t="shared" si="6"/>
        <v>0</v>
      </c>
      <c r="AO25" s="1">
        <v>35</v>
      </c>
      <c r="BB25" s="9" t="s">
        <v>153</v>
      </c>
      <c r="BD25" s="9" t="s">
        <v>149</v>
      </c>
      <c r="BE25" s="9" t="s">
        <v>42</v>
      </c>
      <c r="BI25" s="9" t="s">
        <v>148</v>
      </c>
      <c r="BO25" s="72">
        <f t="shared" si="7"/>
        <v>0</v>
      </c>
      <c r="BP25" s="72">
        <f t="shared" si="8"/>
        <v>365.74200000000002</v>
      </c>
      <c r="BQ25" s="72">
        <f t="shared" si="9"/>
        <v>0</v>
      </c>
      <c r="BR25" s="72">
        <f t="shared" si="10"/>
        <v>0</v>
      </c>
      <c r="BS25" s="72">
        <f t="shared" si="11"/>
        <v>0</v>
      </c>
      <c r="BT25" s="9" t="s">
        <v>42</v>
      </c>
      <c r="BU25" s="101">
        <f t="shared" si="12"/>
        <v>365.74200000000002</v>
      </c>
      <c r="BV25" s="9" t="s">
        <v>153</v>
      </c>
      <c r="BW25" s="9" t="s">
        <v>576</v>
      </c>
    </row>
    <row r="26" spans="2:75" s="1" customFormat="1" ht="31.5" customHeight="1">
      <c r="B26" s="73"/>
      <c r="C26" s="93" t="s">
        <v>573</v>
      </c>
      <c r="D26" s="93" t="s">
        <v>149</v>
      </c>
      <c r="E26" s="94" t="s">
        <v>157</v>
      </c>
      <c r="F26" s="498" t="s">
        <v>158</v>
      </c>
      <c r="G26" s="498"/>
      <c r="H26" s="498"/>
      <c r="I26" s="498"/>
      <c r="J26" s="95" t="s">
        <v>152</v>
      </c>
      <c r="K26" s="96">
        <v>1.17</v>
      </c>
      <c r="L26" s="128">
        <v>11</v>
      </c>
      <c r="M26" s="128">
        <v>13</v>
      </c>
      <c r="N26" s="128">
        <v>13</v>
      </c>
      <c r="O26" s="128">
        <v>25</v>
      </c>
      <c r="P26" s="165">
        <f t="shared" si="13"/>
        <v>63.17</v>
      </c>
      <c r="Q26" s="127">
        <v>0.39</v>
      </c>
      <c r="R26" s="127">
        <v>31.26</v>
      </c>
      <c r="S26" s="127">
        <v>31.26</v>
      </c>
      <c r="T26" s="127">
        <v>31.26</v>
      </c>
      <c r="U26" s="127">
        <v>31.26</v>
      </c>
      <c r="V26" s="128">
        <f t="shared" si="3"/>
        <v>0.45600000000000002</v>
      </c>
      <c r="W26" s="128">
        <f t="shared" si="3"/>
        <v>343.86</v>
      </c>
      <c r="X26" s="128">
        <f t="shared" si="3"/>
        <v>406.38</v>
      </c>
      <c r="Y26" s="128">
        <f t="shared" si="3"/>
        <v>406.38</v>
      </c>
      <c r="Z26" s="128">
        <f t="shared" si="3"/>
        <v>781.5</v>
      </c>
      <c r="AA26" s="128">
        <f t="shared" si="14"/>
        <v>1938.576</v>
      </c>
      <c r="AB26" s="74"/>
      <c r="AD26" s="98" t="s">
        <v>0</v>
      </c>
      <c r="AE26" s="18" t="s">
        <v>11</v>
      </c>
      <c r="AF26" s="16"/>
      <c r="AG26" s="99">
        <f t="shared" si="4"/>
        <v>0</v>
      </c>
      <c r="AH26" s="99">
        <v>0</v>
      </c>
      <c r="AI26" s="99">
        <f t="shared" si="5"/>
        <v>0</v>
      </c>
      <c r="AJ26" s="99">
        <v>0</v>
      </c>
      <c r="AK26" s="100">
        <f t="shared" si="6"/>
        <v>0</v>
      </c>
      <c r="AO26" s="1">
        <v>0.43</v>
      </c>
      <c r="BB26" s="9" t="s">
        <v>153</v>
      </c>
      <c r="BD26" s="9" t="s">
        <v>149</v>
      </c>
      <c r="BE26" s="9" t="s">
        <v>42</v>
      </c>
      <c r="BI26" s="9" t="s">
        <v>148</v>
      </c>
      <c r="BO26" s="72">
        <f t="shared" si="7"/>
        <v>0</v>
      </c>
      <c r="BP26" s="72">
        <f t="shared" si="8"/>
        <v>0.45600000000000002</v>
      </c>
      <c r="BQ26" s="72">
        <f t="shared" si="9"/>
        <v>0</v>
      </c>
      <c r="BR26" s="72">
        <f t="shared" si="10"/>
        <v>0</v>
      </c>
      <c r="BS26" s="72">
        <f t="shared" si="11"/>
        <v>0</v>
      </c>
      <c r="BT26" s="9" t="s">
        <v>42</v>
      </c>
      <c r="BU26" s="101">
        <f t="shared" si="12"/>
        <v>0.45600000000000002</v>
      </c>
      <c r="BV26" s="9" t="s">
        <v>153</v>
      </c>
      <c r="BW26" s="9" t="s">
        <v>574</v>
      </c>
    </row>
    <row r="27" spans="2:75" s="1" customFormat="1" ht="31.5" customHeight="1">
      <c r="B27" s="73"/>
      <c r="C27" s="93" t="s">
        <v>577</v>
      </c>
      <c r="D27" s="93" t="s">
        <v>149</v>
      </c>
      <c r="E27" s="94" t="s">
        <v>578</v>
      </c>
      <c r="F27" s="498" t="s">
        <v>579</v>
      </c>
      <c r="G27" s="498"/>
      <c r="H27" s="498"/>
      <c r="I27" s="498"/>
      <c r="J27" s="95" t="s">
        <v>152</v>
      </c>
      <c r="K27" s="96">
        <v>1.17</v>
      </c>
      <c r="L27" s="128">
        <v>1.1000000000000001</v>
      </c>
      <c r="M27" s="128">
        <v>1.3</v>
      </c>
      <c r="N27" s="128">
        <v>1.3</v>
      </c>
      <c r="O27" s="128">
        <v>0.25</v>
      </c>
      <c r="P27" s="165">
        <f t="shared" si="13"/>
        <v>5.12</v>
      </c>
      <c r="Q27" s="127">
        <v>39.78</v>
      </c>
      <c r="R27" s="127">
        <v>39.78</v>
      </c>
      <c r="S27" s="127">
        <v>39.78</v>
      </c>
      <c r="T27" s="127">
        <v>39.78</v>
      </c>
      <c r="U27" s="127">
        <v>39.78</v>
      </c>
      <c r="V27" s="128">
        <f t="shared" si="3"/>
        <v>46.542999999999999</v>
      </c>
      <c r="W27" s="128">
        <f t="shared" si="3"/>
        <v>43.758000000000003</v>
      </c>
      <c r="X27" s="128">
        <f t="shared" si="3"/>
        <v>51.713999999999999</v>
      </c>
      <c r="Y27" s="128">
        <f t="shared" si="3"/>
        <v>51.713999999999999</v>
      </c>
      <c r="Z27" s="128">
        <f t="shared" si="3"/>
        <v>9.9450000000000003</v>
      </c>
      <c r="AA27" s="128">
        <f t="shared" si="14"/>
        <v>203.67399999999998</v>
      </c>
      <c r="AB27" s="74"/>
      <c r="AD27" s="98" t="s">
        <v>0</v>
      </c>
      <c r="AE27" s="18" t="s">
        <v>11</v>
      </c>
      <c r="AF27" s="16"/>
      <c r="AG27" s="99">
        <f t="shared" si="4"/>
        <v>0</v>
      </c>
      <c r="AH27" s="99">
        <v>0</v>
      </c>
      <c r="AI27" s="99">
        <f t="shared" si="5"/>
        <v>0</v>
      </c>
      <c r="AJ27" s="99">
        <v>0</v>
      </c>
      <c r="AK27" s="100">
        <f t="shared" si="6"/>
        <v>0</v>
      </c>
      <c r="AO27" s="1">
        <v>45.43</v>
      </c>
      <c r="BB27" s="9" t="s">
        <v>153</v>
      </c>
      <c r="BD27" s="9" t="s">
        <v>149</v>
      </c>
      <c r="BE27" s="9" t="s">
        <v>42</v>
      </c>
      <c r="BI27" s="9" t="s">
        <v>148</v>
      </c>
      <c r="BO27" s="72">
        <f t="shared" si="7"/>
        <v>0</v>
      </c>
      <c r="BP27" s="72">
        <f t="shared" si="8"/>
        <v>46.542999999999999</v>
      </c>
      <c r="BQ27" s="72">
        <f t="shared" si="9"/>
        <v>0</v>
      </c>
      <c r="BR27" s="72">
        <f t="shared" si="10"/>
        <v>0</v>
      </c>
      <c r="BS27" s="72">
        <f t="shared" si="11"/>
        <v>0</v>
      </c>
      <c r="BT27" s="9" t="s">
        <v>42</v>
      </c>
      <c r="BU27" s="101">
        <f t="shared" si="12"/>
        <v>46.542999999999999</v>
      </c>
      <c r="BV27" s="9" t="s">
        <v>153</v>
      </c>
      <c r="BW27" s="9" t="s">
        <v>580</v>
      </c>
    </row>
    <row r="28" spans="2:75" s="7" customFormat="1" ht="37.35" customHeight="1">
      <c r="B28" s="82"/>
      <c r="C28" s="83"/>
      <c r="D28" s="84" t="s">
        <v>552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175"/>
      <c r="Q28" s="84"/>
      <c r="R28" s="84"/>
      <c r="S28" s="84"/>
      <c r="T28" s="84"/>
      <c r="U28" s="84"/>
      <c r="V28" s="135">
        <f t="shared" ref="V28:AA28" si="15">V29+V97+V101</f>
        <v>15366.849999999999</v>
      </c>
      <c r="W28" s="135">
        <f t="shared" si="15"/>
        <v>15366.849999999999</v>
      </c>
      <c r="X28" s="135">
        <f t="shared" si="15"/>
        <v>15252.039999999997</v>
      </c>
      <c r="Y28" s="135">
        <f t="shared" si="15"/>
        <v>17854.985999999997</v>
      </c>
      <c r="Z28" s="135">
        <f t="shared" si="15"/>
        <v>2898.01</v>
      </c>
      <c r="AA28" s="135">
        <f t="shared" si="15"/>
        <v>66738.73599999999</v>
      </c>
      <c r="AB28" s="85"/>
      <c r="AD28" s="86"/>
      <c r="AE28" s="83"/>
      <c r="AF28" s="83"/>
      <c r="AG28" s="87">
        <f>AG29+AG97+AG101</f>
        <v>0</v>
      </c>
      <c r="AH28" s="83"/>
      <c r="AI28" s="87">
        <f>AI29+AI97+AI101</f>
        <v>0</v>
      </c>
      <c r="AJ28" s="83"/>
      <c r="AK28" s="88">
        <f>AK29+AK97+AK101</f>
        <v>0</v>
      </c>
      <c r="BB28" s="89" t="s">
        <v>38</v>
      </c>
      <c r="BD28" s="90" t="s">
        <v>30</v>
      </c>
      <c r="BE28" s="90" t="s">
        <v>31</v>
      </c>
      <c r="BI28" s="89" t="s">
        <v>148</v>
      </c>
      <c r="BU28" s="91">
        <f>BU29+BU97+BU101</f>
        <v>15366.849999999999</v>
      </c>
    </row>
    <row r="29" spans="2:75" s="7" customFormat="1" ht="19.899999999999999" customHeight="1">
      <c r="B29" s="82"/>
      <c r="C29" s="83"/>
      <c r="D29" s="92" t="s">
        <v>553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176"/>
      <c r="Q29" s="92"/>
      <c r="R29" s="92"/>
      <c r="S29" s="92"/>
      <c r="T29" s="92"/>
      <c r="U29" s="92"/>
      <c r="V29" s="131">
        <f t="shared" ref="V29:AA29" si="16">SUM(V30:V96)</f>
        <v>13892.769999999999</v>
      </c>
      <c r="W29" s="131">
        <f t="shared" si="16"/>
        <v>13892.769999999999</v>
      </c>
      <c r="X29" s="131">
        <f t="shared" si="16"/>
        <v>13777.769999999999</v>
      </c>
      <c r="Y29" s="131">
        <f t="shared" si="16"/>
        <v>16380.605999999996</v>
      </c>
      <c r="Z29" s="131">
        <f t="shared" si="16"/>
        <v>2263.84</v>
      </c>
      <c r="AA29" s="131">
        <f t="shared" si="16"/>
        <v>60207.755999999994</v>
      </c>
      <c r="AB29" s="85"/>
      <c r="AD29" s="86"/>
      <c r="AE29" s="83"/>
      <c r="AF29" s="83"/>
      <c r="AG29" s="87">
        <f>SUM(AG30:AG96)</f>
        <v>0</v>
      </c>
      <c r="AH29" s="83"/>
      <c r="AI29" s="87">
        <f>SUM(AI30:AI96)</f>
        <v>0</v>
      </c>
      <c r="AJ29" s="83"/>
      <c r="AK29" s="88">
        <f>SUM(AK30:AK96)</f>
        <v>0</v>
      </c>
      <c r="BB29" s="89" t="s">
        <v>38</v>
      </c>
      <c r="BD29" s="90" t="s">
        <v>30</v>
      </c>
      <c r="BE29" s="90" t="s">
        <v>38</v>
      </c>
      <c r="BI29" s="89" t="s">
        <v>148</v>
      </c>
      <c r="BU29" s="91">
        <f>SUM(BU30:BU96)</f>
        <v>13892.769999999999</v>
      </c>
    </row>
    <row r="30" spans="2:75" s="1" customFormat="1" ht="31.5" customHeight="1">
      <c r="B30" s="73"/>
      <c r="C30" s="93" t="s">
        <v>42</v>
      </c>
      <c r="D30" s="93" t="s">
        <v>149</v>
      </c>
      <c r="E30" s="94" t="s">
        <v>581</v>
      </c>
      <c r="F30" s="498" t="s">
        <v>582</v>
      </c>
      <c r="G30" s="498"/>
      <c r="H30" s="498"/>
      <c r="I30" s="498"/>
      <c r="J30" s="95" t="s">
        <v>198</v>
      </c>
      <c r="K30" s="96">
        <v>330</v>
      </c>
      <c r="L30" s="128">
        <v>330</v>
      </c>
      <c r="M30" s="128">
        <v>380</v>
      </c>
      <c r="N30" s="128">
        <v>380</v>
      </c>
      <c r="O30" s="128">
        <v>80</v>
      </c>
      <c r="P30" s="165">
        <f t="shared" ref="P30:P93" si="17">SUM(K30:O30)</f>
        <v>1500</v>
      </c>
      <c r="Q30" s="127">
        <v>0.73</v>
      </c>
      <c r="R30" s="127">
        <v>0.73</v>
      </c>
      <c r="S30" s="127">
        <v>0.73</v>
      </c>
      <c r="T30" s="127">
        <v>0.73</v>
      </c>
      <c r="U30" s="127">
        <v>0.73</v>
      </c>
      <c r="V30" s="128">
        <f t="shared" ref="V30:V61" si="18">ROUND(Q30*K30,3)</f>
        <v>240.9</v>
      </c>
      <c r="W30" s="128">
        <f t="shared" ref="W30:W61" si="19">ROUND(R30*L30,3)</f>
        <v>240.9</v>
      </c>
      <c r="X30" s="128">
        <f t="shared" ref="X30:X61" si="20">ROUND(S30*M30,3)</f>
        <v>277.39999999999998</v>
      </c>
      <c r="Y30" s="128">
        <f t="shared" ref="Y30:Y61" si="21">ROUND(T30*N30,3)</f>
        <v>277.39999999999998</v>
      </c>
      <c r="Z30" s="128">
        <f t="shared" ref="Z30:Z61" si="22">ROUND(U30*O30,3)</f>
        <v>58.4</v>
      </c>
      <c r="AA30" s="128">
        <f>SUM(V30:Z30)</f>
        <v>1095</v>
      </c>
      <c r="AB30" s="74"/>
      <c r="AD30" s="98" t="s">
        <v>0</v>
      </c>
      <c r="AE30" s="18" t="s">
        <v>11</v>
      </c>
      <c r="AF30" s="16"/>
      <c r="AG30" s="99">
        <f t="shared" ref="AG30:AG61" si="23">AF30*K30</f>
        <v>0</v>
      </c>
      <c r="AH30" s="99">
        <v>0</v>
      </c>
      <c r="AI30" s="99">
        <f t="shared" ref="AI30:AI61" si="24">AH30*K30</f>
        <v>0</v>
      </c>
      <c r="AJ30" s="99">
        <v>0</v>
      </c>
      <c r="AK30" s="100">
        <f t="shared" ref="AK30:AK61" si="25">AJ30*K30</f>
        <v>0</v>
      </c>
      <c r="AO30" s="1">
        <v>0.81</v>
      </c>
      <c r="BB30" s="9" t="s">
        <v>153</v>
      </c>
      <c r="BD30" s="9" t="s">
        <v>149</v>
      </c>
      <c r="BE30" s="9" t="s">
        <v>42</v>
      </c>
      <c r="BI30" s="9" t="s">
        <v>148</v>
      </c>
      <c r="BO30" s="72">
        <f t="shared" ref="BO30:BO61" si="26">IF(AE30="základná",V30,0)</f>
        <v>0</v>
      </c>
      <c r="BP30" s="72">
        <f t="shared" ref="BP30:BP61" si="27">IF(AE30="znížená",V30,0)</f>
        <v>240.9</v>
      </c>
      <c r="BQ30" s="72">
        <f t="shared" ref="BQ30:BQ61" si="28">IF(AE30="zákl. prenesená",V30,0)</f>
        <v>0</v>
      </c>
      <c r="BR30" s="72">
        <f t="shared" ref="BR30:BR61" si="29">IF(AE30="zníž. prenesená",V30,0)</f>
        <v>0</v>
      </c>
      <c r="BS30" s="72">
        <f t="shared" ref="BS30:BS61" si="30">IF(AE30="nulová",V30,0)</f>
        <v>0</v>
      </c>
      <c r="BT30" s="9" t="s">
        <v>42</v>
      </c>
      <c r="BU30" s="101">
        <f t="shared" ref="BU30:BU61" si="31">ROUND(Q30*K30,3)</f>
        <v>240.9</v>
      </c>
      <c r="BV30" s="9" t="s">
        <v>153</v>
      </c>
      <c r="BW30" s="9" t="s">
        <v>153</v>
      </c>
    </row>
    <row r="31" spans="2:75" s="158" customFormat="1" ht="22.5" customHeight="1">
      <c r="B31" s="156"/>
      <c r="C31" s="102" t="s">
        <v>105</v>
      </c>
      <c r="D31" s="102" t="s">
        <v>171</v>
      </c>
      <c r="E31" s="103" t="s">
        <v>583</v>
      </c>
      <c r="F31" s="499" t="s">
        <v>584</v>
      </c>
      <c r="G31" s="499"/>
      <c r="H31" s="499"/>
      <c r="I31" s="499"/>
      <c r="J31" s="104" t="s">
        <v>184</v>
      </c>
      <c r="K31" s="133">
        <v>330</v>
      </c>
      <c r="L31" s="133">
        <v>330</v>
      </c>
      <c r="M31" s="133">
        <v>380</v>
      </c>
      <c r="N31" s="133">
        <v>380</v>
      </c>
      <c r="O31" s="133">
        <v>80</v>
      </c>
      <c r="P31" s="177">
        <f t="shared" si="17"/>
        <v>1500</v>
      </c>
      <c r="Q31" s="140">
        <v>0.18</v>
      </c>
      <c r="R31" s="140">
        <v>0.18</v>
      </c>
      <c r="S31" s="140">
        <v>0.18</v>
      </c>
      <c r="T31" s="140">
        <v>0.18</v>
      </c>
      <c r="U31" s="140">
        <v>0.18</v>
      </c>
      <c r="V31" s="133">
        <f t="shared" si="18"/>
        <v>59.4</v>
      </c>
      <c r="W31" s="133">
        <f t="shared" si="19"/>
        <v>59.4</v>
      </c>
      <c r="X31" s="133">
        <f t="shared" si="20"/>
        <v>68.400000000000006</v>
      </c>
      <c r="Y31" s="133">
        <f t="shared" si="21"/>
        <v>68.400000000000006</v>
      </c>
      <c r="Z31" s="133">
        <f t="shared" si="22"/>
        <v>14.4</v>
      </c>
      <c r="AA31" s="133">
        <f t="shared" ref="AA31:AA94" si="32">SUM(V31:Z31)</f>
        <v>270</v>
      </c>
      <c r="AB31" s="157"/>
      <c r="AC31" s="166" t="s">
        <v>996</v>
      </c>
      <c r="AD31" s="167" t="s">
        <v>0</v>
      </c>
      <c r="AE31" s="168" t="s">
        <v>11</v>
      </c>
      <c r="AF31" s="169"/>
      <c r="AG31" s="170">
        <f t="shared" si="23"/>
        <v>0</v>
      </c>
      <c r="AH31" s="170">
        <v>0</v>
      </c>
      <c r="AI31" s="170">
        <f t="shared" si="24"/>
        <v>0</v>
      </c>
      <c r="AJ31" s="170">
        <v>0</v>
      </c>
      <c r="AK31" s="171">
        <f t="shared" si="25"/>
        <v>0</v>
      </c>
      <c r="AM31" s="166" t="s">
        <v>997</v>
      </c>
      <c r="AO31" s="158">
        <v>0.21</v>
      </c>
      <c r="BB31" s="172" t="s">
        <v>165</v>
      </c>
      <c r="BD31" s="172" t="s">
        <v>171</v>
      </c>
      <c r="BE31" s="172" t="s">
        <v>42</v>
      </c>
      <c r="BI31" s="172" t="s">
        <v>148</v>
      </c>
      <c r="BO31" s="173">
        <f t="shared" si="26"/>
        <v>0</v>
      </c>
      <c r="BP31" s="173">
        <f t="shared" si="27"/>
        <v>59.4</v>
      </c>
      <c r="BQ31" s="173">
        <f t="shared" si="28"/>
        <v>0</v>
      </c>
      <c r="BR31" s="173">
        <f t="shared" si="29"/>
        <v>0</v>
      </c>
      <c r="BS31" s="173">
        <f t="shared" si="30"/>
        <v>0</v>
      </c>
      <c r="BT31" s="172" t="s">
        <v>42</v>
      </c>
      <c r="BU31" s="174">
        <f t="shared" si="31"/>
        <v>59.4</v>
      </c>
      <c r="BV31" s="172" t="s">
        <v>153</v>
      </c>
      <c r="BW31" s="172" t="s">
        <v>159</v>
      </c>
    </row>
    <row r="32" spans="2:75" s="1" customFormat="1" ht="31.5" customHeight="1">
      <c r="B32" s="73"/>
      <c r="C32" s="93" t="s">
        <v>153</v>
      </c>
      <c r="D32" s="93" t="s">
        <v>149</v>
      </c>
      <c r="E32" s="94" t="s">
        <v>585</v>
      </c>
      <c r="F32" s="498" t="s">
        <v>586</v>
      </c>
      <c r="G32" s="498"/>
      <c r="H32" s="498"/>
      <c r="I32" s="498"/>
      <c r="J32" s="95" t="s">
        <v>198</v>
      </c>
      <c r="K32" s="96">
        <v>175</v>
      </c>
      <c r="L32" s="128">
        <v>175</v>
      </c>
      <c r="M32" s="128">
        <v>175</v>
      </c>
      <c r="N32" s="128">
        <v>175</v>
      </c>
      <c r="O32" s="128">
        <v>0</v>
      </c>
      <c r="P32" s="165">
        <f t="shared" si="17"/>
        <v>700</v>
      </c>
      <c r="Q32" s="127">
        <v>0.73</v>
      </c>
      <c r="R32" s="127">
        <v>0.73</v>
      </c>
      <c r="S32" s="127">
        <v>0.73</v>
      </c>
      <c r="T32" s="127">
        <v>0.78</v>
      </c>
      <c r="U32" s="127">
        <v>0.73</v>
      </c>
      <c r="V32" s="128">
        <f t="shared" si="18"/>
        <v>127.75</v>
      </c>
      <c r="W32" s="128">
        <f t="shared" si="19"/>
        <v>127.75</v>
      </c>
      <c r="X32" s="128">
        <f t="shared" si="20"/>
        <v>127.75</v>
      </c>
      <c r="Y32" s="128">
        <f t="shared" si="21"/>
        <v>136.5</v>
      </c>
      <c r="Z32" s="128">
        <f t="shared" si="22"/>
        <v>0</v>
      </c>
      <c r="AA32" s="128">
        <f t="shared" si="32"/>
        <v>519.75</v>
      </c>
      <c r="AB32" s="74"/>
      <c r="AC32" s="113"/>
      <c r="AD32" s="98" t="s">
        <v>0</v>
      </c>
      <c r="AE32" s="18" t="s">
        <v>11</v>
      </c>
      <c r="AF32" s="16"/>
      <c r="AG32" s="99">
        <f t="shared" si="23"/>
        <v>0</v>
      </c>
      <c r="AH32" s="99">
        <v>0</v>
      </c>
      <c r="AI32" s="99">
        <f t="shared" si="24"/>
        <v>0</v>
      </c>
      <c r="AJ32" s="99">
        <v>0</v>
      </c>
      <c r="AK32" s="100">
        <f t="shared" si="25"/>
        <v>0</v>
      </c>
      <c r="AM32" s="113"/>
      <c r="AO32" s="1">
        <v>0.81</v>
      </c>
      <c r="BB32" s="9" t="s">
        <v>153</v>
      </c>
      <c r="BD32" s="9" t="s">
        <v>149</v>
      </c>
      <c r="BE32" s="9" t="s">
        <v>42</v>
      </c>
      <c r="BI32" s="9" t="s">
        <v>148</v>
      </c>
      <c r="BO32" s="72">
        <f t="shared" si="26"/>
        <v>0</v>
      </c>
      <c r="BP32" s="72">
        <f t="shared" si="27"/>
        <v>127.75</v>
      </c>
      <c r="BQ32" s="72">
        <f t="shared" si="28"/>
        <v>0</v>
      </c>
      <c r="BR32" s="72">
        <f t="shared" si="29"/>
        <v>0</v>
      </c>
      <c r="BS32" s="72">
        <f t="shared" si="30"/>
        <v>0</v>
      </c>
      <c r="BT32" s="9" t="s">
        <v>42</v>
      </c>
      <c r="BU32" s="101">
        <f t="shared" si="31"/>
        <v>127.75</v>
      </c>
      <c r="BV32" s="9" t="s">
        <v>153</v>
      </c>
      <c r="BW32" s="9" t="s">
        <v>165</v>
      </c>
    </row>
    <row r="33" spans="2:75" s="158" customFormat="1" ht="22.5" customHeight="1">
      <c r="B33" s="156"/>
      <c r="C33" s="102" t="s">
        <v>156</v>
      </c>
      <c r="D33" s="102" t="s">
        <v>171</v>
      </c>
      <c r="E33" s="103" t="s">
        <v>587</v>
      </c>
      <c r="F33" s="499" t="s">
        <v>588</v>
      </c>
      <c r="G33" s="499"/>
      <c r="H33" s="499"/>
      <c r="I33" s="499"/>
      <c r="J33" s="104" t="s">
        <v>198</v>
      </c>
      <c r="K33" s="133">
        <v>175</v>
      </c>
      <c r="L33" s="133">
        <v>175</v>
      </c>
      <c r="M33" s="133">
        <v>175</v>
      </c>
      <c r="N33" s="133">
        <v>175</v>
      </c>
      <c r="O33" s="133">
        <v>0</v>
      </c>
      <c r="P33" s="177">
        <f t="shared" si="17"/>
        <v>700</v>
      </c>
      <c r="Q33" s="140">
        <v>0.18</v>
      </c>
      <c r="R33" s="140">
        <v>0.18</v>
      </c>
      <c r="S33" s="140">
        <v>0.18</v>
      </c>
      <c r="T33" s="140">
        <v>0.18</v>
      </c>
      <c r="U33" s="140">
        <v>0.18</v>
      </c>
      <c r="V33" s="133">
        <f t="shared" si="18"/>
        <v>31.5</v>
      </c>
      <c r="W33" s="133">
        <f t="shared" si="19"/>
        <v>31.5</v>
      </c>
      <c r="X33" s="133">
        <f t="shared" si="20"/>
        <v>31.5</v>
      </c>
      <c r="Y33" s="133">
        <f t="shared" si="21"/>
        <v>31.5</v>
      </c>
      <c r="Z33" s="133">
        <f t="shared" si="22"/>
        <v>0</v>
      </c>
      <c r="AA33" s="133">
        <f t="shared" si="32"/>
        <v>126</v>
      </c>
      <c r="AB33" s="157"/>
      <c r="AC33" s="166" t="s">
        <v>996</v>
      </c>
      <c r="AD33" s="167" t="s">
        <v>0</v>
      </c>
      <c r="AE33" s="168" t="s">
        <v>11</v>
      </c>
      <c r="AF33" s="169"/>
      <c r="AG33" s="170">
        <f t="shared" si="23"/>
        <v>0</v>
      </c>
      <c r="AH33" s="170">
        <v>0</v>
      </c>
      <c r="AI33" s="170">
        <f t="shared" si="24"/>
        <v>0</v>
      </c>
      <c r="AJ33" s="170">
        <v>0</v>
      </c>
      <c r="AK33" s="171">
        <f t="shared" si="25"/>
        <v>0</v>
      </c>
      <c r="AM33" s="166" t="s">
        <v>997</v>
      </c>
      <c r="AO33" s="158">
        <v>0.21</v>
      </c>
      <c r="BB33" s="172" t="s">
        <v>165</v>
      </c>
      <c r="BD33" s="172" t="s">
        <v>171</v>
      </c>
      <c r="BE33" s="172" t="s">
        <v>42</v>
      </c>
      <c r="BI33" s="172" t="s">
        <v>148</v>
      </c>
      <c r="BO33" s="173">
        <f t="shared" si="26"/>
        <v>0</v>
      </c>
      <c r="BP33" s="173">
        <f t="shared" si="27"/>
        <v>31.5</v>
      </c>
      <c r="BQ33" s="173">
        <f t="shared" si="28"/>
        <v>0</v>
      </c>
      <c r="BR33" s="173">
        <f t="shared" si="29"/>
        <v>0</v>
      </c>
      <c r="BS33" s="173">
        <f t="shared" si="30"/>
        <v>0</v>
      </c>
      <c r="BT33" s="172" t="s">
        <v>42</v>
      </c>
      <c r="BU33" s="174">
        <f t="shared" si="31"/>
        <v>31.5</v>
      </c>
      <c r="BV33" s="172" t="s">
        <v>153</v>
      </c>
      <c r="BW33" s="172" t="s">
        <v>175</v>
      </c>
    </row>
    <row r="34" spans="2:75" s="1" customFormat="1" ht="31.5" customHeight="1">
      <c r="B34" s="73"/>
      <c r="C34" s="93" t="s">
        <v>159</v>
      </c>
      <c r="D34" s="93" t="s">
        <v>149</v>
      </c>
      <c r="E34" s="94" t="s">
        <v>589</v>
      </c>
      <c r="F34" s="498" t="s">
        <v>590</v>
      </c>
      <c r="G34" s="498"/>
      <c r="H34" s="498"/>
      <c r="I34" s="498"/>
      <c r="J34" s="95" t="s">
        <v>198</v>
      </c>
      <c r="K34" s="96">
        <v>40</v>
      </c>
      <c r="L34" s="128">
        <v>40</v>
      </c>
      <c r="M34" s="128">
        <v>40</v>
      </c>
      <c r="N34" s="128">
        <v>40</v>
      </c>
      <c r="O34" s="128">
        <v>0</v>
      </c>
      <c r="P34" s="165">
        <f t="shared" si="17"/>
        <v>160</v>
      </c>
      <c r="Q34" s="127">
        <v>0.95</v>
      </c>
      <c r="R34" s="127">
        <v>0.95</v>
      </c>
      <c r="S34" s="127">
        <v>0.95</v>
      </c>
      <c r="T34" s="127">
        <v>0.95</v>
      </c>
      <c r="U34" s="127">
        <v>0.95</v>
      </c>
      <c r="V34" s="128">
        <f t="shared" si="18"/>
        <v>38</v>
      </c>
      <c r="W34" s="128">
        <f t="shared" si="19"/>
        <v>38</v>
      </c>
      <c r="X34" s="128">
        <f t="shared" si="20"/>
        <v>38</v>
      </c>
      <c r="Y34" s="128">
        <f t="shared" si="21"/>
        <v>38</v>
      </c>
      <c r="Z34" s="128">
        <f t="shared" si="22"/>
        <v>0</v>
      </c>
      <c r="AA34" s="128">
        <f t="shared" si="32"/>
        <v>152</v>
      </c>
      <c r="AB34" s="74"/>
      <c r="AC34" s="113"/>
      <c r="AD34" s="98" t="s">
        <v>0</v>
      </c>
      <c r="AE34" s="18" t="s">
        <v>11</v>
      </c>
      <c r="AF34" s="16"/>
      <c r="AG34" s="99">
        <f t="shared" si="23"/>
        <v>0</v>
      </c>
      <c r="AH34" s="99">
        <v>0</v>
      </c>
      <c r="AI34" s="99">
        <f t="shared" si="24"/>
        <v>0</v>
      </c>
      <c r="AJ34" s="99">
        <v>0</v>
      </c>
      <c r="AK34" s="100">
        <f t="shared" si="25"/>
        <v>0</v>
      </c>
      <c r="AM34" s="113"/>
      <c r="AO34" s="1">
        <v>1.07</v>
      </c>
      <c r="BB34" s="9" t="s">
        <v>153</v>
      </c>
      <c r="BD34" s="9" t="s">
        <v>149</v>
      </c>
      <c r="BE34" s="9" t="s">
        <v>42</v>
      </c>
      <c r="BI34" s="9" t="s">
        <v>148</v>
      </c>
      <c r="BO34" s="72">
        <f t="shared" si="26"/>
        <v>0</v>
      </c>
      <c r="BP34" s="72">
        <f t="shared" si="27"/>
        <v>38</v>
      </c>
      <c r="BQ34" s="72">
        <f t="shared" si="28"/>
        <v>0</v>
      </c>
      <c r="BR34" s="72">
        <f t="shared" si="29"/>
        <v>0</v>
      </c>
      <c r="BS34" s="72">
        <f t="shared" si="30"/>
        <v>0</v>
      </c>
      <c r="BT34" s="9" t="s">
        <v>42</v>
      </c>
      <c r="BU34" s="101">
        <f t="shared" si="31"/>
        <v>38</v>
      </c>
      <c r="BV34" s="9" t="s">
        <v>153</v>
      </c>
      <c r="BW34" s="9" t="s">
        <v>181</v>
      </c>
    </row>
    <row r="35" spans="2:75" s="158" customFormat="1" ht="22.5" customHeight="1">
      <c r="B35" s="156"/>
      <c r="C35" s="102" t="s">
        <v>162</v>
      </c>
      <c r="D35" s="102" t="s">
        <v>171</v>
      </c>
      <c r="E35" s="103" t="s">
        <v>591</v>
      </c>
      <c r="F35" s="499" t="s">
        <v>592</v>
      </c>
      <c r="G35" s="499"/>
      <c r="H35" s="499"/>
      <c r="I35" s="499"/>
      <c r="J35" s="104" t="s">
        <v>184</v>
      </c>
      <c r="K35" s="133">
        <v>40</v>
      </c>
      <c r="L35" s="133">
        <v>40</v>
      </c>
      <c r="M35" s="133">
        <v>40</v>
      </c>
      <c r="N35" s="133">
        <v>40</v>
      </c>
      <c r="O35" s="133">
        <v>0</v>
      </c>
      <c r="P35" s="177">
        <f t="shared" si="17"/>
        <v>160</v>
      </c>
      <c r="Q35" s="140">
        <v>0.42</v>
      </c>
      <c r="R35" s="140">
        <v>0.42</v>
      </c>
      <c r="S35" s="140">
        <v>0.42</v>
      </c>
      <c r="T35" s="140">
        <v>0.42</v>
      </c>
      <c r="U35" s="140">
        <v>0.42</v>
      </c>
      <c r="V35" s="133">
        <f t="shared" si="18"/>
        <v>16.8</v>
      </c>
      <c r="W35" s="133">
        <f t="shared" si="19"/>
        <v>16.8</v>
      </c>
      <c r="X35" s="133">
        <f t="shared" si="20"/>
        <v>16.8</v>
      </c>
      <c r="Y35" s="133">
        <f t="shared" si="21"/>
        <v>16.8</v>
      </c>
      <c r="Z35" s="133">
        <f t="shared" si="22"/>
        <v>0</v>
      </c>
      <c r="AA35" s="133">
        <f t="shared" si="32"/>
        <v>67.2</v>
      </c>
      <c r="AB35" s="157"/>
      <c r="AC35" s="166" t="s">
        <v>996</v>
      </c>
      <c r="AD35" s="167" t="s">
        <v>0</v>
      </c>
      <c r="AE35" s="168" t="s">
        <v>11</v>
      </c>
      <c r="AF35" s="169"/>
      <c r="AG35" s="170">
        <f t="shared" si="23"/>
        <v>0</v>
      </c>
      <c r="AH35" s="170">
        <v>0</v>
      </c>
      <c r="AI35" s="170">
        <f t="shared" si="24"/>
        <v>0</v>
      </c>
      <c r="AJ35" s="170">
        <v>0</v>
      </c>
      <c r="AK35" s="171">
        <f t="shared" si="25"/>
        <v>0</v>
      </c>
      <c r="AM35" s="166" t="s">
        <v>997</v>
      </c>
      <c r="AO35" s="158">
        <v>0.47</v>
      </c>
      <c r="BB35" s="172" t="s">
        <v>165</v>
      </c>
      <c r="BD35" s="172" t="s">
        <v>171</v>
      </c>
      <c r="BE35" s="172" t="s">
        <v>42</v>
      </c>
      <c r="BI35" s="172" t="s">
        <v>148</v>
      </c>
      <c r="BO35" s="173">
        <f t="shared" si="26"/>
        <v>0</v>
      </c>
      <c r="BP35" s="173">
        <f t="shared" si="27"/>
        <v>16.8</v>
      </c>
      <c r="BQ35" s="173">
        <f t="shared" si="28"/>
        <v>0</v>
      </c>
      <c r="BR35" s="173">
        <f t="shared" si="29"/>
        <v>0</v>
      </c>
      <c r="BS35" s="173">
        <f t="shared" si="30"/>
        <v>0</v>
      </c>
      <c r="BT35" s="172" t="s">
        <v>42</v>
      </c>
      <c r="BU35" s="174">
        <f t="shared" si="31"/>
        <v>16.8</v>
      </c>
      <c r="BV35" s="172" t="s">
        <v>153</v>
      </c>
      <c r="BW35" s="172" t="s">
        <v>188</v>
      </c>
    </row>
    <row r="36" spans="2:75" s="1" customFormat="1" ht="31.5" customHeight="1">
      <c r="B36" s="73"/>
      <c r="C36" s="93" t="s">
        <v>165</v>
      </c>
      <c r="D36" s="93" t="s">
        <v>149</v>
      </c>
      <c r="E36" s="94" t="s">
        <v>593</v>
      </c>
      <c r="F36" s="498" t="s">
        <v>594</v>
      </c>
      <c r="G36" s="498"/>
      <c r="H36" s="498"/>
      <c r="I36" s="498"/>
      <c r="J36" s="95" t="s">
        <v>198</v>
      </c>
      <c r="K36" s="96">
        <v>15</v>
      </c>
      <c r="L36" s="128">
        <v>15</v>
      </c>
      <c r="M36" s="128">
        <v>15</v>
      </c>
      <c r="N36" s="128">
        <v>15</v>
      </c>
      <c r="O36" s="128">
        <v>0</v>
      </c>
      <c r="P36" s="165">
        <f t="shared" si="17"/>
        <v>60</v>
      </c>
      <c r="Q36" s="127">
        <v>1.61</v>
      </c>
      <c r="R36" s="127">
        <v>1.61</v>
      </c>
      <c r="S36" s="127">
        <v>1.61</v>
      </c>
      <c r="T36" s="127">
        <v>1.61</v>
      </c>
      <c r="U36" s="127">
        <v>1.61</v>
      </c>
      <c r="V36" s="128">
        <f t="shared" si="18"/>
        <v>24.15</v>
      </c>
      <c r="W36" s="128">
        <f t="shared" si="19"/>
        <v>24.15</v>
      </c>
      <c r="X36" s="128">
        <f t="shared" si="20"/>
        <v>24.15</v>
      </c>
      <c r="Y36" s="128">
        <f t="shared" si="21"/>
        <v>24.15</v>
      </c>
      <c r="Z36" s="128">
        <f t="shared" si="22"/>
        <v>0</v>
      </c>
      <c r="AA36" s="128">
        <f t="shared" si="32"/>
        <v>96.6</v>
      </c>
      <c r="AB36" s="74"/>
      <c r="AC36" s="113"/>
      <c r="AD36" s="98" t="s">
        <v>0</v>
      </c>
      <c r="AE36" s="18" t="s">
        <v>11</v>
      </c>
      <c r="AF36" s="16"/>
      <c r="AG36" s="99">
        <f t="shared" si="23"/>
        <v>0</v>
      </c>
      <c r="AH36" s="99">
        <v>0</v>
      </c>
      <c r="AI36" s="99">
        <f t="shared" si="24"/>
        <v>0</v>
      </c>
      <c r="AJ36" s="99">
        <v>0</v>
      </c>
      <c r="AK36" s="100">
        <f t="shared" si="25"/>
        <v>0</v>
      </c>
      <c r="AM36" s="113"/>
      <c r="AO36" s="1">
        <v>1.8</v>
      </c>
      <c r="BB36" s="9" t="s">
        <v>153</v>
      </c>
      <c r="BD36" s="9" t="s">
        <v>149</v>
      </c>
      <c r="BE36" s="9" t="s">
        <v>42</v>
      </c>
      <c r="BI36" s="9" t="s">
        <v>148</v>
      </c>
      <c r="BO36" s="72">
        <f t="shared" si="26"/>
        <v>0</v>
      </c>
      <c r="BP36" s="72">
        <f t="shared" si="27"/>
        <v>24.15</v>
      </c>
      <c r="BQ36" s="72">
        <f t="shared" si="28"/>
        <v>0</v>
      </c>
      <c r="BR36" s="72">
        <f t="shared" si="29"/>
        <v>0</v>
      </c>
      <c r="BS36" s="72">
        <f t="shared" si="30"/>
        <v>0</v>
      </c>
      <c r="BT36" s="9" t="s">
        <v>42</v>
      </c>
      <c r="BU36" s="101">
        <f t="shared" si="31"/>
        <v>24.15</v>
      </c>
      <c r="BV36" s="9" t="s">
        <v>153</v>
      </c>
      <c r="BW36" s="9" t="s">
        <v>169</v>
      </c>
    </row>
    <row r="37" spans="2:75" s="158" customFormat="1" ht="22.5" customHeight="1">
      <c r="B37" s="156"/>
      <c r="C37" s="102" t="s">
        <v>170</v>
      </c>
      <c r="D37" s="102" t="s">
        <v>171</v>
      </c>
      <c r="E37" s="103" t="s">
        <v>595</v>
      </c>
      <c r="F37" s="499" t="s">
        <v>596</v>
      </c>
      <c r="G37" s="499"/>
      <c r="H37" s="499"/>
      <c r="I37" s="499"/>
      <c r="J37" s="104" t="s">
        <v>198</v>
      </c>
      <c r="K37" s="133">
        <v>15</v>
      </c>
      <c r="L37" s="133">
        <v>15</v>
      </c>
      <c r="M37" s="133">
        <v>15</v>
      </c>
      <c r="N37" s="133">
        <v>15</v>
      </c>
      <c r="O37" s="133">
        <v>0</v>
      </c>
      <c r="P37" s="177">
        <f t="shared" si="17"/>
        <v>60</v>
      </c>
      <c r="Q37" s="140">
        <v>1.03</v>
      </c>
      <c r="R37" s="140">
        <v>1.03</v>
      </c>
      <c r="S37" s="140">
        <v>1.03</v>
      </c>
      <c r="T37" s="140">
        <v>1.03</v>
      </c>
      <c r="U37" s="140">
        <v>1.03</v>
      </c>
      <c r="V37" s="133">
        <f t="shared" si="18"/>
        <v>15.45</v>
      </c>
      <c r="W37" s="133">
        <f t="shared" si="19"/>
        <v>15.45</v>
      </c>
      <c r="X37" s="133">
        <f t="shared" si="20"/>
        <v>15.45</v>
      </c>
      <c r="Y37" s="133">
        <f t="shared" si="21"/>
        <v>15.45</v>
      </c>
      <c r="Z37" s="133">
        <f t="shared" si="22"/>
        <v>0</v>
      </c>
      <c r="AA37" s="133">
        <f t="shared" si="32"/>
        <v>61.8</v>
      </c>
      <c r="AB37" s="157"/>
      <c r="AC37" s="166" t="s">
        <v>996</v>
      </c>
      <c r="AD37" s="167" t="s">
        <v>0</v>
      </c>
      <c r="AE37" s="168" t="s">
        <v>11</v>
      </c>
      <c r="AF37" s="169"/>
      <c r="AG37" s="170">
        <f t="shared" si="23"/>
        <v>0</v>
      </c>
      <c r="AH37" s="170">
        <v>0</v>
      </c>
      <c r="AI37" s="170">
        <f t="shared" si="24"/>
        <v>0</v>
      </c>
      <c r="AJ37" s="170">
        <v>0</v>
      </c>
      <c r="AK37" s="171">
        <f t="shared" si="25"/>
        <v>0</v>
      </c>
      <c r="AM37" s="166" t="s">
        <v>997</v>
      </c>
      <c r="AO37" s="158">
        <v>1.1599999999999999</v>
      </c>
      <c r="BB37" s="172" t="s">
        <v>165</v>
      </c>
      <c r="BD37" s="172" t="s">
        <v>171</v>
      </c>
      <c r="BE37" s="172" t="s">
        <v>42</v>
      </c>
      <c r="BI37" s="172" t="s">
        <v>148</v>
      </c>
      <c r="BO37" s="173">
        <f t="shared" si="26"/>
        <v>0</v>
      </c>
      <c r="BP37" s="173">
        <f t="shared" si="27"/>
        <v>15.45</v>
      </c>
      <c r="BQ37" s="173">
        <f t="shared" si="28"/>
        <v>0</v>
      </c>
      <c r="BR37" s="173">
        <f t="shared" si="29"/>
        <v>0</v>
      </c>
      <c r="BS37" s="173">
        <f t="shared" si="30"/>
        <v>0</v>
      </c>
      <c r="BT37" s="172" t="s">
        <v>42</v>
      </c>
      <c r="BU37" s="174">
        <f t="shared" si="31"/>
        <v>15.45</v>
      </c>
      <c r="BV37" s="172" t="s">
        <v>153</v>
      </c>
      <c r="BW37" s="172" t="s">
        <v>199</v>
      </c>
    </row>
    <row r="38" spans="2:75" s="1" customFormat="1" ht="31.5" customHeight="1">
      <c r="B38" s="73"/>
      <c r="C38" s="93" t="s">
        <v>175</v>
      </c>
      <c r="D38" s="93" t="s">
        <v>149</v>
      </c>
      <c r="E38" s="94" t="s">
        <v>597</v>
      </c>
      <c r="F38" s="498" t="s">
        <v>598</v>
      </c>
      <c r="G38" s="498"/>
      <c r="H38" s="498"/>
      <c r="I38" s="498"/>
      <c r="J38" s="95" t="s">
        <v>184</v>
      </c>
      <c r="K38" s="96">
        <v>40</v>
      </c>
      <c r="L38" s="128">
        <v>40</v>
      </c>
      <c r="M38" s="128">
        <v>40</v>
      </c>
      <c r="N38" s="128">
        <v>35</v>
      </c>
      <c r="O38" s="128">
        <v>0</v>
      </c>
      <c r="P38" s="165">
        <f t="shared" si="17"/>
        <v>155</v>
      </c>
      <c r="Q38" s="127">
        <v>0.93</v>
      </c>
      <c r="R38" s="127">
        <v>0.93</v>
      </c>
      <c r="S38" s="127">
        <v>0.93</v>
      </c>
      <c r="T38" s="127">
        <v>0.93</v>
      </c>
      <c r="U38" s="127">
        <v>0.93</v>
      </c>
      <c r="V38" s="128">
        <f t="shared" si="18"/>
        <v>37.200000000000003</v>
      </c>
      <c r="W38" s="128">
        <f t="shared" si="19"/>
        <v>37.200000000000003</v>
      </c>
      <c r="X38" s="128">
        <f t="shared" si="20"/>
        <v>37.200000000000003</v>
      </c>
      <c r="Y38" s="128">
        <f t="shared" si="21"/>
        <v>32.549999999999997</v>
      </c>
      <c r="Z38" s="128">
        <f t="shared" si="22"/>
        <v>0</v>
      </c>
      <c r="AA38" s="128">
        <f t="shared" si="32"/>
        <v>144.15</v>
      </c>
      <c r="AB38" s="74"/>
      <c r="AC38" s="113"/>
      <c r="AD38" s="98" t="s">
        <v>0</v>
      </c>
      <c r="AE38" s="18" t="s">
        <v>11</v>
      </c>
      <c r="AF38" s="16"/>
      <c r="AG38" s="99">
        <f t="shared" si="23"/>
        <v>0</v>
      </c>
      <c r="AH38" s="99">
        <v>0</v>
      </c>
      <c r="AI38" s="99">
        <f t="shared" si="24"/>
        <v>0</v>
      </c>
      <c r="AJ38" s="99">
        <v>0</v>
      </c>
      <c r="AK38" s="100">
        <f t="shared" si="25"/>
        <v>0</v>
      </c>
      <c r="AM38" s="113"/>
      <c r="AO38" s="1">
        <v>1.04</v>
      </c>
      <c r="BB38" s="9" t="s">
        <v>153</v>
      </c>
      <c r="BD38" s="9" t="s">
        <v>149</v>
      </c>
      <c r="BE38" s="9" t="s">
        <v>42</v>
      </c>
      <c r="BI38" s="9" t="s">
        <v>148</v>
      </c>
      <c r="BO38" s="72">
        <f t="shared" si="26"/>
        <v>0</v>
      </c>
      <c r="BP38" s="72">
        <f t="shared" si="27"/>
        <v>37.200000000000003</v>
      </c>
      <c r="BQ38" s="72">
        <f t="shared" si="28"/>
        <v>0</v>
      </c>
      <c r="BR38" s="72">
        <f t="shared" si="29"/>
        <v>0</v>
      </c>
      <c r="BS38" s="72">
        <f t="shared" si="30"/>
        <v>0</v>
      </c>
      <c r="BT38" s="9" t="s">
        <v>42</v>
      </c>
      <c r="BU38" s="101">
        <f t="shared" si="31"/>
        <v>37.200000000000003</v>
      </c>
      <c r="BV38" s="9" t="s">
        <v>153</v>
      </c>
      <c r="BW38" s="9" t="s">
        <v>1</v>
      </c>
    </row>
    <row r="39" spans="2:75" s="158" customFormat="1" ht="22.5" customHeight="1">
      <c r="B39" s="156"/>
      <c r="C39" s="102" t="s">
        <v>178</v>
      </c>
      <c r="D39" s="102" t="s">
        <v>171</v>
      </c>
      <c r="E39" s="103" t="s">
        <v>599</v>
      </c>
      <c r="F39" s="499" t="s">
        <v>600</v>
      </c>
      <c r="G39" s="499"/>
      <c r="H39" s="499"/>
      <c r="I39" s="499"/>
      <c r="J39" s="104" t="s">
        <v>184</v>
      </c>
      <c r="K39" s="133">
        <v>40</v>
      </c>
      <c r="L39" s="133">
        <v>40</v>
      </c>
      <c r="M39" s="133">
        <v>40</v>
      </c>
      <c r="N39" s="133">
        <v>35</v>
      </c>
      <c r="O39" s="133">
        <v>0</v>
      </c>
      <c r="P39" s="177">
        <f t="shared" si="17"/>
        <v>155</v>
      </c>
      <c r="Q39" s="140">
        <v>0.13</v>
      </c>
      <c r="R39" s="140">
        <v>0.13</v>
      </c>
      <c r="S39" s="140">
        <v>0.13</v>
      </c>
      <c r="T39" s="140">
        <v>0.13</v>
      </c>
      <c r="U39" s="140">
        <v>0.13</v>
      </c>
      <c r="V39" s="133">
        <f t="shared" si="18"/>
        <v>5.2</v>
      </c>
      <c r="W39" s="133">
        <f t="shared" si="19"/>
        <v>5.2</v>
      </c>
      <c r="X39" s="133">
        <f t="shared" si="20"/>
        <v>5.2</v>
      </c>
      <c r="Y39" s="133">
        <f t="shared" si="21"/>
        <v>4.55</v>
      </c>
      <c r="Z39" s="133">
        <f t="shared" si="22"/>
        <v>0</v>
      </c>
      <c r="AA39" s="133">
        <f t="shared" si="32"/>
        <v>20.150000000000002</v>
      </c>
      <c r="AB39" s="157"/>
      <c r="AC39" s="166" t="s">
        <v>998</v>
      </c>
      <c r="AD39" s="167" t="s">
        <v>0</v>
      </c>
      <c r="AE39" s="168" t="s">
        <v>11</v>
      </c>
      <c r="AF39" s="169"/>
      <c r="AG39" s="170">
        <f t="shared" si="23"/>
        <v>0</v>
      </c>
      <c r="AH39" s="170">
        <v>0</v>
      </c>
      <c r="AI39" s="170">
        <f t="shared" si="24"/>
        <v>0</v>
      </c>
      <c r="AJ39" s="170">
        <v>0</v>
      </c>
      <c r="AK39" s="171">
        <f t="shared" si="25"/>
        <v>0</v>
      </c>
      <c r="AM39" s="166" t="s">
        <v>999</v>
      </c>
      <c r="AO39" s="158">
        <v>0.15</v>
      </c>
      <c r="BB39" s="172" t="s">
        <v>165</v>
      </c>
      <c r="BD39" s="172" t="s">
        <v>171</v>
      </c>
      <c r="BE39" s="172" t="s">
        <v>42</v>
      </c>
      <c r="BI39" s="172" t="s">
        <v>148</v>
      </c>
      <c r="BO39" s="173">
        <f t="shared" si="26"/>
        <v>0</v>
      </c>
      <c r="BP39" s="173">
        <f t="shared" si="27"/>
        <v>5.2</v>
      </c>
      <c r="BQ39" s="173">
        <f t="shared" si="28"/>
        <v>0</v>
      </c>
      <c r="BR39" s="173">
        <f t="shared" si="29"/>
        <v>0</v>
      </c>
      <c r="BS39" s="173">
        <f t="shared" si="30"/>
        <v>0</v>
      </c>
      <c r="BT39" s="172" t="s">
        <v>42</v>
      </c>
      <c r="BU39" s="174">
        <f t="shared" si="31"/>
        <v>5.2</v>
      </c>
      <c r="BV39" s="172" t="s">
        <v>153</v>
      </c>
      <c r="BW39" s="172" t="s">
        <v>208</v>
      </c>
    </row>
    <row r="40" spans="2:75" s="158" customFormat="1" ht="31.5" customHeight="1">
      <c r="B40" s="156"/>
      <c r="C40" s="102" t="s">
        <v>181</v>
      </c>
      <c r="D40" s="102" t="s">
        <v>171</v>
      </c>
      <c r="E40" s="103" t="s">
        <v>601</v>
      </c>
      <c r="F40" s="499" t="s">
        <v>602</v>
      </c>
      <c r="G40" s="499"/>
      <c r="H40" s="499"/>
      <c r="I40" s="499"/>
      <c r="J40" s="104" t="s">
        <v>184</v>
      </c>
      <c r="K40" s="133">
        <v>24</v>
      </c>
      <c r="L40" s="133">
        <v>24</v>
      </c>
      <c r="M40" s="133">
        <v>20</v>
      </c>
      <c r="N40" s="133">
        <v>5</v>
      </c>
      <c r="O40" s="133">
        <v>0</v>
      </c>
      <c r="P40" s="177">
        <f t="shared" si="17"/>
        <v>73</v>
      </c>
      <c r="Q40" s="140">
        <v>4.6500000000000004</v>
      </c>
      <c r="R40" s="140">
        <v>4.6500000000000004</v>
      </c>
      <c r="S40" s="140">
        <v>4.6500000000000004</v>
      </c>
      <c r="T40" s="140">
        <v>4.6500000000000004</v>
      </c>
      <c r="U40" s="140">
        <v>4.6500000000000004</v>
      </c>
      <c r="V40" s="133">
        <f t="shared" si="18"/>
        <v>111.6</v>
      </c>
      <c r="W40" s="133">
        <f t="shared" si="19"/>
        <v>111.6</v>
      </c>
      <c r="X40" s="133">
        <f t="shared" si="20"/>
        <v>93</v>
      </c>
      <c r="Y40" s="133">
        <f t="shared" si="21"/>
        <v>23.25</v>
      </c>
      <c r="Z40" s="133">
        <f t="shared" si="22"/>
        <v>0</v>
      </c>
      <c r="AA40" s="133">
        <f t="shared" si="32"/>
        <v>339.45</v>
      </c>
      <c r="AB40" s="157"/>
      <c r="AC40" s="166" t="s">
        <v>1000</v>
      </c>
      <c r="AD40" s="167" t="s">
        <v>0</v>
      </c>
      <c r="AE40" s="168" t="s">
        <v>11</v>
      </c>
      <c r="AF40" s="169"/>
      <c r="AG40" s="170">
        <f t="shared" si="23"/>
        <v>0</v>
      </c>
      <c r="AH40" s="170">
        <v>0</v>
      </c>
      <c r="AI40" s="170">
        <f t="shared" si="24"/>
        <v>0</v>
      </c>
      <c r="AJ40" s="170">
        <v>0</v>
      </c>
      <c r="AK40" s="171">
        <f t="shared" si="25"/>
        <v>0</v>
      </c>
      <c r="AM40" s="166" t="s">
        <v>1001</v>
      </c>
      <c r="AO40" s="158">
        <v>5.21</v>
      </c>
      <c r="BB40" s="172" t="s">
        <v>165</v>
      </c>
      <c r="BD40" s="172" t="s">
        <v>171</v>
      </c>
      <c r="BE40" s="172" t="s">
        <v>42</v>
      </c>
      <c r="BI40" s="172" t="s">
        <v>148</v>
      </c>
      <c r="BO40" s="173">
        <f t="shared" si="26"/>
        <v>0</v>
      </c>
      <c r="BP40" s="173">
        <f t="shared" si="27"/>
        <v>111.6</v>
      </c>
      <c r="BQ40" s="173">
        <f t="shared" si="28"/>
        <v>0</v>
      </c>
      <c r="BR40" s="173">
        <f t="shared" si="29"/>
        <v>0</v>
      </c>
      <c r="BS40" s="173">
        <f t="shared" si="30"/>
        <v>0</v>
      </c>
      <c r="BT40" s="172" t="s">
        <v>42</v>
      </c>
      <c r="BU40" s="174">
        <f t="shared" si="31"/>
        <v>111.6</v>
      </c>
      <c r="BV40" s="172" t="s">
        <v>153</v>
      </c>
      <c r="BW40" s="172" t="s">
        <v>214</v>
      </c>
    </row>
    <row r="41" spans="2:75" s="158" customFormat="1" ht="22.5" customHeight="1">
      <c r="B41" s="156"/>
      <c r="C41" s="102" t="s">
        <v>185</v>
      </c>
      <c r="D41" s="102" t="s">
        <v>171</v>
      </c>
      <c r="E41" s="103" t="s">
        <v>603</v>
      </c>
      <c r="F41" s="499" t="s">
        <v>604</v>
      </c>
      <c r="G41" s="499"/>
      <c r="H41" s="499"/>
      <c r="I41" s="499"/>
      <c r="J41" s="104" t="s">
        <v>184</v>
      </c>
      <c r="K41" s="133">
        <v>200</v>
      </c>
      <c r="L41" s="133">
        <v>200</v>
      </c>
      <c r="M41" s="133">
        <v>200</v>
      </c>
      <c r="N41" s="133">
        <v>200</v>
      </c>
      <c r="O41" s="133">
        <v>0</v>
      </c>
      <c r="P41" s="177">
        <f t="shared" si="17"/>
        <v>800</v>
      </c>
      <c r="Q41" s="140">
        <v>0.06</v>
      </c>
      <c r="R41" s="140">
        <v>0.06</v>
      </c>
      <c r="S41" s="140">
        <v>0.06</v>
      </c>
      <c r="T41" s="140">
        <v>0.06</v>
      </c>
      <c r="U41" s="140">
        <v>0.06</v>
      </c>
      <c r="V41" s="133">
        <f t="shared" si="18"/>
        <v>12</v>
      </c>
      <c r="W41" s="133">
        <f t="shared" si="19"/>
        <v>12</v>
      </c>
      <c r="X41" s="133">
        <f t="shared" si="20"/>
        <v>12</v>
      </c>
      <c r="Y41" s="133">
        <f t="shared" si="21"/>
        <v>12</v>
      </c>
      <c r="Z41" s="133">
        <f t="shared" si="22"/>
        <v>0</v>
      </c>
      <c r="AA41" s="133">
        <f t="shared" si="32"/>
        <v>48</v>
      </c>
      <c r="AB41" s="157"/>
      <c r="AC41" s="166" t="s">
        <v>1002</v>
      </c>
      <c r="AD41" s="167" t="s">
        <v>0</v>
      </c>
      <c r="AE41" s="168" t="s">
        <v>11</v>
      </c>
      <c r="AF41" s="169"/>
      <c r="AG41" s="170">
        <f t="shared" si="23"/>
        <v>0</v>
      </c>
      <c r="AH41" s="170">
        <v>0</v>
      </c>
      <c r="AI41" s="170">
        <f t="shared" si="24"/>
        <v>0</v>
      </c>
      <c r="AJ41" s="170">
        <v>0</v>
      </c>
      <c r="AK41" s="171">
        <f t="shared" si="25"/>
        <v>0</v>
      </c>
      <c r="AM41" s="166" t="s">
        <v>1003</v>
      </c>
      <c r="AO41" s="158">
        <v>7.0000000000000007E-2</v>
      </c>
      <c r="BB41" s="172" t="s">
        <v>165</v>
      </c>
      <c r="BD41" s="172" t="s">
        <v>171</v>
      </c>
      <c r="BE41" s="172" t="s">
        <v>42</v>
      </c>
      <c r="BI41" s="172" t="s">
        <v>148</v>
      </c>
      <c r="BO41" s="173">
        <f t="shared" si="26"/>
        <v>0</v>
      </c>
      <c r="BP41" s="173">
        <f t="shared" si="27"/>
        <v>12</v>
      </c>
      <c r="BQ41" s="173">
        <f t="shared" si="28"/>
        <v>0</v>
      </c>
      <c r="BR41" s="173">
        <f t="shared" si="29"/>
        <v>0</v>
      </c>
      <c r="BS41" s="173">
        <f t="shared" si="30"/>
        <v>0</v>
      </c>
      <c r="BT41" s="172" t="s">
        <v>42</v>
      </c>
      <c r="BU41" s="174">
        <f t="shared" si="31"/>
        <v>12</v>
      </c>
      <c r="BV41" s="172" t="s">
        <v>153</v>
      </c>
      <c r="BW41" s="172" t="s">
        <v>220</v>
      </c>
    </row>
    <row r="42" spans="2:75" s="158" customFormat="1" ht="31.5" customHeight="1">
      <c r="B42" s="156"/>
      <c r="C42" s="102" t="s">
        <v>188</v>
      </c>
      <c r="D42" s="102" t="s">
        <v>171</v>
      </c>
      <c r="E42" s="103" t="s">
        <v>605</v>
      </c>
      <c r="F42" s="499" t="s">
        <v>606</v>
      </c>
      <c r="G42" s="499"/>
      <c r="H42" s="499"/>
      <c r="I42" s="499"/>
      <c r="J42" s="104" t="s">
        <v>184</v>
      </c>
      <c r="K42" s="133">
        <v>1</v>
      </c>
      <c r="L42" s="133">
        <v>1</v>
      </c>
      <c r="M42" s="133">
        <v>1</v>
      </c>
      <c r="N42" s="133">
        <v>1</v>
      </c>
      <c r="O42" s="133">
        <v>0</v>
      </c>
      <c r="P42" s="177">
        <f t="shared" si="17"/>
        <v>4</v>
      </c>
      <c r="Q42" s="140">
        <v>337.88</v>
      </c>
      <c r="R42" s="140">
        <v>337.88</v>
      </c>
      <c r="S42" s="140">
        <v>337.88</v>
      </c>
      <c r="T42" s="140">
        <v>337.88</v>
      </c>
      <c r="U42" s="140">
        <v>337.88</v>
      </c>
      <c r="V42" s="133">
        <f t="shared" si="18"/>
        <v>337.88</v>
      </c>
      <c r="W42" s="133">
        <f t="shared" si="19"/>
        <v>337.88</v>
      </c>
      <c r="X42" s="133">
        <f t="shared" si="20"/>
        <v>337.88</v>
      </c>
      <c r="Y42" s="133">
        <f t="shared" si="21"/>
        <v>337.88</v>
      </c>
      <c r="Z42" s="133">
        <f t="shared" si="22"/>
        <v>0</v>
      </c>
      <c r="AA42" s="133">
        <f t="shared" si="32"/>
        <v>1351.52</v>
      </c>
      <c r="AB42" s="157"/>
      <c r="AC42" s="166" t="s">
        <v>1004</v>
      </c>
      <c r="AD42" s="167" t="s">
        <v>0</v>
      </c>
      <c r="AE42" s="168" t="s">
        <v>11</v>
      </c>
      <c r="AF42" s="169"/>
      <c r="AG42" s="170">
        <f t="shared" si="23"/>
        <v>0</v>
      </c>
      <c r="AH42" s="170">
        <v>0</v>
      </c>
      <c r="AI42" s="170">
        <f t="shared" si="24"/>
        <v>0</v>
      </c>
      <c r="AJ42" s="170">
        <v>0</v>
      </c>
      <c r="AK42" s="171">
        <f t="shared" si="25"/>
        <v>0</v>
      </c>
      <c r="AM42" s="166" t="s">
        <v>1005</v>
      </c>
      <c r="AO42" s="158">
        <v>378.28</v>
      </c>
      <c r="BB42" s="172" t="s">
        <v>165</v>
      </c>
      <c r="BD42" s="172" t="s">
        <v>171</v>
      </c>
      <c r="BE42" s="172" t="s">
        <v>42</v>
      </c>
      <c r="BI42" s="172" t="s">
        <v>148</v>
      </c>
      <c r="BO42" s="173">
        <f t="shared" si="26"/>
        <v>0</v>
      </c>
      <c r="BP42" s="173">
        <f t="shared" si="27"/>
        <v>337.88</v>
      </c>
      <c r="BQ42" s="173">
        <f t="shared" si="28"/>
        <v>0</v>
      </c>
      <c r="BR42" s="173">
        <f t="shared" si="29"/>
        <v>0</v>
      </c>
      <c r="BS42" s="173">
        <f t="shared" si="30"/>
        <v>0</v>
      </c>
      <c r="BT42" s="172" t="s">
        <v>42</v>
      </c>
      <c r="BU42" s="174">
        <f t="shared" si="31"/>
        <v>337.88</v>
      </c>
      <c r="BV42" s="172" t="s">
        <v>153</v>
      </c>
      <c r="BW42" s="172" t="s">
        <v>226</v>
      </c>
    </row>
    <row r="43" spans="2:75" s="158" customFormat="1" ht="31.5" customHeight="1">
      <c r="B43" s="156"/>
      <c r="C43" s="102" t="s">
        <v>191</v>
      </c>
      <c r="D43" s="102" t="s">
        <v>171</v>
      </c>
      <c r="E43" s="103" t="s">
        <v>607</v>
      </c>
      <c r="F43" s="499" t="s">
        <v>608</v>
      </c>
      <c r="G43" s="499"/>
      <c r="H43" s="499"/>
      <c r="I43" s="499"/>
      <c r="J43" s="104" t="s">
        <v>184</v>
      </c>
      <c r="K43" s="133">
        <v>2</v>
      </c>
      <c r="L43" s="133">
        <v>2</v>
      </c>
      <c r="M43" s="133">
        <v>2</v>
      </c>
      <c r="N43" s="133">
        <v>2</v>
      </c>
      <c r="O43" s="133">
        <v>2</v>
      </c>
      <c r="P43" s="177">
        <f t="shared" si="17"/>
        <v>10</v>
      </c>
      <c r="Q43" s="140">
        <v>63.32</v>
      </c>
      <c r="R43" s="140">
        <v>63.32</v>
      </c>
      <c r="S43" s="140">
        <v>63.32</v>
      </c>
      <c r="T43" s="140">
        <v>63.32</v>
      </c>
      <c r="U43" s="140">
        <v>63.32</v>
      </c>
      <c r="V43" s="133">
        <f t="shared" si="18"/>
        <v>126.64</v>
      </c>
      <c r="W43" s="133">
        <f t="shared" si="19"/>
        <v>126.64</v>
      </c>
      <c r="X43" s="133">
        <f t="shared" si="20"/>
        <v>126.64</v>
      </c>
      <c r="Y43" s="133">
        <f t="shared" si="21"/>
        <v>126.64</v>
      </c>
      <c r="Z43" s="133">
        <f t="shared" si="22"/>
        <v>126.64</v>
      </c>
      <c r="AA43" s="133">
        <f t="shared" si="32"/>
        <v>633.20000000000005</v>
      </c>
      <c r="AB43" s="157"/>
      <c r="AC43" s="166" t="s">
        <v>1004</v>
      </c>
      <c r="AD43" s="167" t="s">
        <v>0</v>
      </c>
      <c r="AE43" s="168" t="s">
        <v>11</v>
      </c>
      <c r="AF43" s="169"/>
      <c r="AG43" s="170">
        <f t="shared" si="23"/>
        <v>0</v>
      </c>
      <c r="AH43" s="170">
        <v>0</v>
      </c>
      <c r="AI43" s="170">
        <f t="shared" si="24"/>
        <v>0</v>
      </c>
      <c r="AJ43" s="170">
        <v>0</v>
      </c>
      <c r="AK43" s="171">
        <f t="shared" si="25"/>
        <v>0</v>
      </c>
      <c r="AM43" s="166" t="s">
        <v>1006</v>
      </c>
      <c r="AO43" s="158">
        <v>70.89</v>
      </c>
      <c r="BB43" s="172" t="s">
        <v>165</v>
      </c>
      <c r="BD43" s="172" t="s">
        <v>171</v>
      </c>
      <c r="BE43" s="172" t="s">
        <v>42</v>
      </c>
      <c r="BI43" s="172" t="s">
        <v>148</v>
      </c>
      <c r="BO43" s="173">
        <f t="shared" si="26"/>
        <v>0</v>
      </c>
      <c r="BP43" s="173">
        <f t="shared" si="27"/>
        <v>126.64</v>
      </c>
      <c r="BQ43" s="173">
        <f t="shared" si="28"/>
        <v>0</v>
      </c>
      <c r="BR43" s="173">
        <f t="shared" si="29"/>
        <v>0</v>
      </c>
      <c r="BS43" s="173">
        <f t="shared" si="30"/>
        <v>0</v>
      </c>
      <c r="BT43" s="172" t="s">
        <v>42</v>
      </c>
      <c r="BU43" s="174">
        <f t="shared" si="31"/>
        <v>126.64</v>
      </c>
      <c r="BV43" s="172" t="s">
        <v>153</v>
      </c>
      <c r="BW43" s="172" t="s">
        <v>232</v>
      </c>
    </row>
    <row r="44" spans="2:75" s="1" customFormat="1" ht="31.5" customHeight="1">
      <c r="B44" s="73"/>
      <c r="C44" s="93" t="s">
        <v>169</v>
      </c>
      <c r="D44" s="93" t="s">
        <v>149</v>
      </c>
      <c r="E44" s="94" t="s">
        <v>609</v>
      </c>
      <c r="F44" s="498" t="s">
        <v>610</v>
      </c>
      <c r="G44" s="498"/>
      <c r="H44" s="498"/>
      <c r="I44" s="498"/>
      <c r="J44" s="95" t="s">
        <v>184</v>
      </c>
      <c r="K44" s="96">
        <v>20</v>
      </c>
      <c r="L44" s="128">
        <v>20</v>
      </c>
      <c r="M44" s="128">
        <v>15</v>
      </c>
      <c r="N44" s="128">
        <v>25</v>
      </c>
      <c r="O44" s="128">
        <v>0</v>
      </c>
      <c r="P44" s="165">
        <f t="shared" si="17"/>
        <v>80</v>
      </c>
      <c r="Q44" s="127">
        <v>1.5</v>
      </c>
      <c r="R44" s="127">
        <v>1.5</v>
      </c>
      <c r="S44" s="127">
        <v>1.5</v>
      </c>
      <c r="T44" s="127">
        <v>1.5</v>
      </c>
      <c r="U44" s="127">
        <v>1.5</v>
      </c>
      <c r="V44" s="128">
        <f t="shared" si="18"/>
        <v>30</v>
      </c>
      <c r="W44" s="128">
        <f t="shared" si="19"/>
        <v>30</v>
      </c>
      <c r="X44" s="128">
        <f t="shared" si="20"/>
        <v>22.5</v>
      </c>
      <c r="Y44" s="128">
        <f t="shared" si="21"/>
        <v>37.5</v>
      </c>
      <c r="Z44" s="128">
        <f t="shared" si="22"/>
        <v>0</v>
      </c>
      <c r="AA44" s="128">
        <f t="shared" si="32"/>
        <v>120</v>
      </c>
      <c r="AB44" s="74"/>
      <c r="AC44" s="113"/>
      <c r="AD44" s="98" t="s">
        <v>0</v>
      </c>
      <c r="AE44" s="18" t="s">
        <v>11</v>
      </c>
      <c r="AF44" s="16"/>
      <c r="AG44" s="99">
        <f t="shared" si="23"/>
        <v>0</v>
      </c>
      <c r="AH44" s="99">
        <v>0</v>
      </c>
      <c r="AI44" s="99">
        <f t="shared" si="24"/>
        <v>0</v>
      </c>
      <c r="AJ44" s="99">
        <v>0</v>
      </c>
      <c r="AK44" s="100">
        <f t="shared" si="25"/>
        <v>0</v>
      </c>
      <c r="AM44" s="113"/>
      <c r="AO44" s="1">
        <v>1.68</v>
      </c>
      <c r="BB44" s="9" t="s">
        <v>153</v>
      </c>
      <c r="BD44" s="9" t="s">
        <v>149</v>
      </c>
      <c r="BE44" s="9" t="s">
        <v>42</v>
      </c>
      <c r="BI44" s="9" t="s">
        <v>148</v>
      </c>
      <c r="BO44" s="72">
        <f t="shared" si="26"/>
        <v>0</v>
      </c>
      <c r="BP44" s="72">
        <f t="shared" si="27"/>
        <v>30</v>
      </c>
      <c r="BQ44" s="72">
        <f t="shared" si="28"/>
        <v>0</v>
      </c>
      <c r="BR44" s="72">
        <f t="shared" si="29"/>
        <v>0</v>
      </c>
      <c r="BS44" s="72">
        <f t="shared" si="30"/>
        <v>0</v>
      </c>
      <c r="BT44" s="9" t="s">
        <v>42</v>
      </c>
      <c r="BU44" s="101">
        <f t="shared" si="31"/>
        <v>30</v>
      </c>
      <c r="BV44" s="9" t="s">
        <v>153</v>
      </c>
      <c r="BW44" s="9" t="s">
        <v>174</v>
      </c>
    </row>
    <row r="45" spans="2:75" s="158" customFormat="1" ht="22.5" customHeight="1">
      <c r="B45" s="156"/>
      <c r="C45" s="102" t="s">
        <v>195</v>
      </c>
      <c r="D45" s="102" t="s">
        <v>171</v>
      </c>
      <c r="E45" s="103" t="s">
        <v>611</v>
      </c>
      <c r="F45" s="499" t="s">
        <v>612</v>
      </c>
      <c r="G45" s="499"/>
      <c r="H45" s="499"/>
      <c r="I45" s="499"/>
      <c r="J45" s="104" t="s">
        <v>184</v>
      </c>
      <c r="K45" s="133">
        <v>20</v>
      </c>
      <c r="L45" s="133">
        <v>20</v>
      </c>
      <c r="M45" s="133">
        <v>15</v>
      </c>
      <c r="N45" s="133">
        <v>25</v>
      </c>
      <c r="O45" s="133">
        <v>0</v>
      </c>
      <c r="P45" s="177">
        <f t="shared" si="17"/>
        <v>80</v>
      </c>
      <c r="Q45" s="140">
        <v>2.13</v>
      </c>
      <c r="R45" s="140">
        <v>2.13</v>
      </c>
      <c r="S45" s="140">
        <v>2.13</v>
      </c>
      <c r="T45" s="140">
        <v>2.13</v>
      </c>
      <c r="U45" s="140">
        <v>2.13</v>
      </c>
      <c r="V45" s="133">
        <f t="shared" si="18"/>
        <v>42.6</v>
      </c>
      <c r="W45" s="133">
        <f t="shared" si="19"/>
        <v>42.6</v>
      </c>
      <c r="X45" s="133">
        <f t="shared" si="20"/>
        <v>31.95</v>
      </c>
      <c r="Y45" s="133">
        <f t="shared" si="21"/>
        <v>53.25</v>
      </c>
      <c r="Z45" s="133">
        <f t="shared" si="22"/>
        <v>0</v>
      </c>
      <c r="AA45" s="133">
        <f t="shared" si="32"/>
        <v>170.4</v>
      </c>
      <c r="AB45" s="157"/>
      <c r="AC45" s="166" t="s">
        <v>1007</v>
      </c>
      <c r="AD45" s="167" t="s">
        <v>0</v>
      </c>
      <c r="AE45" s="168" t="s">
        <v>11</v>
      </c>
      <c r="AF45" s="169"/>
      <c r="AG45" s="170">
        <f t="shared" si="23"/>
        <v>0</v>
      </c>
      <c r="AH45" s="170">
        <v>0</v>
      </c>
      <c r="AI45" s="170">
        <f t="shared" si="24"/>
        <v>0</v>
      </c>
      <c r="AJ45" s="170">
        <v>0</v>
      </c>
      <c r="AK45" s="171">
        <f t="shared" si="25"/>
        <v>0</v>
      </c>
      <c r="AM45" s="166" t="s">
        <v>1008</v>
      </c>
      <c r="AO45" s="158">
        <v>2.38</v>
      </c>
      <c r="BB45" s="172" t="s">
        <v>165</v>
      </c>
      <c r="BD45" s="172" t="s">
        <v>171</v>
      </c>
      <c r="BE45" s="172" t="s">
        <v>42</v>
      </c>
      <c r="BI45" s="172" t="s">
        <v>148</v>
      </c>
      <c r="BO45" s="173">
        <f t="shared" si="26"/>
        <v>0</v>
      </c>
      <c r="BP45" s="173">
        <f t="shared" si="27"/>
        <v>42.6</v>
      </c>
      <c r="BQ45" s="173">
        <f t="shared" si="28"/>
        <v>0</v>
      </c>
      <c r="BR45" s="173">
        <f t="shared" si="29"/>
        <v>0</v>
      </c>
      <c r="BS45" s="173">
        <f t="shared" si="30"/>
        <v>0</v>
      </c>
      <c r="BT45" s="172" t="s">
        <v>42</v>
      </c>
      <c r="BU45" s="174">
        <f t="shared" si="31"/>
        <v>42.6</v>
      </c>
      <c r="BV45" s="172" t="s">
        <v>153</v>
      </c>
      <c r="BW45" s="172" t="s">
        <v>478</v>
      </c>
    </row>
    <row r="46" spans="2:75" s="1" customFormat="1" ht="31.5" customHeight="1">
      <c r="B46" s="73"/>
      <c r="C46" s="93" t="s">
        <v>199</v>
      </c>
      <c r="D46" s="93" t="s">
        <v>149</v>
      </c>
      <c r="E46" s="94" t="s">
        <v>613</v>
      </c>
      <c r="F46" s="498" t="s">
        <v>614</v>
      </c>
      <c r="G46" s="498"/>
      <c r="H46" s="498"/>
      <c r="I46" s="498"/>
      <c r="J46" s="95" t="s">
        <v>184</v>
      </c>
      <c r="K46" s="96">
        <v>20</v>
      </c>
      <c r="L46" s="128">
        <v>20</v>
      </c>
      <c r="M46" s="128">
        <v>25</v>
      </c>
      <c r="N46" s="128">
        <v>10</v>
      </c>
      <c r="O46" s="128">
        <v>0</v>
      </c>
      <c r="P46" s="165">
        <f t="shared" si="17"/>
        <v>75</v>
      </c>
      <c r="Q46" s="127">
        <v>1.72</v>
      </c>
      <c r="R46" s="127">
        <v>1.72</v>
      </c>
      <c r="S46" s="127">
        <v>1.72</v>
      </c>
      <c r="T46" s="127">
        <v>1.72</v>
      </c>
      <c r="U46" s="127">
        <v>1.72</v>
      </c>
      <c r="V46" s="128">
        <f t="shared" si="18"/>
        <v>34.4</v>
      </c>
      <c r="W46" s="128">
        <f t="shared" si="19"/>
        <v>34.4</v>
      </c>
      <c r="X46" s="128">
        <f t="shared" si="20"/>
        <v>43</v>
      </c>
      <c r="Y46" s="128">
        <f t="shared" si="21"/>
        <v>17.2</v>
      </c>
      <c r="Z46" s="128">
        <f t="shared" si="22"/>
        <v>0</v>
      </c>
      <c r="AA46" s="128">
        <f t="shared" si="32"/>
        <v>129</v>
      </c>
      <c r="AB46" s="74"/>
      <c r="AC46" s="113"/>
      <c r="AD46" s="98" t="s">
        <v>0</v>
      </c>
      <c r="AE46" s="18" t="s">
        <v>11</v>
      </c>
      <c r="AF46" s="16"/>
      <c r="AG46" s="99">
        <f t="shared" si="23"/>
        <v>0</v>
      </c>
      <c r="AH46" s="99">
        <v>0</v>
      </c>
      <c r="AI46" s="99">
        <f t="shared" si="24"/>
        <v>0</v>
      </c>
      <c r="AJ46" s="99">
        <v>0</v>
      </c>
      <c r="AK46" s="100">
        <f t="shared" si="25"/>
        <v>0</v>
      </c>
      <c r="AM46" s="113"/>
      <c r="AO46" s="1">
        <v>1.92</v>
      </c>
      <c r="BB46" s="9" t="s">
        <v>153</v>
      </c>
      <c r="BD46" s="9" t="s">
        <v>149</v>
      </c>
      <c r="BE46" s="9" t="s">
        <v>42</v>
      </c>
      <c r="BI46" s="9" t="s">
        <v>148</v>
      </c>
      <c r="BO46" s="72">
        <f t="shared" si="26"/>
        <v>0</v>
      </c>
      <c r="BP46" s="72">
        <f t="shared" si="27"/>
        <v>34.4</v>
      </c>
      <c r="BQ46" s="72">
        <f t="shared" si="28"/>
        <v>0</v>
      </c>
      <c r="BR46" s="72">
        <f t="shared" si="29"/>
        <v>0</v>
      </c>
      <c r="BS46" s="72">
        <f t="shared" si="30"/>
        <v>0</v>
      </c>
      <c r="BT46" s="9" t="s">
        <v>42</v>
      </c>
      <c r="BU46" s="101">
        <f t="shared" si="31"/>
        <v>34.4</v>
      </c>
      <c r="BV46" s="9" t="s">
        <v>153</v>
      </c>
      <c r="BW46" s="9" t="s">
        <v>480</v>
      </c>
    </row>
    <row r="47" spans="2:75" s="158" customFormat="1" ht="22.5" customHeight="1">
      <c r="B47" s="156"/>
      <c r="C47" s="102" t="s">
        <v>200</v>
      </c>
      <c r="D47" s="102" t="s">
        <v>171</v>
      </c>
      <c r="E47" s="103" t="s">
        <v>615</v>
      </c>
      <c r="F47" s="499" t="s">
        <v>616</v>
      </c>
      <c r="G47" s="499"/>
      <c r="H47" s="499"/>
      <c r="I47" s="499"/>
      <c r="J47" s="104" t="s">
        <v>184</v>
      </c>
      <c r="K47" s="133">
        <v>20</v>
      </c>
      <c r="L47" s="133">
        <v>20</v>
      </c>
      <c r="M47" s="133">
        <v>25</v>
      </c>
      <c r="N47" s="133">
        <v>10</v>
      </c>
      <c r="O47" s="133">
        <v>0</v>
      </c>
      <c r="P47" s="177">
        <f t="shared" si="17"/>
        <v>75</v>
      </c>
      <c r="Q47" s="140">
        <v>2.29</v>
      </c>
      <c r="R47" s="140">
        <v>2.29</v>
      </c>
      <c r="S47" s="140">
        <v>2.29</v>
      </c>
      <c r="T47" s="140">
        <v>2.29</v>
      </c>
      <c r="U47" s="140">
        <v>2.29</v>
      </c>
      <c r="V47" s="133">
        <f t="shared" si="18"/>
        <v>45.8</v>
      </c>
      <c r="W47" s="133">
        <f t="shared" si="19"/>
        <v>45.8</v>
      </c>
      <c r="X47" s="133">
        <f t="shared" si="20"/>
        <v>57.25</v>
      </c>
      <c r="Y47" s="133">
        <f t="shared" si="21"/>
        <v>22.9</v>
      </c>
      <c r="Z47" s="133">
        <f t="shared" si="22"/>
        <v>0</v>
      </c>
      <c r="AA47" s="133">
        <f t="shared" si="32"/>
        <v>171.75</v>
      </c>
      <c r="AB47" s="157"/>
      <c r="AC47" s="166" t="s">
        <v>1007</v>
      </c>
      <c r="AD47" s="167" t="s">
        <v>0</v>
      </c>
      <c r="AE47" s="168" t="s">
        <v>11</v>
      </c>
      <c r="AF47" s="169"/>
      <c r="AG47" s="170">
        <f t="shared" si="23"/>
        <v>0</v>
      </c>
      <c r="AH47" s="170">
        <v>0</v>
      </c>
      <c r="AI47" s="170">
        <f t="shared" si="24"/>
        <v>0</v>
      </c>
      <c r="AJ47" s="170">
        <v>0</v>
      </c>
      <c r="AK47" s="171">
        <f t="shared" si="25"/>
        <v>0</v>
      </c>
      <c r="AM47" s="166" t="s">
        <v>1008</v>
      </c>
      <c r="AO47" s="158">
        <v>2.57</v>
      </c>
      <c r="BB47" s="172" t="s">
        <v>165</v>
      </c>
      <c r="BD47" s="172" t="s">
        <v>171</v>
      </c>
      <c r="BE47" s="172" t="s">
        <v>42</v>
      </c>
      <c r="BI47" s="172" t="s">
        <v>148</v>
      </c>
      <c r="BO47" s="173">
        <f t="shared" si="26"/>
        <v>0</v>
      </c>
      <c r="BP47" s="173">
        <f t="shared" si="27"/>
        <v>45.8</v>
      </c>
      <c r="BQ47" s="173">
        <f t="shared" si="28"/>
        <v>0</v>
      </c>
      <c r="BR47" s="173">
        <f t="shared" si="29"/>
        <v>0</v>
      </c>
      <c r="BS47" s="173">
        <f t="shared" si="30"/>
        <v>0</v>
      </c>
      <c r="BT47" s="172" t="s">
        <v>42</v>
      </c>
      <c r="BU47" s="174">
        <f t="shared" si="31"/>
        <v>45.8</v>
      </c>
      <c r="BV47" s="172" t="s">
        <v>153</v>
      </c>
      <c r="BW47" s="172" t="s">
        <v>617</v>
      </c>
    </row>
    <row r="48" spans="2:75" s="158" customFormat="1" ht="22.5" customHeight="1">
      <c r="B48" s="156"/>
      <c r="C48" s="102" t="s">
        <v>1</v>
      </c>
      <c r="D48" s="102" t="s">
        <v>171</v>
      </c>
      <c r="E48" s="103" t="s">
        <v>618</v>
      </c>
      <c r="F48" s="499" t="s">
        <v>619</v>
      </c>
      <c r="G48" s="499"/>
      <c r="H48" s="499"/>
      <c r="I48" s="499"/>
      <c r="J48" s="104" t="s">
        <v>184</v>
      </c>
      <c r="K48" s="133">
        <v>36</v>
      </c>
      <c r="L48" s="133">
        <v>36</v>
      </c>
      <c r="M48" s="133">
        <v>36</v>
      </c>
      <c r="N48" s="133">
        <v>33</v>
      </c>
      <c r="O48" s="133">
        <v>0</v>
      </c>
      <c r="P48" s="177">
        <f t="shared" si="17"/>
        <v>141</v>
      </c>
      <c r="Q48" s="140">
        <v>0.49</v>
      </c>
      <c r="R48" s="140">
        <v>0.49</v>
      </c>
      <c r="S48" s="140">
        <v>0.49</v>
      </c>
      <c r="T48" s="140">
        <v>0.49</v>
      </c>
      <c r="U48" s="140">
        <v>0.49</v>
      </c>
      <c r="V48" s="133">
        <f t="shared" si="18"/>
        <v>17.64</v>
      </c>
      <c r="W48" s="133">
        <f t="shared" si="19"/>
        <v>17.64</v>
      </c>
      <c r="X48" s="133">
        <f t="shared" si="20"/>
        <v>17.64</v>
      </c>
      <c r="Y48" s="133">
        <f t="shared" si="21"/>
        <v>16.170000000000002</v>
      </c>
      <c r="Z48" s="133">
        <f t="shared" si="22"/>
        <v>0</v>
      </c>
      <c r="AA48" s="133">
        <f t="shared" si="32"/>
        <v>69.09</v>
      </c>
      <c r="AB48" s="157"/>
      <c r="AC48" s="166" t="s">
        <v>1007</v>
      </c>
      <c r="AD48" s="167" t="s">
        <v>0</v>
      </c>
      <c r="AE48" s="168" t="s">
        <v>11</v>
      </c>
      <c r="AF48" s="169"/>
      <c r="AG48" s="170">
        <f t="shared" si="23"/>
        <v>0</v>
      </c>
      <c r="AH48" s="170">
        <v>0</v>
      </c>
      <c r="AI48" s="170">
        <f t="shared" si="24"/>
        <v>0</v>
      </c>
      <c r="AJ48" s="170">
        <v>0</v>
      </c>
      <c r="AK48" s="171">
        <f t="shared" si="25"/>
        <v>0</v>
      </c>
      <c r="AM48" s="166" t="s">
        <v>1008</v>
      </c>
      <c r="AO48" s="158">
        <v>0.55000000000000004</v>
      </c>
      <c r="BB48" s="172" t="s">
        <v>165</v>
      </c>
      <c r="BD48" s="172" t="s">
        <v>171</v>
      </c>
      <c r="BE48" s="172" t="s">
        <v>42</v>
      </c>
      <c r="BI48" s="172" t="s">
        <v>148</v>
      </c>
      <c r="BO48" s="173">
        <f t="shared" si="26"/>
        <v>0</v>
      </c>
      <c r="BP48" s="173">
        <f t="shared" si="27"/>
        <v>17.64</v>
      </c>
      <c r="BQ48" s="173">
        <f t="shared" si="28"/>
        <v>0</v>
      </c>
      <c r="BR48" s="173">
        <f t="shared" si="29"/>
        <v>0</v>
      </c>
      <c r="BS48" s="173">
        <f t="shared" si="30"/>
        <v>0</v>
      </c>
      <c r="BT48" s="172" t="s">
        <v>42</v>
      </c>
      <c r="BU48" s="174">
        <f t="shared" si="31"/>
        <v>17.64</v>
      </c>
      <c r="BV48" s="172" t="s">
        <v>153</v>
      </c>
      <c r="BW48" s="172" t="s">
        <v>620</v>
      </c>
    </row>
    <row r="49" spans="2:75" s="158" customFormat="1" ht="22.5" customHeight="1">
      <c r="B49" s="156"/>
      <c r="C49" s="102" t="s">
        <v>205</v>
      </c>
      <c r="D49" s="102" t="s">
        <v>171</v>
      </c>
      <c r="E49" s="103" t="s">
        <v>621</v>
      </c>
      <c r="F49" s="499" t="s">
        <v>622</v>
      </c>
      <c r="G49" s="499"/>
      <c r="H49" s="499"/>
      <c r="I49" s="499"/>
      <c r="J49" s="104" t="s">
        <v>184</v>
      </c>
      <c r="K49" s="133">
        <v>2</v>
      </c>
      <c r="L49" s="133">
        <v>2</v>
      </c>
      <c r="M49" s="133">
        <v>2</v>
      </c>
      <c r="N49" s="133">
        <v>1</v>
      </c>
      <c r="O49" s="133">
        <v>0</v>
      </c>
      <c r="P49" s="177">
        <f t="shared" si="17"/>
        <v>7</v>
      </c>
      <c r="Q49" s="140">
        <v>1.08</v>
      </c>
      <c r="R49" s="140">
        <v>1.08</v>
      </c>
      <c r="S49" s="140">
        <v>1.08</v>
      </c>
      <c r="T49" s="140">
        <v>1.08</v>
      </c>
      <c r="U49" s="140">
        <v>1.08</v>
      </c>
      <c r="V49" s="133">
        <f t="shared" si="18"/>
        <v>2.16</v>
      </c>
      <c r="W49" s="133">
        <f t="shared" si="19"/>
        <v>2.16</v>
      </c>
      <c r="X49" s="133">
        <f t="shared" si="20"/>
        <v>2.16</v>
      </c>
      <c r="Y49" s="133">
        <f t="shared" si="21"/>
        <v>1.08</v>
      </c>
      <c r="Z49" s="133">
        <f t="shared" si="22"/>
        <v>0</v>
      </c>
      <c r="AA49" s="133">
        <f t="shared" si="32"/>
        <v>7.5600000000000005</v>
      </c>
      <c r="AB49" s="157"/>
      <c r="AC49" s="166" t="s">
        <v>1007</v>
      </c>
      <c r="AD49" s="167" t="s">
        <v>0</v>
      </c>
      <c r="AE49" s="168" t="s">
        <v>11</v>
      </c>
      <c r="AF49" s="169"/>
      <c r="AG49" s="170">
        <f t="shared" si="23"/>
        <v>0</v>
      </c>
      <c r="AH49" s="170">
        <v>0</v>
      </c>
      <c r="AI49" s="170">
        <f t="shared" si="24"/>
        <v>0</v>
      </c>
      <c r="AJ49" s="170">
        <v>0</v>
      </c>
      <c r="AK49" s="171">
        <f t="shared" si="25"/>
        <v>0</v>
      </c>
      <c r="AM49" s="166" t="s">
        <v>1008</v>
      </c>
      <c r="AO49" s="158">
        <v>1.21</v>
      </c>
      <c r="BB49" s="172" t="s">
        <v>165</v>
      </c>
      <c r="BD49" s="172" t="s">
        <v>171</v>
      </c>
      <c r="BE49" s="172" t="s">
        <v>42</v>
      </c>
      <c r="BI49" s="172" t="s">
        <v>148</v>
      </c>
      <c r="BO49" s="173">
        <f t="shared" si="26"/>
        <v>0</v>
      </c>
      <c r="BP49" s="173">
        <f t="shared" si="27"/>
        <v>2.16</v>
      </c>
      <c r="BQ49" s="173">
        <f t="shared" si="28"/>
        <v>0</v>
      </c>
      <c r="BR49" s="173">
        <f t="shared" si="29"/>
        <v>0</v>
      </c>
      <c r="BS49" s="173">
        <f t="shared" si="30"/>
        <v>0</v>
      </c>
      <c r="BT49" s="172" t="s">
        <v>42</v>
      </c>
      <c r="BU49" s="174">
        <f t="shared" si="31"/>
        <v>2.16</v>
      </c>
      <c r="BV49" s="172" t="s">
        <v>153</v>
      </c>
      <c r="BW49" s="172" t="s">
        <v>623</v>
      </c>
    </row>
    <row r="50" spans="2:75" s="1" customFormat="1" ht="22.5" customHeight="1">
      <c r="B50" s="73"/>
      <c r="C50" s="93" t="s">
        <v>208</v>
      </c>
      <c r="D50" s="93" t="s">
        <v>149</v>
      </c>
      <c r="E50" s="94" t="s">
        <v>624</v>
      </c>
      <c r="F50" s="498" t="s">
        <v>625</v>
      </c>
      <c r="G50" s="498"/>
      <c r="H50" s="498"/>
      <c r="I50" s="498"/>
      <c r="J50" s="95" t="s">
        <v>184</v>
      </c>
      <c r="K50" s="96">
        <v>2</v>
      </c>
      <c r="L50" s="128">
        <v>2</v>
      </c>
      <c r="M50" s="128">
        <v>2</v>
      </c>
      <c r="N50" s="128">
        <v>2</v>
      </c>
      <c r="O50" s="128">
        <v>0</v>
      </c>
      <c r="P50" s="165">
        <f t="shared" si="17"/>
        <v>8</v>
      </c>
      <c r="Q50" s="127">
        <v>16.75</v>
      </c>
      <c r="R50" s="127">
        <v>16.75</v>
      </c>
      <c r="S50" s="127">
        <v>16.75</v>
      </c>
      <c r="T50" s="127">
        <v>16.75</v>
      </c>
      <c r="U50" s="127">
        <v>16.75</v>
      </c>
      <c r="V50" s="128">
        <f t="shared" si="18"/>
        <v>33.5</v>
      </c>
      <c r="W50" s="128">
        <f t="shared" si="19"/>
        <v>33.5</v>
      </c>
      <c r="X50" s="128">
        <f t="shared" si="20"/>
        <v>33.5</v>
      </c>
      <c r="Y50" s="128">
        <f t="shared" si="21"/>
        <v>33.5</v>
      </c>
      <c r="Z50" s="128">
        <f t="shared" si="22"/>
        <v>0</v>
      </c>
      <c r="AA50" s="128">
        <f t="shared" si="32"/>
        <v>134</v>
      </c>
      <c r="AB50" s="74"/>
      <c r="AC50" s="113"/>
      <c r="AD50" s="98" t="s">
        <v>0</v>
      </c>
      <c r="AE50" s="18" t="s">
        <v>11</v>
      </c>
      <c r="AF50" s="16"/>
      <c r="AG50" s="99">
        <f t="shared" si="23"/>
        <v>0</v>
      </c>
      <c r="AH50" s="99">
        <v>0</v>
      </c>
      <c r="AI50" s="99">
        <f t="shared" si="24"/>
        <v>0</v>
      </c>
      <c r="AJ50" s="99">
        <v>0</v>
      </c>
      <c r="AK50" s="100">
        <f t="shared" si="25"/>
        <v>0</v>
      </c>
      <c r="AM50" s="113"/>
      <c r="AO50" s="1">
        <v>18.75</v>
      </c>
      <c r="BB50" s="9" t="s">
        <v>153</v>
      </c>
      <c r="BD50" s="9" t="s">
        <v>149</v>
      </c>
      <c r="BE50" s="9" t="s">
        <v>42</v>
      </c>
      <c r="BI50" s="9" t="s">
        <v>148</v>
      </c>
      <c r="BO50" s="72">
        <f t="shared" si="26"/>
        <v>0</v>
      </c>
      <c r="BP50" s="72">
        <f t="shared" si="27"/>
        <v>33.5</v>
      </c>
      <c r="BQ50" s="72">
        <f t="shared" si="28"/>
        <v>0</v>
      </c>
      <c r="BR50" s="72">
        <f t="shared" si="29"/>
        <v>0</v>
      </c>
      <c r="BS50" s="72">
        <f t="shared" si="30"/>
        <v>0</v>
      </c>
      <c r="BT50" s="9" t="s">
        <v>42</v>
      </c>
      <c r="BU50" s="101">
        <f t="shared" si="31"/>
        <v>33.5</v>
      </c>
      <c r="BV50" s="9" t="s">
        <v>153</v>
      </c>
      <c r="BW50" s="9" t="s">
        <v>626</v>
      </c>
    </row>
    <row r="51" spans="2:75" s="158" customFormat="1" ht="44.25" customHeight="1">
      <c r="B51" s="156"/>
      <c r="C51" s="102" t="s">
        <v>211</v>
      </c>
      <c r="D51" s="102" t="s">
        <v>171</v>
      </c>
      <c r="E51" s="103" t="s">
        <v>627</v>
      </c>
      <c r="F51" s="499" t="s">
        <v>628</v>
      </c>
      <c r="G51" s="499"/>
      <c r="H51" s="499"/>
      <c r="I51" s="499"/>
      <c r="J51" s="104" t="s">
        <v>184</v>
      </c>
      <c r="K51" s="133">
        <v>2</v>
      </c>
      <c r="L51" s="133">
        <v>2</v>
      </c>
      <c r="M51" s="133">
        <v>2</v>
      </c>
      <c r="N51" s="133">
        <v>2</v>
      </c>
      <c r="O51" s="133">
        <v>0</v>
      </c>
      <c r="P51" s="177">
        <f t="shared" si="17"/>
        <v>8</v>
      </c>
      <c r="Q51" s="140">
        <v>503.81</v>
      </c>
      <c r="R51" s="140">
        <v>503.81</v>
      </c>
      <c r="S51" s="140">
        <v>503.81</v>
      </c>
      <c r="T51" s="140">
        <v>503.81</v>
      </c>
      <c r="U51" s="140">
        <v>503.81</v>
      </c>
      <c r="V51" s="133">
        <f t="shared" si="18"/>
        <v>1007.62</v>
      </c>
      <c r="W51" s="133">
        <f t="shared" si="19"/>
        <v>1007.62</v>
      </c>
      <c r="X51" s="133">
        <f t="shared" si="20"/>
        <v>1007.62</v>
      </c>
      <c r="Y51" s="133">
        <f t="shared" si="21"/>
        <v>1007.62</v>
      </c>
      <c r="Z51" s="133">
        <f t="shared" si="22"/>
        <v>0</v>
      </c>
      <c r="AA51" s="133">
        <f t="shared" si="32"/>
        <v>4030.48</v>
      </c>
      <c r="AB51" s="157"/>
      <c r="AC51" s="166" t="s">
        <v>1009</v>
      </c>
      <c r="AD51" s="167" t="s">
        <v>0</v>
      </c>
      <c r="AE51" s="168" t="s">
        <v>11</v>
      </c>
      <c r="AF51" s="169"/>
      <c r="AG51" s="170">
        <f t="shared" si="23"/>
        <v>0</v>
      </c>
      <c r="AH51" s="170">
        <v>0</v>
      </c>
      <c r="AI51" s="170">
        <f t="shared" si="24"/>
        <v>0</v>
      </c>
      <c r="AJ51" s="170">
        <v>0</v>
      </c>
      <c r="AK51" s="171">
        <f t="shared" si="25"/>
        <v>0</v>
      </c>
      <c r="AM51" s="166" t="s">
        <v>1010</v>
      </c>
      <c r="AO51" s="158">
        <v>564.04999999999995</v>
      </c>
      <c r="BB51" s="172" t="s">
        <v>165</v>
      </c>
      <c r="BD51" s="172" t="s">
        <v>171</v>
      </c>
      <c r="BE51" s="172" t="s">
        <v>42</v>
      </c>
      <c r="BI51" s="172" t="s">
        <v>148</v>
      </c>
      <c r="BO51" s="173">
        <f t="shared" si="26"/>
        <v>0</v>
      </c>
      <c r="BP51" s="173">
        <f t="shared" si="27"/>
        <v>1007.62</v>
      </c>
      <c r="BQ51" s="173">
        <f t="shared" si="28"/>
        <v>0</v>
      </c>
      <c r="BR51" s="173">
        <f t="shared" si="29"/>
        <v>0</v>
      </c>
      <c r="BS51" s="173">
        <f t="shared" si="30"/>
        <v>0</v>
      </c>
      <c r="BT51" s="172" t="s">
        <v>42</v>
      </c>
      <c r="BU51" s="174">
        <f t="shared" si="31"/>
        <v>1007.62</v>
      </c>
      <c r="BV51" s="172" t="s">
        <v>153</v>
      </c>
      <c r="BW51" s="172" t="s">
        <v>629</v>
      </c>
    </row>
    <row r="52" spans="2:75" s="1" customFormat="1" ht="22.5" customHeight="1">
      <c r="B52" s="73"/>
      <c r="C52" s="93" t="s">
        <v>214</v>
      </c>
      <c r="D52" s="93" t="s">
        <v>149</v>
      </c>
      <c r="E52" s="94" t="s">
        <v>630</v>
      </c>
      <c r="F52" s="498" t="s">
        <v>631</v>
      </c>
      <c r="G52" s="498"/>
      <c r="H52" s="498"/>
      <c r="I52" s="498"/>
      <c r="J52" s="95" t="s">
        <v>184</v>
      </c>
      <c r="K52" s="96">
        <v>24</v>
      </c>
      <c r="L52" s="128">
        <v>24</v>
      </c>
      <c r="M52" s="128">
        <v>20</v>
      </c>
      <c r="N52" s="128">
        <v>5</v>
      </c>
      <c r="O52" s="128">
        <v>0</v>
      </c>
      <c r="P52" s="165">
        <f t="shared" si="17"/>
        <v>73</v>
      </c>
      <c r="Q52" s="127">
        <v>11.16</v>
      </c>
      <c r="R52" s="127">
        <v>11.16</v>
      </c>
      <c r="S52" s="127">
        <v>11.16</v>
      </c>
      <c r="T52" s="127">
        <v>11.16</v>
      </c>
      <c r="U52" s="127">
        <v>11.16</v>
      </c>
      <c r="V52" s="128">
        <f t="shared" si="18"/>
        <v>267.83999999999997</v>
      </c>
      <c r="W52" s="128">
        <f t="shared" si="19"/>
        <v>267.83999999999997</v>
      </c>
      <c r="X52" s="128">
        <f t="shared" si="20"/>
        <v>223.2</v>
      </c>
      <c r="Y52" s="128">
        <f t="shared" si="21"/>
        <v>55.8</v>
      </c>
      <c r="Z52" s="128">
        <f t="shared" si="22"/>
        <v>0</v>
      </c>
      <c r="AA52" s="128">
        <f t="shared" si="32"/>
        <v>814.67999999999984</v>
      </c>
      <c r="AB52" s="74"/>
      <c r="AC52" s="113"/>
      <c r="AD52" s="98" t="s">
        <v>0</v>
      </c>
      <c r="AE52" s="18" t="s">
        <v>11</v>
      </c>
      <c r="AF52" s="16"/>
      <c r="AG52" s="99">
        <f t="shared" si="23"/>
        <v>0</v>
      </c>
      <c r="AH52" s="99">
        <v>0</v>
      </c>
      <c r="AI52" s="99">
        <f t="shared" si="24"/>
        <v>0</v>
      </c>
      <c r="AJ52" s="99">
        <v>0</v>
      </c>
      <c r="AK52" s="100">
        <f t="shared" si="25"/>
        <v>0</v>
      </c>
      <c r="AM52" s="113"/>
      <c r="AO52" s="1">
        <v>12.5</v>
      </c>
      <c r="BB52" s="9" t="s">
        <v>153</v>
      </c>
      <c r="BD52" s="9" t="s">
        <v>149</v>
      </c>
      <c r="BE52" s="9" t="s">
        <v>42</v>
      </c>
      <c r="BI52" s="9" t="s">
        <v>148</v>
      </c>
      <c r="BO52" s="72">
        <f t="shared" si="26"/>
        <v>0</v>
      </c>
      <c r="BP52" s="72">
        <f t="shared" si="27"/>
        <v>267.83999999999997</v>
      </c>
      <c r="BQ52" s="72">
        <f t="shared" si="28"/>
        <v>0</v>
      </c>
      <c r="BR52" s="72">
        <f t="shared" si="29"/>
        <v>0</v>
      </c>
      <c r="BS52" s="72">
        <f t="shared" si="30"/>
        <v>0</v>
      </c>
      <c r="BT52" s="9" t="s">
        <v>42</v>
      </c>
      <c r="BU52" s="101">
        <f t="shared" si="31"/>
        <v>267.83999999999997</v>
      </c>
      <c r="BV52" s="9" t="s">
        <v>153</v>
      </c>
      <c r="BW52" s="9" t="s">
        <v>632</v>
      </c>
    </row>
    <row r="53" spans="2:75" s="1" customFormat="1" ht="31.5" customHeight="1">
      <c r="B53" s="73"/>
      <c r="C53" s="93" t="s">
        <v>217</v>
      </c>
      <c r="D53" s="93" t="s">
        <v>149</v>
      </c>
      <c r="E53" s="94" t="s">
        <v>633</v>
      </c>
      <c r="F53" s="498" t="s">
        <v>634</v>
      </c>
      <c r="G53" s="498"/>
      <c r="H53" s="498"/>
      <c r="I53" s="498"/>
      <c r="J53" s="95" t="s">
        <v>184</v>
      </c>
      <c r="K53" s="96">
        <v>20</v>
      </c>
      <c r="L53" s="128">
        <v>20</v>
      </c>
      <c r="M53" s="128">
        <v>14</v>
      </c>
      <c r="N53" s="128">
        <v>45</v>
      </c>
      <c r="O53" s="128">
        <v>17</v>
      </c>
      <c r="P53" s="165">
        <f t="shared" si="17"/>
        <v>116</v>
      </c>
      <c r="Q53" s="127">
        <v>11.16</v>
      </c>
      <c r="R53" s="127">
        <v>11.16</v>
      </c>
      <c r="S53" s="127">
        <v>11.16</v>
      </c>
      <c r="T53" s="127">
        <v>11.16</v>
      </c>
      <c r="U53" s="127">
        <v>11.16</v>
      </c>
      <c r="V53" s="128">
        <f t="shared" si="18"/>
        <v>223.2</v>
      </c>
      <c r="W53" s="128">
        <f t="shared" si="19"/>
        <v>223.2</v>
      </c>
      <c r="X53" s="128">
        <f t="shared" si="20"/>
        <v>156.24</v>
      </c>
      <c r="Y53" s="128">
        <f t="shared" si="21"/>
        <v>502.2</v>
      </c>
      <c r="Z53" s="128">
        <f t="shared" si="22"/>
        <v>189.72</v>
      </c>
      <c r="AA53" s="128">
        <f t="shared" si="32"/>
        <v>1294.56</v>
      </c>
      <c r="AB53" s="74"/>
      <c r="AC53" s="113"/>
      <c r="AD53" s="98" t="s">
        <v>0</v>
      </c>
      <c r="AE53" s="18" t="s">
        <v>11</v>
      </c>
      <c r="AF53" s="16"/>
      <c r="AG53" s="99">
        <f t="shared" si="23"/>
        <v>0</v>
      </c>
      <c r="AH53" s="99">
        <v>0</v>
      </c>
      <c r="AI53" s="99">
        <f t="shared" si="24"/>
        <v>0</v>
      </c>
      <c r="AJ53" s="99">
        <v>0</v>
      </c>
      <c r="AK53" s="100">
        <f t="shared" si="25"/>
        <v>0</v>
      </c>
      <c r="AM53" s="113"/>
      <c r="AO53" s="1">
        <v>12.5</v>
      </c>
      <c r="BB53" s="9" t="s">
        <v>153</v>
      </c>
      <c r="BD53" s="9" t="s">
        <v>149</v>
      </c>
      <c r="BE53" s="9" t="s">
        <v>42</v>
      </c>
      <c r="BI53" s="9" t="s">
        <v>148</v>
      </c>
      <c r="BO53" s="72">
        <f t="shared" si="26"/>
        <v>0</v>
      </c>
      <c r="BP53" s="72">
        <f t="shared" si="27"/>
        <v>223.2</v>
      </c>
      <c r="BQ53" s="72">
        <f t="shared" si="28"/>
        <v>0</v>
      </c>
      <c r="BR53" s="72">
        <f t="shared" si="29"/>
        <v>0</v>
      </c>
      <c r="BS53" s="72">
        <f t="shared" si="30"/>
        <v>0</v>
      </c>
      <c r="BT53" s="9" t="s">
        <v>42</v>
      </c>
      <c r="BU53" s="101">
        <f t="shared" si="31"/>
        <v>223.2</v>
      </c>
      <c r="BV53" s="9" t="s">
        <v>153</v>
      </c>
      <c r="BW53" s="9" t="s">
        <v>635</v>
      </c>
    </row>
    <row r="54" spans="2:75" s="158" customFormat="1" ht="31.5" customHeight="1">
      <c r="B54" s="156"/>
      <c r="C54" s="102" t="s">
        <v>220</v>
      </c>
      <c r="D54" s="102" t="s">
        <v>171</v>
      </c>
      <c r="E54" s="103" t="s">
        <v>636</v>
      </c>
      <c r="F54" s="499" t="s">
        <v>637</v>
      </c>
      <c r="G54" s="499"/>
      <c r="H54" s="499"/>
      <c r="I54" s="499"/>
      <c r="J54" s="104" t="s">
        <v>184</v>
      </c>
      <c r="K54" s="133">
        <v>8</v>
      </c>
      <c r="L54" s="133">
        <v>8</v>
      </c>
      <c r="M54" s="133">
        <v>8</v>
      </c>
      <c r="N54" s="133">
        <v>12</v>
      </c>
      <c r="O54" s="133">
        <v>4</v>
      </c>
      <c r="P54" s="177">
        <f t="shared" si="17"/>
        <v>40</v>
      </c>
      <c r="Q54" s="140">
        <v>37.92</v>
      </c>
      <c r="R54" s="140">
        <v>37.92</v>
      </c>
      <c r="S54" s="140">
        <v>37.92</v>
      </c>
      <c r="T54" s="140">
        <v>37.92</v>
      </c>
      <c r="U54" s="140">
        <v>37.92</v>
      </c>
      <c r="V54" s="133">
        <f t="shared" si="18"/>
        <v>303.36</v>
      </c>
      <c r="W54" s="133">
        <f t="shared" si="19"/>
        <v>303.36</v>
      </c>
      <c r="X54" s="133">
        <f t="shared" si="20"/>
        <v>303.36</v>
      </c>
      <c r="Y54" s="133">
        <f t="shared" si="21"/>
        <v>455.04</v>
      </c>
      <c r="Z54" s="133">
        <f t="shared" si="22"/>
        <v>151.68</v>
      </c>
      <c r="AA54" s="133">
        <f t="shared" si="32"/>
        <v>1516.8000000000002</v>
      </c>
      <c r="AB54" s="157"/>
      <c r="AC54" s="166" t="s">
        <v>1011</v>
      </c>
      <c r="AD54" s="167" t="s">
        <v>0</v>
      </c>
      <c r="AE54" s="168" t="s">
        <v>11</v>
      </c>
      <c r="AF54" s="169"/>
      <c r="AG54" s="170">
        <f t="shared" si="23"/>
        <v>0</v>
      </c>
      <c r="AH54" s="170">
        <v>0</v>
      </c>
      <c r="AI54" s="170">
        <f t="shared" si="24"/>
        <v>0</v>
      </c>
      <c r="AJ54" s="170">
        <v>0</v>
      </c>
      <c r="AK54" s="171">
        <f t="shared" si="25"/>
        <v>0</v>
      </c>
      <c r="AM54" s="166" t="s">
        <v>1012</v>
      </c>
      <c r="AO54" s="158">
        <v>42.45</v>
      </c>
      <c r="BB54" s="172" t="s">
        <v>165</v>
      </c>
      <c r="BD54" s="172" t="s">
        <v>171</v>
      </c>
      <c r="BE54" s="172" t="s">
        <v>42</v>
      </c>
      <c r="BI54" s="172" t="s">
        <v>148</v>
      </c>
      <c r="BO54" s="173">
        <f t="shared" si="26"/>
        <v>0</v>
      </c>
      <c r="BP54" s="173">
        <f t="shared" si="27"/>
        <v>303.36</v>
      </c>
      <c r="BQ54" s="173">
        <f t="shared" si="28"/>
        <v>0</v>
      </c>
      <c r="BR54" s="173">
        <f t="shared" si="29"/>
        <v>0</v>
      </c>
      <c r="BS54" s="173">
        <f t="shared" si="30"/>
        <v>0</v>
      </c>
      <c r="BT54" s="172" t="s">
        <v>42</v>
      </c>
      <c r="BU54" s="174">
        <f t="shared" si="31"/>
        <v>303.36</v>
      </c>
      <c r="BV54" s="172" t="s">
        <v>153</v>
      </c>
      <c r="BW54" s="172" t="s">
        <v>638</v>
      </c>
    </row>
    <row r="55" spans="2:75" s="158" customFormat="1" ht="22.5" customHeight="1">
      <c r="B55" s="156"/>
      <c r="C55" s="102" t="s">
        <v>223</v>
      </c>
      <c r="D55" s="102" t="s">
        <v>171</v>
      </c>
      <c r="E55" s="103" t="s">
        <v>639</v>
      </c>
      <c r="F55" s="499" t="s">
        <v>640</v>
      </c>
      <c r="G55" s="499"/>
      <c r="H55" s="499"/>
      <c r="I55" s="499"/>
      <c r="J55" s="104" t="s">
        <v>184</v>
      </c>
      <c r="K55" s="133">
        <v>20</v>
      </c>
      <c r="L55" s="133">
        <v>20</v>
      </c>
      <c r="M55" s="133">
        <v>14</v>
      </c>
      <c r="N55" s="133">
        <v>45</v>
      </c>
      <c r="O55" s="133">
        <v>17</v>
      </c>
      <c r="P55" s="177">
        <f t="shared" si="17"/>
        <v>116</v>
      </c>
      <c r="Q55" s="140">
        <v>58.97</v>
      </c>
      <c r="R55" s="140">
        <v>58.97</v>
      </c>
      <c r="S55" s="140">
        <v>58.97</v>
      </c>
      <c r="T55" s="140">
        <v>58.97</v>
      </c>
      <c r="U55" s="140">
        <v>58.97</v>
      </c>
      <c r="V55" s="133">
        <f t="shared" si="18"/>
        <v>1179.4000000000001</v>
      </c>
      <c r="W55" s="133">
        <f t="shared" si="19"/>
        <v>1179.4000000000001</v>
      </c>
      <c r="X55" s="133">
        <f t="shared" si="20"/>
        <v>825.58</v>
      </c>
      <c r="Y55" s="133">
        <f t="shared" si="21"/>
        <v>2653.65</v>
      </c>
      <c r="Z55" s="133">
        <f t="shared" si="22"/>
        <v>1002.49</v>
      </c>
      <c r="AA55" s="133">
        <f t="shared" si="32"/>
        <v>6840.52</v>
      </c>
      <c r="AB55" s="157"/>
      <c r="AC55" s="166" t="s">
        <v>1000</v>
      </c>
      <c r="AD55" s="167" t="s">
        <v>0</v>
      </c>
      <c r="AE55" s="168" t="s">
        <v>11</v>
      </c>
      <c r="AF55" s="169"/>
      <c r="AG55" s="170">
        <f t="shared" si="23"/>
        <v>0</v>
      </c>
      <c r="AH55" s="170">
        <v>0</v>
      </c>
      <c r="AI55" s="170">
        <f t="shared" si="24"/>
        <v>0</v>
      </c>
      <c r="AJ55" s="170">
        <v>0</v>
      </c>
      <c r="AK55" s="171">
        <f t="shared" si="25"/>
        <v>0</v>
      </c>
      <c r="AM55" s="166" t="s">
        <v>1013</v>
      </c>
      <c r="AO55" s="158">
        <v>66.02</v>
      </c>
      <c r="BB55" s="172" t="s">
        <v>165</v>
      </c>
      <c r="BD55" s="172" t="s">
        <v>171</v>
      </c>
      <c r="BE55" s="172" t="s">
        <v>42</v>
      </c>
      <c r="BI55" s="172" t="s">
        <v>148</v>
      </c>
      <c r="BO55" s="173">
        <f t="shared" si="26"/>
        <v>0</v>
      </c>
      <c r="BP55" s="173">
        <f t="shared" si="27"/>
        <v>1179.4000000000001</v>
      </c>
      <c r="BQ55" s="173">
        <f t="shared" si="28"/>
        <v>0</v>
      </c>
      <c r="BR55" s="173">
        <f t="shared" si="29"/>
        <v>0</v>
      </c>
      <c r="BS55" s="173">
        <f t="shared" si="30"/>
        <v>0</v>
      </c>
      <c r="BT55" s="172" t="s">
        <v>42</v>
      </c>
      <c r="BU55" s="174">
        <f t="shared" si="31"/>
        <v>1179.4000000000001</v>
      </c>
      <c r="BV55" s="172" t="s">
        <v>153</v>
      </c>
      <c r="BW55" s="172" t="s">
        <v>641</v>
      </c>
    </row>
    <row r="56" spans="2:75" s="1" customFormat="1" ht="22.5" customHeight="1">
      <c r="B56" s="73"/>
      <c r="C56" s="93" t="s">
        <v>226</v>
      </c>
      <c r="D56" s="93" t="s">
        <v>149</v>
      </c>
      <c r="E56" s="94" t="s">
        <v>642</v>
      </c>
      <c r="F56" s="498" t="s">
        <v>643</v>
      </c>
      <c r="G56" s="498"/>
      <c r="H56" s="498"/>
      <c r="I56" s="498"/>
      <c r="J56" s="95" t="s">
        <v>184</v>
      </c>
      <c r="K56" s="96">
        <v>11</v>
      </c>
      <c r="L56" s="128">
        <v>11</v>
      </c>
      <c r="M56" s="128">
        <v>16</v>
      </c>
      <c r="N56" s="128">
        <v>16</v>
      </c>
      <c r="O56" s="128">
        <v>0</v>
      </c>
      <c r="P56" s="165">
        <f t="shared" si="17"/>
        <v>54</v>
      </c>
      <c r="Q56" s="127">
        <v>11.16</v>
      </c>
      <c r="R56" s="127">
        <v>11.16</v>
      </c>
      <c r="S56" s="127">
        <v>11.16</v>
      </c>
      <c r="T56" s="127">
        <v>11.16</v>
      </c>
      <c r="U56" s="127">
        <v>11.16</v>
      </c>
      <c r="V56" s="128">
        <f t="shared" si="18"/>
        <v>122.76</v>
      </c>
      <c r="W56" s="128">
        <f t="shared" si="19"/>
        <v>122.76</v>
      </c>
      <c r="X56" s="128">
        <f t="shared" si="20"/>
        <v>178.56</v>
      </c>
      <c r="Y56" s="128">
        <f t="shared" si="21"/>
        <v>178.56</v>
      </c>
      <c r="Z56" s="128">
        <f t="shared" si="22"/>
        <v>0</v>
      </c>
      <c r="AA56" s="128">
        <f t="shared" si="32"/>
        <v>602.6400000000001</v>
      </c>
      <c r="AB56" s="74"/>
      <c r="AC56" s="113"/>
      <c r="AD56" s="98" t="s">
        <v>0</v>
      </c>
      <c r="AE56" s="18" t="s">
        <v>11</v>
      </c>
      <c r="AF56" s="16"/>
      <c r="AG56" s="99">
        <f t="shared" si="23"/>
        <v>0</v>
      </c>
      <c r="AH56" s="99">
        <v>0</v>
      </c>
      <c r="AI56" s="99">
        <f t="shared" si="24"/>
        <v>0</v>
      </c>
      <c r="AJ56" s="99">
        <v>0</v>
      </c>
      <c r="AK56" s="100">
        <f t="shared" si="25"/>
        <v>0</v>
      </c>
      <c r="AM56" s="113"/>
      <c r="AO56" s="1">
        <v>12.5</v>
      </c>
      <c r="BB56" s="9" t="s">
        <v>153</v>
      </c>
      <c r="BD56" s="9" t="s">
        <v>149</v>
      </c>
      <c r="BE56" s="9" t="s">
        <v>42</v>
      </c>
      <c r="BI56" s="9" t="s">
        <v>148</v>
      </c>
      <c r="BO56" s="72">
        <f t="shared" si="26"/>
        <v>0</v>
      </c>
      <c r="BP56" s="72">
        <f t="shared" si="27"/>
        <v>122.76</v>
      </c>
      <c r="BQ56" s="72">
        <f t="shared" si="28"/>
        <v>0</v>
      </c>
      <c r="BR56" s="72">
        <f t="shared" si="29"/>
        <v>0</v>
      </c>
      <c r="BS56" s="72">
        <f t="shared" si="30"/>
        <v>0</v>
      </c>
      <c r="BT56" s="9" t="s">
        <v>42</v>
      </c>
      <c r="BU56" s="101">
        <f t="shared" si="31"/>
        <v>122.76</v>
      </c>
      <c r="BV56" s="9" t="s">
        <v>153</v>
      </c>
      <c r="BW56" s="9" t="s">
        <v>644</v>
      </c>
    </row>
    <row r="57" spans="2:75" s="158" customFormat="1" ht="31.5" customHeight="1">
      <c r="B57" s="156"/>
      <c r="C57" s="102" t="s">
        <v>229</v>
      </c>
      <c r="D57" s="102" t="s">
        <v>171</v>
      </c>
      <c r="E57" s="103" t="s">
        <v>645</v>
      </c>
      <c r="F57" s="499" t="s">
        <v>646</v>
      </c>
      <c r="G57" s="499"/>
      <c r="H57" s="499"/>
      <c r="I57" s="499"/>
      <c r="J57" s="104" t="s">
        <v>184</v>
      </c>
      <c r="K57" s="133">
        <v>11</v>
      </c>
      <c r="L57" s="133">
        <v>11</v>
      </c>
      <c r="M57" s="133">
        <v>16</v>
      </c>
      <c r="N57" s="133">
        <v>16</v>
      </c>
      <c r="O57" s="133">
        <v>0</v>
      </c>
      <c r="P57" s="177">
        <f t="shared" si="17"/>
        <v>54</v>
      </c>
      <c r="Q57" s="140">
        <v>41.87</v>
      </c>
      <c r="R57" s="140">
        <v>41.87</v>
      </c>
      <c r="S57" s="140">
        <v>41.87</v>
      </c>
      <c r="T57" s="140">
        <v>41.87</v>
      </c>
      <c r="U57" s="140">
        <v>41.87</v>
      </c>
      <c r="V57" s="133">
        <f t="shared" si="18"/>
        <v>460.57</v>
      </c>
      <c r="W57" s="133">
        <f t="shared" si="19"/>
        <v>460.57</v>
      </c>
      <c r="X57" s="133">
        <f t="shared" si="20"/>
        <v>669.92</v>
      </c>
      <c r="Y57" s="133">
        <f t="shared" si="21"/>
        <v>669.92</v>
      </c>
      <c r="Z57" s="133">
        <f t="shared" si="22"/>
        <v>0</v>
      </c>
      <c r="AA57" s="133">
        <f t="shared" si="32"/>
        <v>2260.98</v>
      </c>
      <c r="AB57" s="157"/>
      <c r="AC57" s="166" t="s">
        <v>1000</v>
      </c>
      <c r="AD57" s="167" t="s">
        <v>0</v>
      </c>
      <c r="AE57" s="168" t="s">
        <v>11</v>
      </c>
      <c r="AF57" s="169"/>
      <c r="AG57" s="170">
        <f t="shared" si="23"/>
        <v>0</v>
      </c>
      <c r="AH57" s="170">
        <v>0</v>
      </c>
      <c r="AI57" s="170">
        <f t="shared" si="24"/>
        <v>0</v>
      </c>
      <c r="AJ57" s="170">
        <v>0</v>
      </c>
      <c r="AK57" s="171">
        <f t="shared" si="25"/>
        <v>0</v>
      </c>
      <c r="AM57" s="166" t="s">
        <v>1014</v>
      </c>
      <c r="AO57" s="158">
        <v>46.87</v>
      </c>
      <c r="BB57" s="172" t="s">
        <v>165</v>
      </c>
      <c r="BD57" s="172" t="s">
        <v>171</v>
      </c>
      <c r="BE57" s="172" t="s">
        <v>42</v>
      </c>
      <c r="BI57" s="172" t="s">
        <v>148</v>
      </c>
      <c r="BO57" s="173">
        <f t="shared" si="26"/>
        <v>0</v>
      </c>
      <c r="BP57" s="173">
        <f t="shared" si="27"/>
        <v>460.57</v>
      </c>
      <c r="BQ57" s="173">
        <f t="shared" si="28"/>
        <v>0</v>
      </c>
      <c r="BR57" s="173">
        <f t="shared" si="29"/>
        <v>0</v>
      </c>
      <c r="BS57" s="173">
        <f t="shared" si="30"/>
        <v>0</v>
      </c>
      <c r="BT57" s="172" t="s">
        <v>42</v>
      </c>
      <c r="BU57" s="174">
        <f t="shared" si="31"/>
        <v>460.57</v>
      </c>
      <c r="BV57" s="172" t="s">
        <v>153</v>
      </c>
      <c r="BW57" s="172" t="s">
        <v>647</v>
      </c>
    </row>
    <row r="58" spans="2:75" s="1" customFormat="1" ht="22.5" customHeight="1">
      <c r="B58" s="73"/>
      <c r="C58" s="93" t="s">
        <v>232</v>
      </c>
      <c r="D58" s="93" t="s">
        <v>149</v>
      </c>
      <c r="E58" s="94" t="s">
        <v>648</v>
      </c>
      <c r="F58" s="498" t="s">
        <v>649</v>
      </c>
      <c r="G58" s="498"/>
      <c r="H58" s="498"/>
      <c r="I58" s="498"/>
      <c r="J58" s="95" t="s">
        <v>184</v>
      </c>
      <c r="K58" s="96">
        <v>33</v>
      </c>
      <c r="L58" s="128">
        <v>33</v>
      </c>
      <c r="M58" s="128">
        <v>33</v>
      </c>
      <c r="N58" s="128">
        <v>58</v>
      </c>
      <c r="O58" s="128">
        <v>0</v>
      </c>
      <c r="P58" s="165">
        <f t="shared" si="17"/>
        <v>157</v>
      </c>
      <c r="Q58" s="127">
        <v>11.16</v>
      </c>
      <c r="R58" s="127">
        <v>11.16</v>
      </c>
      <c r="S58" s="127">
        <v>11.16</v>
      </c>
      <c r="T58" s="127">
        <v>11.16</v>
      </c>
      <c r="U58" s="127">
        <v>11.16</v>
      </c>
      <c r="V58" s="128">
        <f t="shared" si="18"/>
        <v>368.28</v>
      </c>
      <c r="W58" s="128">
        <f t="shared" si="19"/>
        <v>368.28</v>
      </c>
      <c r="X58" s="128">
        <f t="shared" si="20"/>
        <v>368.28</v>
      </c>
      <c r="Y58" s="128">
        <f t="shared" si="21"/>
        <v>647.28</v>
      </c>
      <c r="Z58" s="128">
        <f t="shared" si="22"/>
        <v>0</v>
      </c>
      <c r="AA58" s="128">
        <f t="shared" si="32"/>
        <v>1752.12</v>
      </c>
      <c r="AB58" s="74"/>
      <c r="AC58" s="113"/>
      <c r="AD58" s="98" t="s">
        <v>0</v>
      </c>
      <c r="AE58" s="18" t="s">
        <v>11</v>
      </c>
      <c r="AF58" s="16"/>
      <c r="AG58" s="99">
        <f t="shared" si="23"/>
        <v>0</v>
      </c>
      <c r="AH58" s="99">
        <v>0</v>
      </c>
      <c r="AI58" s="99">
        <f t="shared" si="24"/>
        <v>0</v>
      </c>
      <c r="AJ58" s="99">
        <v>0</v>
      </c>
      <c r="AK58" s="100">
        <f t="shared" si="25"/>
        <v>0</v>
      </c>
      <c r="AM58" s="113"/>
      <c r="AO58" s="1">
        <v>12.5</v>
      </c>
      <c r="BB58" s="9" t="s">
        <v>153</v>
      </c>
      <c r="BD58" s="9" t="s">
        <v>149</v>
      </c>
      <c r="BE58" s="9" t="s">
        <v>42</v>
      </c>
      <c r="BI58" s="9" t="s">
        <v>148</v>
      </c>
      <c r="BO58" s="72">
        <f t="shared" si="26"/>
        <v>0</v>
      </c>
      <c r="BP58" s="72">
        <f t="shared" si="27"/>
        <v>368.28</v>
      </c>
      <c r="BQ58" s="72">
        <f t="shared" si="28"/>
        <v>0</v>
      </c>
      <c r="BR58" s="72">
        <f t="shared" si="29"/>
        <v>0</v>
      </c>
      <c r="BS58" s="72">
        <f t="shared" si="30"/>
        <v>0</v>
      </c>
      <c r="BT58" s="9" t="s">
        <v>42</v>
      </c>
      <c r="BU58" s="101">
        <f t="shared" si="31"/>
        <v>368.28</v>
      </c>
      <c r="BV58" s="9" t="s">
        <v>153</v>
      </c>
      <c r="BW58" s="9" t="s">
        <v>650</v>
      </c>
    </row>
    <row r="59" spans="2:75" s="158" customFormat="1" ht="31.5" customHeight="1">
      <c r="B59" s="156"/>
      <c r="C59" s="102" t="s">
        <v>235</v>
      </c>
      <c r="D59" s="102" t="s">
        <v>171</v>
      </c>
      <c r="E59" s="103" t="s">
        <v>651</v>
      </c>
      <c r="F59" s="499" t="s">
        <v>652</v>
      </c>
      <c r="G59" s="499"/>
      <c r="H59" s="499"/>
      <c r="I59" s="499"/>
      <c r="J59" s="104" t="s">
        <v>184</v>
      </c>
      <c r="K59" s="133">
        <v>24</v>
      </c>
      <c r="L59" s="133">
        <v>24</v>
      </c>
      <c r="M59" s="133">
        <v>20</v>
      </c>
      <c r="N59" s="133">
        <v>5</v>
      </c>
      <c r="O59" s="133">
        <v>0</v>
      </c>
      <c r="P59" s="177">
        <f t="shared" si="17"/>
        <v>73</v>
      </c>
      <c r="Q59" s="140">
        <v>107.79</v>
      </c>
      <c r="R59" s="140">
        <v>107.79</v>
      </c>
      <c r="S59" s="140">
        <v>107.79</v>
      </c>
      <c r="T59" s="140">
        <v>107.79</v>
      </c>
      <c r="U59" s="140">
        <v>107.79</v>
      </c>
      <c r="V59" s="133">
        <f t="shared" si="18"/>
        <v>2586.96</v>
      </c>
      <c r="W59" s="133">
        <f t="shared" si="19"/>
        <v>2586.96</v>
      </c>
      <c r="X59" s="133">
        <f t="shared" si="20"/>
        <v>2155.8000000000002</v>
      </c>
      <c r="Y59" s="133">
        <f t="shared" si="21"/>
        <v>538.95000000000005</v>
      </c>
      <c r="Z59" s="133">
        <f t="shared" si="22"/>
        <v>0</v>
      </c>
      <c r="AA59" s="133">
        <f t="shared" si="32"/>
        <v>7868.67</v>
      </c>
      <c r="AB59" s="157"/>
      <c r="AC59" s="166" t="s">
        <v>1000</v>
      </c>
      <c r="AD59" s="167" t="s">
        <v>0</v>
      </c>
      <c r="AE59" s="168" t="s">
        <v>11</v>
      </c>
      <c r="AF59" s="169"/>
      <c r="AG59" s="170">
        <f t="shared" si="23"/>
        <v>0</v>
      </c>
      <c r="AH59" s="170">
        <v>0</v>
      </c>
      <c r="AI59" s="170">
        <f t="shared" si="24"/>
        <v>0</v>
      </c>
      <c r="AJ59" s="170">
        <v>0</v>
      </c>
      <c r="AK59" s="171">
        <f t="shared" si="25"/>
        <v>0</v>
      </c>
      <c r="AM59" s="166" t="s">
        <v>1015</v>
      </c>
      <c r="AO59" s="158">
        <v>120.68</v>
      </c>
      <c r="BB59" s="172" t="s">
        <v>165</v>
      </c>
      <c r="BD59" s="172" t="s">
        <v>171</v>
      </c>
      <c r="BE59" s="172" t="s">
        <v>42</v>
      </c>
      <c r="BI59" s="172" t="s">
        <v>148</v>
      </c>
      <c r="BO59" s="173">
        <f t="shared" si="26"/>
        <v>0</v>
      </c>
      <c r="BP59" s="173">
        <f t="shared" si="27"/>
        <v>2586.96</v>
      </c>
      <c r="BQ59" s="173">
        <f t="shared" si="28"/>
        <v>0</v>
      </c>
      <c r="BR59" s="173">
        <f t="shared" si="29"/>
        <v>0</v>
      </c>
      <c r="BS59" s="173">
        <f t="shared" si="30"/>
        <v>0</v>
      </c>
      <c r="BT59" s="172" t="s">
        <v>42</v>
      </c>
      <c r="BU59" s="174">
        <f t="shared" si="31"/>
        <v>2586.96</v>
      </c>
      <c r="BV59" s="172" t="s">
        <v>153</v>
      </c>
      <c r="BW59" s="172" t="s">
        <v>653</v>
      </c>
    </row>
    <row r="60" spans="2:75" s="1" customFormat="1" ht="22.5" customHeight="1">
      <c r="B60" s="73"/>
      <c r="C60" s="93" t="s">
        <v>174</v>
      </c>
      <c r="D60" s="93" t="s">
        <v>149</v>
      </c>
      <c r="E60" s="94" t="s">
        <v>654</v>
      </c>
      <c r="F60" s="498" t="s">
        <v>655</v>
      </c>
      <c r="G60" s="498"/>
      <c r="H60" s="498"/>
      <c r="I60" s="498"/>
      <c r="J60" s="95" t="s">
        <v>184</v>
      </c>
      <c r="K60" s="96">
        <v>8</v>
      </c>
      <c r="L60" s="128">
        <v>8</v>
      </c>
      <c r="M60" s="128">
        <v>8</v>
      </c>
      <c r="N60" s="128">
        <v>21.091000000000001</v>
      </c>
      <c r="O60" s="128">
        <v>4</v>
      </c>
      <c r="P60" s="165">
        <f t="shared" si="17"/>
        <v>49.091000000000001</v>
      </c>
      <c r="Q60" s="127">
        <v>11.16</v>
      </c>
      <c r="R60" s="127">
        <v>11.16</v>
      </c>
      <c r="S60" s="127">
        <v>11.16</v>
      </c>
      <c r="T60" s="127">
        <v>11.16</v>
      </c>
      <c r="U60" s="127">
        <v>11.16</v>
      </c>
      <c r="V60" s="128">
        <f t="shared" si="18"/>
        <v>89.28</v>
      </c>
      <c r="W60" s="128">
        <f t="shared" si="19"/>
        <v>89.28</v>
      </c>
      <c r="X60" s="128">
        <f t="shared" si="20"/>
        <v>89.28</v>
      </c>
      <c r="Y60" s="128">
        <f t="shared" si="21"/>
        <v>235.376</v>
      </c>
      <c r="Z60" s="128">
        <f t="shared" si="22"/>
        <v>44.64</v>
      </c>
      <c r="AA60" s="128">
        <f t="shared" si="32"/>
        <v>547.85599999999999</v>
      </c>
      <c r="AB60" s="74"/>
      <c r="AC60" s="113"/>
      <c r="AD60" s="98" t="s">
        <v>0</v>
      </c>
      <c r="AE60" s="18" t="s">
        <v>11</v>
      </c>
      <c r="AF60" s="16"/>
      <c r="AG60" s="99">
        <f t="shared" si="23"/>
        <v>0</v>
      </c>
      <c r="AH60" s="99">
        <v>0</v>
      </c>
      <c r="AI60" s="99">
        <f t="shared" si="24"/>
        <v>0</v>
      </c>
      <c r="AJ60" s="99">
        <v>0</v>
      </c>
      <c r="AK60" s="100">
        <f t="shared" si="25"/>
        <v>0</v>
      </c>
      <c r="AM60" s="113"/>
      <c r="AO60" s="1">
        <v>12.5</v>
      </c>
      <c r="BB60" s="9" t="s">
        <v>153</v>
      </c>
      <c r="BD60" s="9" t="s">
        <v>149</v>
      </c>
      <c r="BE60" s="9" t="s">
        <v>42</v>
      </c>
      <c r="BI60" s="9" t="s">
        <v>148</v>
      </c>
      <c r="BO60" s="72">
        <f t="shared" si="26"/>
        <v>0</v>
      </c>
      <c r="BP60" s="72">
        <f t="shared" si="27"/>
        <v>89.28</v>
      </c>
      <c r="BQ60" s="72">
        <f t="shared" si="28"/>
        <v>0</v>
      </c>
      <c r="BR60" s="72">
        <f t="shared" si="29"/>
        <v>0</v>
      </c>
      <c r="BS60" s="72">
        <f t="shared" si="30"/>
        <v>0</v>
      </c>
      <c r="BT60" s="9" t="s">
        <v>42</v>
      </c>
      <c r="BU60" s="101">
        <f t="shared" si="31"/>
        <v>89.28</v>
      </c>
      <c r="BV60" s="9" t="s">
        <v>153</v>
      </c>
      <c r="BW60" s="9" t="s">
        <v>656</v>
      </c>
    </row>
    <row r="61" spans="2:75" s="158" customFormat="1" ht="31.5" customHeight="1">
      <c r="B61" s="156"/>
      <c r="C61" s="102" t="s">
        <v>240</v>
      </c>
      <c r="D61" s="102" t="s">
        <v>171</v>
      </c>
      <c r="E61" s="103" t="s">
        <v>657</v>
      </c>
      <c r="F61" s="499" t="s">
        <v>658</v>
      </c>
      <c r="G61" s="499"/>
      <c r="H61" s="499"/>
      <c r="I61" s="499"/>
      <c r="J61" s="104" t="s">
        <v>184</v>
      </c>
      <c r="K61" s="133">
        <v>33</v>
      </c>
      <c r="L61" s="133">
        <v>33</v>
      </c>
      <c r="M61" s="133">
        <v>33</v>
      </c>
      <c r="N61" s="133">
        <v>58</v>
      </c>
      <c r="O61" s="133">
        <v>0</v>
      </c>
      <c r="P61" s="177">
        <f t="shared" si="17"/>
        <v>157</v>
      </c>
      <c r="Q61" s="140">
        <v>66.53</v>
      </c>
      <c r="R61" s="140">
        <v>66.53</v>
      </c>
      <c r="S61" s="140">
        <v>66.53</v>
      </c>
      <c r="T61" s="140">
        <v>66.53</v>
      </c>
      <c r="U61" s="140">
        <v>66.53</v>
      </c>
      <c r="V61" s="133">
        <f t="shared" si="18"/>
        <v>2195.4899999999998</v>
      </c>
      <c r="W61" s="133">
        <f t="shared" si="19"/>
        <v>2195.4899999999998</v>
      </c>
      <c r="X61" s="133">
        <f t="shared" si="20"/>
        <v>2195.4899999999998</v>
      </c>
      <c r="Y61" s="133">
        <f t="shared" si="21"/>
        <v>3858.74</v>
      </c>
      <c r="Z61" s="133">
        <f t="shared" si="22"/>
        <v>0</v>
      </c>
      <c r="AA61" s="133">
        <f t="shared" si="32"/>
        <v>10445.209999999999</v>
      </c>
      <c r="AB61" s="157"/>
      <c r="AC61" s="166" t="s">
        <v>1000</v>
      </c>
      <c r="AD61" s="167" t="s">
        <v>0</v>
      </c>
      <c r="AE61" s="168" t="s">
        <v>11</v>
      </c>
      <c r="AF61" s="169"/>
      <c r="AG61" s="170">
        <f t="shared" si="23"/>
        <v>0</v>
      </c>
      <c r="AH61" s="170">
        <v>0</v>
      </c>
      <c r="AI61" s="170">
        <f t="shared" si="24"/>
        <v>0</v>
      </c>
      <c r="AJ61" s="170">
        <v>0</v>
      </c>
      <c r="AK61" s="171">
        <f t="shared" si="25"/>
        <v>0</v>
      </c>
      <c r="AM61" s="166" t="s">
        <v>1016</v>
      </c>
      <c r="AO61" s="158">
        <v>74.48</v>
      </c>
      <c r="BB61" s="172" t="s">
        <v>165</v>
      </c>
      <c r="BD61" s="172" t="s">
        <v>171</v>
      </c>
      <c r="BE61" s="172" t="s">
        <v>42</v>
      </c>
      <c r="BI61" s="172" t="s">
        <v>148</v>
      </c>
      <c r="BO61" s="173">
        <f t="shared" si="26"/>
        <v>0</v>
      </c>
      <c r="BP61" s="173">
        <f t="shared" si="27"/>
        <v>2195.4899999999998</v>
      </c>
      <c r="BQ61" s="173">
        <f t="shared" si="28"/>
        <v>0</v>
      </c>
      <c r="BR61" s="173">
        <f t="shared" si="29"/>
        <v>0</v>
      </c>
      <c r="BS61" s="173">
        <f t="shared" si="30"/>
        <v>0</v>
      </c>
      <c r="BT61" s="172" t="s">
        <v>42</v>
      </c>
      <c r="BU61" s="174">
        <f t="shared" si="31"/>
        <v>2195.4899999999998</v>
      </c>
      <c r="BV61" s="172" t="s">
        <v>153</v>
      </c>
      <c r="BW61" s="172" t="s">
        <v>659</v>
      </c>
    </row>
    <row r="62" spans="2:75" s="1" customFormat="1" ht="31.5" customHeight="1">
      <c r="B62" s="73"/>
      <c r="C62" s="93" t="s">
        <v>478</v>
      </c>
      <c r="D62" s="93" t="s">
        <v>149</v>
      </c>
      <c r="E62" s="94" t="s">
        <v>660</v>
      </c>
      <c r="F62" s="498" t="s">
        <v>661</v>
      </c>
      <c r="G62" s="498"/>
      <c r="H62" s="498"/>
      <c r="I62" s="498"/>
      <c r="J62" s="95" t="s">
        <v>184</v>
      </c>
      <c r="K62" s="96">
        <v>6</v>
      </c>
      <c r="L62" s="128">
        <v>6</v>
      </c>
      <c r="M62" s="128">
        <v>6</v>
      </c>
      <c r="N62" s="128">
        <v>10</v>
      </c>
      <c r="O62" s="128">
        <v>4</v>
      </c>
      <c r="P62" s="165">
        <f t="shared" si="17"/>
        <v>32</v>
      </c>
      <c r="Q62" s="127">
        <v>14.11</v>
      </c>
      <c r="R62" s="127">
        <v>14.11</v>
      </c>
      <c r="S62" s="127">
        <v>14.11</v>
      </c>
      <c r="T62" s="127">
        <v>14.11</v>
      </c>
      <c r="U62" s="127">
        <v>14.11</v>
      </c>
      <c r="V62" s="128">
        <f t="shared" ref="V62:V96" si="33">ROUND(Q62*K62,3)</f>
        <v>84.66</v>
      </c>
      <c r="W62" s="128">
        <f t="shared" ref="W62:W96" si="34">ROUND(R62*L62,3)</f>
        <v>84.66</v>
      </c>
      <c r="X62" s="128">
        <f t="shared" ref="X62:X96" si="35">ROUND(S62*M62,3)</f>
        <v>84.66</v>
      </c>
      <c r="Y62" s="128">
        <f t="shared" ref="Y62:Y96" si="36">ROUND(T62*N62,3)</f>
        <v>141.1</v>
      </c>
      <c r="Z62" s="128">
        <f t="shared" ref="Z62:Z96" si="37">ROUND(U62*O62,3)</f>
        <v>56.44</v>
      </c>
      <c r="AA62" s="128">
        <f t="shared" si="32"/>
        <v>451.52</v>
      </c>
      <c r="AB62" s="74"/>
      <c r="AC62" s="113"/>
      <c r="AD62" s="98" t="s">
        <v>0</v>
      </c>
      <c r="AE62" s="18" t="s">
        <v>11</v>
      </c>
      <c r="AF62" s="16"/>
      <c r="AG62" s="99">
        <f t="shared" ref="AG62:AG93" si="38">AF62*K62</f>
        <v>0</v>
      </c>
      <c r="AH62" s="99">
        <v>0</v>
      </c>
      <c r="AI62" s="99">
        <f t="shared" ref="AI62:AI93" si="39">AH62*K62</f>
        <v>0</v>
      </c>
      <c r="AJ62" s="99">
        <v>0</v>
      </c>
      <c r="AK62" s="100">
        <f t="shared" ref="AK62:AK93" si="40">AJ62*K62</f>
        <v>0</v>
      </c>
      <c r="AM62" s="113"/>
      <c r="AO62" s="1">
        <v>15.79</v>
      </c>
      <c r="BB62" s="9" t="s">
        <v>153</v>
      </c>
      <c r="BD62" s="9" t="s">
        <v>149</v>
      </c>
      <c r="BE62" s="9" t="s">
        <v>42</v>
      </c>
      <c r="BI62" s="9" t="s">
        <v>148</v>
      </c>
      <c r="BO62" s="72">
        <f t="shared" ref="BO62:BO96" si="41">IF(AE62="základná",V62,0)</f>
        <v>0</v>
      </c>
      <c r="BP62" s="72">
        <f t="shared" ref="BP62:BP96" si="42">IF(AE62="znížená",V62,0)</f>
        <v>84.66</v>
      </c>
      <c r="BQ62" s="72">
        <f t="shared" ref="BQ62:BQ96" si="43">IF(AE62="zákl. prenesená",V62,0)</f>
        <v>0</v>
      </c>
      <c r="BR62" s="72">
        <f t="shared" ref="BR62:BR96" si="44">IF(AE62="zníž. prenesená",V62,0)</f>
        <v>0</v>
      </c>
      <c r="BS62" s="72">
        <f t="shared" ref="BS62:BS96" si="45">IF(AE62="nulová",V62,0)</f>
        <v>0</v>
      </c>
      <c r="BT62" s="9" t="s">
        <v>42</v>
      </c>
      <c r="BU62" s="101">
        <f t="shared" ref="BU62:BU96" si="46">ROUND(Q62*K62,3)</f>
        <v>84.66</v>
      </c>
      <c r="BV62" s="9" t="s">
        <v>153</v>
      </c>
      <c r="BW62" s="9" t="s">
        <v>662</v>
      </c>
    </row>
    <row r="63" spans="2:75" s="158" customFormat="1" ht="31.5" customHeight="1">
      <c r="B63" s="156"/>
      <c r="C63" s="102" t="s">
        <v>479</v>
      </c>
      <c r="D63" s="102" t="s">
        <v>171</v>
      </c>
      <c r="E63" s="103" t="s">
        <v>663</v>
      </c>
      <c r="F63" s="499" t="s">
        <v>664</v>
      </c>
      <c r="G63" s="499"/>
      <c r="H63" s="499"/>
      <c r="I63" s="499"/>
      <c r="J63" s="104" t="s">
        <v>184</v>
      </c>
      <c r="K63" s="133">
        <v>5</v>
      </c>
      <c r="L63" s="133">
        <v>5</v>
      </c>
      <c r="M63" s="133">
        <v>5</v>
      </c>
      <c r="N63" s="133">
        <v>2</v>
      </c>
      <c r="O63" s="133">
        <v>0</v>
      </c>
      <c r="P63" s="177">
        <f t="shared" si="17"/>
        <v>17</v>
      </c>
      <c r="Q63" s="140">
        <v>12.14</v>
      </c>
      <c r="R63" s="140">
        <v>12.14</v>
      </c>
      <c r="S63" s="140">
        <v>12.14</v>
      </c>
      <c r="T63" s="140">
        <v>12.14</v>
      </c>
      <c r="U63" s="140">
        <v>12.14</v>
      </c>
      <c r="V63" s="133">
        <f t="shared" si="33"/>
        <v>60.7</v>
      </c>
      <c r="W63" s="133">
        <f t="shared" si="34"/>
        <v>60.7</v>
      </c>
      <c r="X63" s="133">
        <f t="shared" si="35"/>
        <v>60.7</v>
      </c>
      <c r="Y63" s="133">
        <f t="shared" si="36"/>
        <v>24.28</v>
      </c>
      <c r="Z63" s="133">
        <f t="shared" si="37"/>
        <v>0</v>
      </c>
      <c r="AA63" s="133">
        <f t="shared" si="32"/>
        <v>206.38000000000002</v>
      </c>
      <c r="AB63" s="157"/>
      <c r="AC63" s="166" t="s">
        <v>1017</v>
      </c>
      <c r="AD63" s="167" t="s">
        <v>0</v>
      </c>
      <c r="AE63" s="168" t="s">
        <v>11</v>
      </c>
      <c r="AF63" s="169"/>
      <c r="AG63" s="170">
        <f t="shared" si="38"/>
        <v>0</v>
      </c>
      <c r="AH63" s="170">
        <v>0</v>
      </c>
      <c r="AI63" s="170">
        <f t="shared" si="39"/>
        <v>0</v>
      </c>
      <c r="AJ63" s="170">
        <v>0</v>
      </c>
      <c r="AK63" s="171">
        <f t="shared" si="40"/>
        <v>0</v>
      </c>
      <c r="AM63" s="166" t="s">
        <v>1018</v>
      </c>
      <c r="AO63" s="158">
        <v>13.59</v>
      </c>
      <c r="BB63" s="172" t="s">
        <v>165</v>
      </c>
      <c r="BD63" s="172" t="s">
        <v>171</v>
      </c>
      <c r="BE63" s="172" t="s">
        <v>42</v>
      </c>
      <c r="BI63" s="172" t="s">
        <v>148</v>
      </c>
      <c r="BO63" s="173">
        <f t="shared" si="41"/>
        <v>0</v>
      </c>
      <c r="BP63" s="173">
        <f t="shared" si="42"/>
        <v>60.7</v>
      </c>
      <c r="BQ63" s="173">
        <f t="shared" si="43"/>
        <v>0</v>
      </c>
      <c r="BR63" s="173">
        <f t="shared" si="44"/>
        <v>0</v>
      </c>
      <c r="BS63" s="173">
        <f t="shared" si="45"/>
        <v>0</v>
      </c>
      <c r="BT63" s="172" t="s">
        <v>42</v>
      </c>
      <c r="BU63" s="174">
        <f t="shared" si="46"/>
        <v>60.7</v>
      </c>
      <c r="BV63" s="172" t="s">
        <v>153</v>
      </c>
      <c r="BW63" s="172" t="s">
        <v>281</v>
      </c>
    </row>
    <row r="64" spans="2:75" s="158" customFormat="1" ht="31.5" customHeight="1">
      <c r="B64" s="156"/>
      <c r="C64" s="102" t="s">
        <v>480</v>
      </c>
      <c r="D64" s="102" t="s">
        <v>171</v>
      </c>
      <c r="E64" s="103" t="s">
        <v>665</v>
      </c>
      <c r="F64" s="499" t="s">
        <v>666</v>
      </c>
      <c r="G64" s="499"/>
      <c r="H64" s="499"/>
      <c r="I64" s="499"/>
      <c r="J64" s="104" t="s">
        <v>184</v>
      </c>
      <c r="K64" s="133">
        <v>1</v>
      </c>
      <c r="L64" s="133">
        <v>1</v>
      </c>
      <c r="M64" s="133">
        <v>1</v>
      </c>
      <c r="N64" s="133">
        <v>8</v>
      </c>
      <c r="O64" s="133">
        <v>4</v>
      </c>
      <c r="P64" s="177">
        <f t="shared" si="17"/>
        <v>15</v>
      </c>
      <c r="Q64" s="140">
        <v>6.53</v>
      </c>
      <c r="R64" s="140">
        <v>6.53</v>
      </c>
      <c r="S64" s="140">
        <v>6.53</v>
      </c>
      <c r="T64" s="140">
        <v>6.53</v>
      </c>
      <c r="U64" s="140">
        <v>6.53</v>
      </c>
      <c r="V64" s="133">
        <f t="shared" si="33"/>
        <v>6.53</v>
      </c>
      <c r="W64" s="133">
        <f t="shared" si="34"/>
        <v>6.53</v>
      </c>
      <c r="X64" s="133">
        <f t="shared" si="35"/>
        <v>6.53</v>
      </c>
      <c r="Y64" s="133">
        <f t="shared" si="36"/>
        <v>52.24</v>
      </c>
      <c r="Z64" s="133">
        <f t="shared" si="37"/>
        <v>26.12</v>
      </c>
      <c r="AA64" s="133">
        <f t="shared" si="32"/>
        <v>97.95</v>
      </c>
      <c r="AB64" s="157"/>
      <c r="AC64" s="166" t="s">
        <v>1017</v>
      </c>
      <c r="AD64" s="167" t="s">
        <v>0</v>
      </c>
      <c r="AE64" s="168" t="s">
        <v>11</v>
      </c>
      <c r="AF64" s="169"/>
      <c r="AG64" s="170">
        <f t="shared" si="38"/>
        <v>0</v>
      </c>
      <c r="AH64" s="170">
        <v>0</v>
      </c>
      <c r="AI64" s="170">
        <f t="shared" si="39"/>
        <v>0</v>
      </c>
      <c r="AJ64" s="170">
        <v>0</v>
      </c>
      <c r="AK64" s="171">
        <f t="shared" si="40"/>
        <v>0</v>
      </c>
      <c r="AM64" s="166" t="s">
        <v>1019</v>
      </c>
      <c r="AO64" s="158">
        <v>7.31</v>
      </c>
      <c r="BB64" s="172" t="s">
        <v>165</v>
      </c>
      <c r="BD64" s="172" t="s">
        <v>171</v>
      </c>
      <c r="BE64" s="172" t="s">
        <v>42</v>
      </c>
      <c r="BI64" s="172" t="s">
        <v>148</v>
      </c>
      <c r="BO64" s="173">
        <f t="shared" si="41"/>
        <v>0</v>
      </c>
      <c r="BP64" s="173">
        <f t="shared" si="42"/>
        <v>6.53</v>
      </c>
      <c r="BQ64" s="173">
        <f t="shared" si="43"/>
        <v>0</v>
      </c>
      <c r="BR64" s="173">
        <f t="shared" si="44"/>
        <v>0</v>
      </c>
      <c r="BS64" s="173">
        <f t="shared" si="45"/>
        <v>0</v>
      </c>
      <c r="BT64" s="172" t="s">
        <v>42</v>
      </c>
      <c r="BU64" s="174">
        <f t="shared" si="46"/>
        <v>6.53</v>
      </c>
      <c r="BV64" s="172" t="s">
        <v>153</v>
      </c>
      <c r="BW64" s="172" t="s">
        <v>667</v>
      </c>
    </row>
    <row r="65" spans="2:75" s="1" customFormat="1" ht="22.5" customHeight="1">
      <c r="B65" s="73"/>
      <c r="C65" s="93" t="s">
        <v>544</v>
      </c>
      <c r="D65" s="93" t="s">
        <v>149</v>
      </c>
      <c r="E65" s="94" t="s">
        <v>668</v>
      </c>
      <c r="F65" s="498" t="s">
        <v>669</v>
      </c>
      <c r="G65" s="498"/>
      <c r="H65" s="498"/>
      <c r="I65" s="498"/>
      <c r="J65" s="95" t="s">
        <v>194</v>
      </c>
      <c r="K65" s="96">
        <v>22</v>
      </c>
      <c r="L65" s="128">
        <v>22</v>
      </c>
      <c r="M65" s="128">
        <v>25</v>
      </c>
      <c r="N65" s="128">
        <v>25</v>
      </c>
      <c r="O65" s="128">
        <v>15</v>
      </c>
      <c r="P65" s="165">
        <f t="shared" si="17"/>
        <v>109</v>
      </c>
      <c r="Q65" s="127">
        <v>14.57</v>
      </c>
      <c r="R65" s="127">
        <v>14.57</v>
      </c>
      <c r="S65" s="127">
        <v>14.57</v>
      </c>
      <c r="T65" s="127">
        <v>14.57</v>
      </c>
      <c r="U65" s="127">
        <v>14.57</v>
      </c>
      <c r="V65" s="128">
        <f t="shared" si="33"/>
        <v>320.54000000000002</v>
      </c>
      <c r="W65" s="128">
        <f t="shared" si="34"/>
        <v>320.54000000000002</v>
      </c>
      <c r="X65" s="128">
        <f t="shared" si="35"/>
        <v>364.25</v>
      </c>
      <c r="Y65" s="128">
        <f t="shared" si="36"/>
        <v>364.25</v>
      </c>
      <c r="Z65" s="128">
        <f t="shared" si="37"/>
        <v>218.55</v>
      </c>
      <c r="AA65" s="128">
        <f t="shared" si="32"/>
        <v>1588.1299999999999</v>
      </c>
      <c r="AB65" s="74"/>
      <c r="AC65" s="113"/>
      <c r="AD65" s="98" t="s">
        <v>0</v>
      </c>
      <c r="AE65" s="18" t="s">
        <v>11</v>
      </c>
      <c r="AF65" s="16"/>
      <c r="AG65" s="99">
        <f t="shared" si="38"/>
        <v>0</v>
      </c>
      <c r="AH65" s="99">
        <v>0</v>
      </c>
      <c r="AI65" s="99">
        <f t="shared" si="39"/>
        <v>0</v>
      </c>
      <c r="AJ65" s="99">
        <v>0</v>
      </c>
      <c r="AK65" s="100">
        <f t="shared" si="40"/>
        <v>0</v>
      </c>
      <c r="AM65" s="113"/>
      <c r="AO65" s="1">
        <v>16.309999999999999</v>
      </c>
      <c r="BB65" s="9" t="s">
        <v>153</v>
      </c>
      <c r="BD65" s="9" t="s">
        <v>149</v>
      </c>
      <c r="BE65" s="9" t="s">
        <v>42</v>
      </c>
      <c r="BI65" s="9" t="s">
        <v>148</v>
      </c>
      <c r="BO65" s="72">
        <f t="shared" si="41"/>
        <v>0</v>
      </c>
      <c r="BP65" s="72">
        <f t="shared" si="42"/>
        <v>320.54000000000002</v>
      </c>
      <c r="BQ65" s="72">
        <f t="shared" si="43"/>
        <v>0</v>
      </c>
      <c r="BR65" s="72">
        <f t="shared" si="44"/>
        <v>0</v>
      </c>
      <c r="BS65" s="72">
        <f t="shared" si="45"/>
        <v>0</v>
      </c>
      <c r="BT65" s="9" t="s">
        <v>42</v>
      </c>
      <c r="BU65" s="101">
        <f t="shared" si="46"/>
        <v>320.54000000000002</v>
      </c>
      <c r="BV65" s="9" t="s">
        <v>153</v>
      </c>
      <c r="BW65" s="9" t="s">
        <v>670</v>
      </c>
    </row>
    <row r="66" spans="2:75" s="158" customFormat="1" ht="22.5" customHeight="1">
      <c r="B66" s="156"/>
      <c r="C66" s="102" t="s">
        <v>617</v>
      </c>
      <c r="D66" s="102" t="s">
        <v>171</v>
      </c>
      <c r="E66" s="103" t="s">
        <v>671</v>
      </c>
      <c r="F66" s="499" t="s">
        <v>672</v>
      </c>
      <c r="G66" s="499"/>
      <c r="H66" s="499"/>
      <c r="I66" s="499"/>
      <c r="J66" s="104" t="s">
        <v>198</v>
      </c>
      <c r="K66" s="133">
        <v>20</v>
      </c>
      <c r="L66" s="133">
        <v>20</v>
      </c>
      <c r="M66" s="133">
        <v>20</v>
      </c>
      <c r="N66" s="133">
        <v>20</v>
      </c>
      <c r="O66" s="133">
        <v>0</v>
      </c>
      <c r="P66" s="177">
        <f t="shared" si="17"/>
        <v>80</v>
      </c>
      <c r="Q66" s="140">
        <v>0.42</v>
      </c>
      <c r="R66" s="140">
        <v>0.42</v>
      </c>
      <c r="S66" s="140">
        <v>0.42</v>
      </c>
      <c r="T66" s="140">
        <v>0.42</v>
      </c>
      <c r="U66" s="140">
        <v>0.42</v>
      </c>
      <c r="V66" s="133">
        <f t="shared" si="33"/>
        <v>8.4</v>
      </c>
      <c r="W66" s="133">
        <f t="shared" si="34"/>
        <v>8.4</v>
      </c>
      <c r="X66" s="133">
        <f t="shared" si="35"/>
        <v>8.4</v>
      </c>
      <c r="Y66" s="133">
        <f t="shared" si="36"/>
        <v>8.4</v>
      </c>
      <c r="Z66" s="133">
        <f t="shared" si="37"/>
        <v>0</v>
      </c>
      <c r="AA66" s="133">
        <f t="shared" si="32"/>
        <v>33.6</v>
      </c>
      <c r="AB66" s="157"/>
      <c r="AC66" s="166" t="s">
        <v>996</v>
      </c>
      <c r="AD66" s="167" t="s">
        <v>0</v>
      </c>
      <c r="AE66" s="168" t="s">
        <v>11</v>
      </c>
      <c r="AF66" s="169"/>
      <c r="AG66" s="170">
        <f t="shared" si="38"/>
        <v>0</v>
      </c>
      <c r="AH66" s="170">
        <v>0</v>
      </c>
      <c r="AI66" s="170">
        <f t="shared" si="39"/>
        <v>0</v>
      </c>
      <c r="AJ66" s="170">
        <v>0</v>
      </c>
      <c r="AK66" s="171">
        <f t="shared" si="40"/>
        <v>0</v>
      </c>
      <c r="AM66" s="166" t="s">
        <v>997</v>
      </c>
      <c r="AO66" s="158">
        <v>0.47</v>
      </c>
      <c r="BB66" s="172" t="s">
        <v>165</v>
      </c>
      <c r="BD66" s="172" t="s">
        <v>171</v>
      </c>
      <c r="BE66" s="172" t="s">
        <v>42</v>
      </c>
      <c r="BI66" s="172" t="s">
        <v>148</v>
      </c>
      <c r="BO66" s="173">
        <f t="shared" si="41"/>
        <v>0</v>
      </c>
      <c r="BP66" s="173">
        <f t="shared" si="42"/>
        <v>8.4</v>
      </c>
      <c r="BQ66" s="173">
        <f t="shared" si="43"/>
        <v>0</v>
      </c>
      <c r="BR66" s="173">
        <f t="shared" si="44"/>
        <v>0</v>
      </c>
      <c r="BS66" s="173">
        <f t="shared" si="45"/>
        <v>0</v>
      </c>
      <c r="BT66" s="172" t="s">
        <v>42</v>
      </c>
      <c r="BU66" s="174">
        <f t="shared" si="46"/>
        <v>8.4</v>
      </c>
      <c r="BV66" s="172" t="s">
        <v>153</v>
      </c>
      <c r="BW66" s="172" t="s">
        <v>673</v>
      </c>
    </row>
    <row r="67" spans="2:75" s="158" customFormat="1" ht="22.5" customHeight="1">
      <c r="B67" s="156"/>
      <c r="C67" s="102" t="s">
        <v>674</v>
      </c>
      <c r="D67" s="102" t="s">
        <v>171</v>
      </c>
      <c r="E67" s="103" t="s">
        <v>675</v>
      </c>
      <c r="F67" s="499" t="s">
        <v>676</v>
      </c>
      <c r="G67" s="499"/>
      <c r="H67" s="499"/>
      <c r="I67" s="499"/>
      <c r="J67" s="104" t="s">
        <v>184</v>
      </c>
      <c r="K67" s="133">
        <v>20</v>
      </c>
      <c r="L67" s="133">
        <v>20</v>
      </c>
      <c r="M67" s="133">
        <v>20</v>
      </c>
      <c r="N67" s="133">
        <v>20</v>
      </c>
      <c r="O67" s="133">
        <v>0</v>
      </c>
      <c r="P67" s="177">
        <f t="shared" si="17"/>
        <v>80</v>
      </c>
      <c r="Q67" s="140">
        <v>0.09</v>
      </c>
      <c r="R67" s="140">
        <v>0.09</v>
      </c>
      <c r="S67" s="140">
        <v>0.09</v>
      </c>
      <c r="T67" s="140">
        <v>0.09</v>
      </c>
      <c r="U67" s="140">
        <v>0.09</v>
      </c>
      <c r="V67" s="133">
        <f t="shared" si="33"/>
        <v>1.8</v>
      </c>
      <c r="W67" s="133">
        <f t="shared" si="34"/>
        <v>1.8</v>
      </c>
      <c r="X67" s="133">
        <f t="shared" si="35"/>
        <v>1.8</v>
      </c>
      <c r="Y67" s="133">
        <f t="shared" si="36"/>
        <v>1.8</v>
      </c>
      <c r="Z67" s="133">
        <f t="shared" si="37"/>
        <v>0</v>
      </c>
      <c r="AA67" s="133">
        <f t="shared" si="32"/>
        <v>7.2</v>
      </c>
      <c r="AB67" s="157"/>
      <c r="AC67" s="166" t="s">
        <v>996</v>
      </c>
      <c r="AD67" s="167" t="s">
        <v>0</v>
      </c>
      <c r="AE67" s="168" t="s">
        <v>11</v>
      </c>
      <c r="AF67" s="169"/>
      <c r="AG67" s="170">
        <f t="shared" si="38"/>
        <v>0</v>
      </c>
      <c r="AH67" s="170">
        <v>0</v>
      </c>
      <c r="AI67" s="170">
        <f t="shared" si="39"/>
        <v>0</v>
      </c>
      <c r="AJ67" s="170">
        <v>0</v>
      </c>
      <c r="AK67" s="171">
        <f t="shared" si="40"/>
        <v>0</v>
      </c>
      <c r="AM67" s="166" t="s">
        <v>1020</v>
      </c>
      <c r="AO67" s="158">
        <v>0.1</v>
      </c>
      <c r="BB67" s="172" t="s">
        <v>165</v>
      </c>
      <c r="BD67" s="172" t="s">
        <v>171</v>
      </c>
      <c r="BE67" s="172" t="s">
        <v>42</v>
      </c>
      <c r="BI67" s="172" t="s">
        <v>148</v>
      </c>
      <c r="BO67" s="173">
        <f t="shared" si="41"/>
        <v>0</v>
      </c>
      <c r="BP67" s="173">
        <f t="shared" si="42"/>
        <v>1.8</v>
      </c>
      <c r="BQ67" s="173">
        <f t="shared" si="43"/>
        <v>0</v>
      </c>
      <c r="BR67" s="173">
        <f t="shared" si="44"/>
        <v>0</v>
      </c>
      <c r="BS67" s="173">
        <f t="shared" si="45"/>
        <v>0</v>
      </c>
      <c r="BT67" s="172" t="s">
        <v>42</v>
      </c>
      <c r="BU67" s="174">
        <f t="shared" si="46"/>
        <v>1.8</v>
      </c>
      <c r="BV67" s="172" t="s">
        <v>153</v>
      </c>
      <c r="BW67" s="172" t="s">
        <v>677</v>
      </c>
    </row>
    <row r="68" spans="2:75" s="158" customFormat="1" ht="31.5" customHeight="1">
      <c r="B68" s="156"/>
      <c r="C68" s="102" t="s">
        <v>620</v>
      </c>
      <c r="D68" s="102" t="s">
        <v>171</v>
      </c>
      <c r="E68" s="103" t="s">
        <v>678</v>
      </c>
      <c r="F68" s="499" t="s">
        <v>679</v>
      </c>
      <c r="G68" s="499"/>
      <c r="H68" s="499"/>
      <c r="I68" s="499"/>
      <c r="J68" s="104" t="s">
        <v>194</v>
      </c>
      <c r="K68" s="133">
        <v>12</v>
      </c>
      <c r="L68" s="133">
        <v>12</v>
      </c>
      <c r="M68" s="133">
        <v>12</v>
      </c>
      <c r="N68" s="133">
        <v>12</v>
      </c>
      <c r="O68" s="133">
        <v>0</v>
      </c>
      <c r="P68" s="177">
        <f t="shared" si="17"/>
        <v>48</v>
      </c>
      <c r="Q68" s="140">
        <v>0.98</v>
      </c>
      <c r="R68" s="140">
        <v>0.98</v>
      </c>
      <c r="S68" s="140">
        <v>0.98</v>
      </c>
      <c r="T68" s="140">
        <v>0.98</v>
      </c>
      <c r="U68" s="140">
        <v>0.98</v>
      </c>
      <c r="V68" s="133">
        <f t="shared" si="33"/>
        <v>11.76</v>
      </c>
      <c r="W68" s="133">
        <f t="shared" si="34"/>
        <v>11.76</v>
      </c>
      <c r="X68" s="133">
        <f t="shared" si="35"/>
        <v>11.76</v>
      </c>
      <c r="Y68" s="133">
        <f t="shared" si="36"/>
        <v>11.76</v>
      </c>
      <c r="Z68" s="133">
        <f t="shared" si="37"/>
        <v>0</v>
      </c>
      <c r="AA68" s="133">
        <f t="shared" si="32"/>
        <v>47.04</v>
      </c>
      <c r="AB68" s="157"/>
      <c r="AC68" s="166" t="s">
        <v>1022</v>
      </c>
      <c r="AD68" s="167" t="s">
        <v>0</v>
      </c>
      <c r="AE68" s="168" t="s">
        <v>11</v>
      </c>
      <c r="AF68" s="169"/>
      <c r="AG68" s="170">
        <f t="shared" si="38"/>
        <v>0</v>
      </c>
      <c r="AH68" s="170">
        <v>0</v>
      </c>
      <c r="AI68" s="170">
        <f t="shared" si="39"/>
        <v>0</v>
      </c>
      <c r="AJ68" s="170">
        <v>0</v>
      </c>
      <c r="AK68" s="171">
        <f t="shared" si="40"/>
        <v>0</v>
      </c>
      <c r="AM68" s="166" t="s">
        <v>1021</v>
      </c>
      <c r="AO68" s="158">
        <v>1.1000000000000001</v>
      </c>
      <c r="BB68" s="172" t="s">
        <v>165</v>
      </c>
      <c r="BD68" s="172" t="s">
        <v>171</v>
      </c>
      <c r="BE68" s="172" t="s">
        <v>42</v>
      </c>
      <c r="BI68" s="172" t="s">
        <v>148</v>
      </c>
      <c r="BO68" s="173">
        <f t="shared" si="41"/>
        <v>0</v>
      </c>
      <c r="BP68" s="173">
        <f t="shared" si="42"/>
        <v>11.76</v>
      </c>
      <c r="BQ68" s="173">
        <f t="shared" si="43"/>
        <v>0</v>
      </c>
      <c r="BR68" s="173">
        <f t="shared" si="44"/>
        <v>0</v>
      </c>
      <c r="BS68" s="173">
        <f t="shared" si="45"/>
        <v>0</v>
      </c>
      <c r="BT68" s="172" t="s">
        <v>42</v>
      </c>
      <c r="BU68" s="174">
        <f t="shared" si="46"/>
        <v>11.76</v>
      </c>
      <c r="BV68" s="172" t="s">
        <v>153</v>
      </c>
      <c r="BW68" s="172" t="s">
        <v>680</v>
      </c>
    </row>
    <row r="69" spans="2:75" s="1" customFormat="1" ht="31.5" customHeight="1">
      <c r="B69" s="73"/>
      <c r="C69" s="93" t="s">
        <v>681</v>
      </c>
      <c r="D69" s="93" t="s">
        <v>149</v>
      </c>
      <c r="E69" s="94" t="s">
        <v>682</v>
      </c>
      <c r="F69" s="498" t="s">
        <v>683</v>
      </c>
      <c r="G69" s="498"/>
      <c r="H69" s="498"/>
      <c r="I69" s="498"/>
      <c r="J69" s="95" t="s">
        <v>194</v>
      </c>
      <c r="K69" s="96">
        <v>22</v>
      </c>
      <c r="L69" s="128">
        <v>22</v>
      </c>
      <c r="M69" s="128">
        <v>22</v>
      </c>
      <c r="N69" s="128">
        <v>22</v>
      </c>
      <c r="O69" s="128">
        <v>0</v>
      </c>
      <c r="P69" s="165">
        <f t="shared" si="17"/>
        <v>88</v>
      </c>
      <c r="Q69" s="127">
        <v>0.81</v>
      </c>
      <c r="R69" s="127">
        <v>0.81</v>
      </c>
      <c r="S69" s="127">
        <v>0.81</v>
      </c>
      <c r="T69" s="127">
        <v>0.81</v>
      </c>
      <c r="U69" s="127">
        <v>0.81</v>
      </c>
      <c r="V69" s="128">
        <f t="shared" si="33"/>
        <v>17.82</v>
      </c>
      <c r="W69" s="128">
        <f t="shared" si="34"/>
        <v>17.82</v>
      </c>
      <c r="X69" s="128">
        <f t="shared" si="35"/>
        <v>17.82</v>
      </c>
      <c r="Y69" s="128">
        <f t="shared" si="36"/>
        <v>17.82</v>
      </c>
      <c r="Z69" s="128">
        <f t="shared" si="37"/>
        <v>0</v>
      </c>
      <c r="AA69" s="128">
        <f t="shared" si="32"/>
        <v>71.28</v>
      </c>
      <c r="AB69" s="74"/>
      <c r="AC69" s="113"/>
      <c r="AD69" s="98" t="s">
        <v>0</v>
      </c>
      <c r="AE69" s="18" t="s">
        <v>11</v>
      </c>
      <c r="AF69" s="16"/>
      <c r="AG69" s="99">
        <f t="shared" si="38"/>
        <v>0</v>
      </c>
      <c r="AH69" s="99">
        <v>0</v>
      </c>
      <c r="AI69" s="99">
        <f t="shared" si="39"/>
        <v>0</v>
      </c>
      <c r="AJ69" s="99">
        <v>0</v>
      </c>
      <c r="AK69" s="100">
        <f t="shared" si="40"/>
        <v>0</v>
      </c>
      <c r="AM69" s="113"/>
      <c r="AO69" s="1">
        <v>0.91</v>
      </c>
      <c r="BB69" s="9" t="s">
        <v>153</v>
      </c>
      <c r="BD69" s="9" t="s">
        <v>149</v>
      </c>
      <c r="BE69" s="9" t="s">
        <v>42</v>
      </c>
      <c r="BI69" s="9" t="s">
        <v>148</v>
      </c>
      <c r="BO69" s="72">
        <f t="shared" si="41"/>
        <v>0</v>
      </c>
      <c r="BP69" s="72">
        <f t="shared" si="42"/>
        <v>17.82</v>
      </c>
      <c r="BQ69" s="72">
        <f t="shared" si="43"/>
        <v>0</v>
      </c>
      <c r="BR69" s="72">
        <f t="shared" si="44"/>
        <v>0</v>
      </c>
      <c r="BS69" s="72">
        <f t="shared" si="45"/>
        <v>0</v>
      </c>
      <c r="BT69" s="9" t="s">
        <v>42</v>
      </c>
      <c r="BU69" s="101">
        <f t="shared" si="46"/>
        <v>17.82</v>
      </c>
      <c r="BV69" s="9" t="s">
        <v>153</v>
      </c>
      <c r="BW69" s="9" t="s">
        <v>684</v>
      </c>
    </row>
    <row r="70" spans="2:75" s="1" customFormat="1" ht="22.5" customHeight="1">
      <c r="B70" s="73"/>
      <c r="C70" s="93" t="s">
        <v>623</v>
      </c>
      <c r="D70" s="93" t="s">
        <v>149</v>
      </c>
      <c r="E70" s="94" t="s">
        <v>685</v>
      </c>
      <c r="F70" s="498" t="s">
        <v>686</v>
      </c>
      <c r="G70" s="498"/>
      <c r="H70" s="498"/>
      <c r="I70" s="498"/>
      <c r="J70" s="95" t="s">
        <v>184</v>
      </c>
      <c r="K70" s="96">
        <v>6</v>
      </c>
      <c r="L70" s="128">
        <v>6</v>
      </c>
      <c r="M70" s="128">
        <v>6</v>
      </c>
      <c r="N70" s="128">
        <v>6</v>
      </c>
      <c r="O70" s="128">
        <v>0</v>
      </c>
      <c r="P70" s="165">
        <f t="shared" si="17"/>
        <v>24</v>
      </c>
      <c r="Q70" s="127">
        <v>16.38</v>
      </c>
      <c r="R70" s="127">
        <v>16.38</v>
      </c>
      <c r="S70" s="127">
        <v>16.38</v>
      </c>
      <c r="T70" s="127">
        <v>16.38</v>
      </c>
      <c r="U70" s="127">
        <v>16.38</v>
      </c>
      <c r="V70" s="128">
        <f t="shared" si="33"/>
        <v>98.28</v>
      </c>
      <c r="W70" s="128">
        <f t="shared" si="34"/>
        <v>98.28</v>
      </c>
      <c r="X70" s="128">
        <f t="shared" si="35"/>
        <v>98.28</v>
      </c>
      <c r="Y70" s="128">
        <f t="shared" si="36"/>
        <v>98.28</v>
      </c>
      <c r="Z70" s="128">
        <f t="shared" si="37"/>
        <v>0</v>
      </c>
      <c r="AA70" s="128">
        <f t="shared" si="32"/>
        <v>393.12</v>
      </c>
      <c r="AB70" s="74"/>
      <c r="AC70" s="113" t="s">
        <v>1022</v>
      </c>
      <c r="AD70" s="98" t="s">
        <v>0</v>
      </c>
      <c r="AE70" s="18" t="s">
        <v>11</v>
      </c>
      <c r="AF70" s="16"/>
      <c r="AG70" s="99">
        <f t="shared" si="38"/>
        <v>0</v>
      </c>
      <c r="AH70" s="99">
        <v>0</v>
      </c>
      <c r="AI70" s="99">
        <f t="shared" si="39"/>
        <v>0</v>
      </c>
      <c r="AJ70" s="99">
        <v>0</v>
      </c>
      <c r="AK70" s="100">
        <f t="shared" si="40"/>
        <v>0</v>
      </c>
      <c r="AM70" s="113" t="s">
        <v>1025</v>
      </c>
      <c r="AO70" s="1">
        <v>18.34</v>
      </c>
      <c r="BB70" s="9" t="s">
        <v>153</v>
      </c>
      <c r="BD70" s="9" t="s">
        <v>149</v>
      </c>
      <c r="BE70" s="9" t="s">
        <v>42</v>
      </c>
      <c r="BI70" s="9" t="s">
        <v>148</v>
      </c>
      <c r="BO70" s="72">
        <f t="shared" si="41"/>
        <v>0</v>
      </c>
      <c r="BP70" s="72">
        <f t="shared" si="42"/>
        <v>98.28</v>
      </c>
      <c r="BQ70" s="72">
        <f t="shared" si="43"/>
        <v>0</v>
      </c>
      <c r="BR70" s="72">
        <f t="shared" si="44"/>
        <v>0</v>
      </c>
      <c r="BS70" s="72">
        <f t="shared" si="45"/>
        <v>0</v>
      </c>
      <c r="BT70" s="9" t="s">
        <v>42</v>
      </c>
      <c r="BU70" s="101">
        <f t="shared" si="46"/>
        <v>98.28</v>
      </c>
      <c r="BV70" s="9" t="s">
        <v>153</v>
      </c>
      <c r="BW70" s="9" t="s">
        <v>687</v>
      </c>
    </row>
    <row r="71" spans="2:75" s="158" customFormat="1" ht="22.5" customHeight="1">
      <c r="B71" s="156"/>
      <c r="C71" s="102" t="s">
        <v>688</v>
      </c>
      <c r="D71" s="102" t="s">
        <v>171</v>
      </c>
      <c r="E71" s="103" t="s">
        <v>689</v>
      </c>
      <c r="F71" s="499" t="s">
        <v>690</v>
      </c>
      <c r="G71" s="499"/>
      <c r="H71" s="499"/>
      <c r="I71" s="499"/>
      <c r="J71" s="104" t="s">
        <v>184</v>
      </c>
      <c r="K71" s="133">
        <v>6</v>
      </c>
      <c r="L71" s="133">
        <v>6</v>
      </c>
      <c r="M71" s="133">
        <v>6</v>
      </c>
      <c r="N71" s="133">
        <v>6</v>
      </c>
      <c r="O71" s="133">
        <v>0</v>
      </c>
      <c r="P71" s="177">
        <f t="shared" si="17"/>
        <v>24</v>
      </c>
      <c r="Q71" s="140">
        <v>3.75</v>
      </c>
      <c r="R71" s="140">
        <v>3.75</v>
      </c>
      <c r="S71" s="140">
        <v>3.75</v>
      </c>
      <c r="T71" s="140">
        <v>3.75</v>
      </c>
      <c r="U71" s="140">
        <v>3.75</v>
      </c>
      <c r="V71" s="133">
        <f t="shared" si="33"/>
        <v>22.5</v>
      </c>
      <c r="W71" s="133">
        <f t="shared" si="34"/>
        <v>22.5</v>
      </c>
      <c r="X71" s="133">
        <f t="shared" si="35"/>
        <v>22.5</v>
      </c>
      <c r="Y71" s="133">
        <f t="shared" si="36"/>
        <v>22.5</v>
      </c>
      <c r="Z71" s="133">
        <f t="shared" si="37"/>
        <v>0</v>
      </c>
      <c r="AA71" s="133">
        <f t="shared" si="32"/>
        <v>90</v>
      </c>
      <c r="AB71" s="157"/>
      <c r="AC71" s="166" t="s">
        <v>1022</v>
      </c>
      <c r="AD71" s="167" t="s">
        <v>0</v>
      </c>
      <c r="AE71" s="168" t="s">
        <v>11</v>
      </c>
      <c r="AF71" s="169"/>
      <c r="AG71" s="170">
        <f t="shared" si="38"/>
        <v>0</v>
      </c>
      <c r="AH71" s="170">
        <v>0</v>
      </c>
      <c r="AI71" s="170">
        <f t="shared" si="39"/>
        <v>0</v>
      </c>
      <c r="AJ71" s="170">
        <v>0</v>
      </c>
      <c r="AK71" s="171">
        <f t="shared" si="40"/>
        <v>0</v>
      </c>
      <c r="AM71" s="166" t="s">
        <v>1023</v>
      </c>
      <c r="AO71" s="158">
        <v>4.2</v>
      </c>
      <c r="BB71" s="172" t="s">
        <v>165</v>
      </c>
      <c r="BD71" s="172" t="s">
        <v>171</v>
      </c>
      <c r="BE71" s="172" t="s">
        <v>42</v>
      </c>
      <c r="BI71" s="172" t="s">
        <v>148</v>
      </c>
      <c r="BO71" s="173">
        <f t="shared" si="41"/>
        <v>0</v>
      </c>
      <c r="BP71" s="173">
        <f t="shared" si="42"/>
        <v>22.5</v>
      </c>
      <c r="BQ71" s="173">
        <f t="shared" si="43"/>
        <v>0</v>
      </c>
      <c r="BR71" s="173">
        <f t="shared" si="44"/>
        <v>0</v>
      </c>
      <c r="BS71" s="173">
        <f t="shared" si="45"/>
        <v>0</v>
      </c>
      <c r="BT71" s="172" t="s">
        <v>42</v>
      </c>
      <c r="BU71" s="174">
        <f t="shared" si="46"/>
        <v>22.5</v>
      </c>
      <c r="BV71" s="172" t="s">
        <v>153</v>
      </c>
      <c r="BW71" s="172" t="s">
        <v>691</v>
      </c>
    </row>
    <row r="72" spans="2:75" s="1" customFormat="1" ht="22.5" customHeight="1">
      <c r="B72" s="73"/>
      <c r="C72" s="93" t="s">
        <v>626</v>
      </c>
      <c r="D72" s="93" t="s">
        <v>149</v>
      </c>
      <c r="E72" s="94" t="s">
        <v>692</v>
      </c>
      <c r="F72" s="498" t="s">
        <v>693</v>
      </c>
      <c r="G72" s="498"/>
      <c r="H72" s="498"/>
      <c r="I72" s="498"/>
      <c r="J72" s="95" t="s">
        <v>184</v>
      </c>
      <c r="K72" s="96">
        <v>6</v>
      </c>
      <c r="L72" s="128">
        <v>6</v>
      </c>
      <c r="M72" s="128">
        <v>6</v>
      </c>
      <c r="N72" s="128">
        <v>6</v>
      </c>
      <c r="O72" s="128">
        <v>0</v>
      </c>
      <c r="P72" s="165">
        <f t="shared" si="17"/>
        <v>24</v>
      </c>
      <c r="Q72" s="127">
        <v>2.04</v>
      </c>
      <c r="R72" s="127">
        <v>2.04</v>
      </c>
      <c r="S72" s="127">
        <v>2.04</v>
      </c>
      <c r="T72" s="127">
        <v>2.04</v>
      </c>
      <c r="U72" s="127">
        <v>2.04</v>
      </c>
      <c r="V72" s="128">
        <f t="shared" si="33"/>
        <v>12.24</v>
      </c>
      <c r="W72" s="128">
        <f t="shared" si="34"/>
        <v>12.24</v>
      </c>
      <c r="X72" s="128">
        <f t="shared" si="35"/>
        <v>12.24</v>
      </c>
      <c r="Y72" s="128">
        <f t="shared" si="36"/>
        <v>12.24</v>
      </c>
      <c r="Z72" s="128">
        <f t="shared" si="37"/>
        <v>0</v>
      </c>
      <c r="AA72" s="128">
        <f t="shared" si="32"/>
        <v>48.96</v>
      </c>
      <c r="AB72" s="74"/>
      <c r="AC72" s="113"/>
      <c r="AD72" s="98" t="s">
        <v>0</v>
      </c>
      <c r="AE72" s="18" t="s">
        <v>11</v>
      </c>
      <c r="AF72" s="16"/>
      <c r="AG72" s="99">
        <f t="shared" si="38"/>
        <v>0</v>
      </c>
      <c r="AH72" s="99">
        <v>0</v>
      </c>
      <c r="AI72" s="99">
        <f t="shared" si="39"/>
        <v>0</v>
      </c>
      <c r="AJ72" s="99">
        <v>0</v>
      </c>
      <c r="AK72" s="100">
        <f t="shared" si="40"/>
        <v>0</v>
      </c>
      <c r="AM72" s="113"/>
      <c r="AO72" s="1">
        <v>2.2799999999999998</v>
      </c>
      <c r="BB72" s="9" t="s">
        <v>153</v>
      </c>
      <c r="BD72" s="9" t="s">
        <v>149</v>
      </c>
      <c r="BE72" s="9" t="s">
        <v>42</v>
      </c>
      <c r="BI72" s="9" t="s">
        <v>148</v>
      </c>
      <c r="BO72" s="72">
        <f t="shared" si="41"/>
        <v>0</v>
      </c>
      <c r="BP72" s="72">
        <f t="shared" si="42"/>
        <v>12.24</v>
      </c>
      <c r="BQ72" s="72">
        <f t="shared" si="43"/>
        <v>0</v>
      </c>
      <c r="BR72" s="72">
        <f t="shared" si="44"/>
        <v>0</v>
      </c>
      <c r="BS72" s="72">
        <f t="shared" si="45"/>
        <v>0</v>
      </c>
      <c r="BT72" s="9" t="s">
        <v>42</v>
      </c>
      <c r="BU72" s="101">
        <f t="shared" si="46"/>
        <v>12.24</v>
      </c>
      <c r="BV72" s="9" t="s">
        <v>153</v>
      </c>
      <c r="BW72" s="9" t="s">
        <v>567</v>
      </c>
    </row>
    <row r="73" spans="2:75" s="158" customFormat="1" ht="31.5" customHeight="1">
      <c r="B73" s="156"/>
      <c r="C73" s="102" t="s">
        <v>694</v>
      </c>
      <c r="D73" s="102" t="s">
        <v>171</v>
      </c>
      <c r="E73" s="103" t="s">
        <v>695</v>
      </c>
      <c r="F73" s="499" t="s">
        <v>696</v>
      </c>
      <c r="G73" s="499"/>
      <c r="H73" s="499"/>
      <c r="I73" s="499"/>
      <c r="J73" s="104" t="s">
        <v>184</v>
      </c>
      <c r="K73" s="133">
        <v>6</v>
      </c>
      <c r="L73" s="133">
        <v>6</v>
      </c>
      <c r="M73" s="133">
        <v>6</v>
      </c>
      <c r="N73" s="133">
        <v>6</v>
      </c>
      <c r="O73" s="133">
        <v>0</v>
      </c>
      <c r="P73" s="177">
        <f t="shared" si="17"/>
        <v>24</v>
      </c>
      <c r="Q73" s="140">
        <v>0.12</v>
      </c>
      <c r="R73" s="140">
        <v>0.12</v>
      </c>
      <c r="S73" s="140">
        <v>0.12</v>
      </c>
      <c r="T73" s="140">
        <v>0.12</v>
      </c>
      <c r="U73" s="140">
        <v>0.12</v>
      </c>
      <c r="V73" s="133">
        <f t="shared" si="33"/>
        <v>0.72</v>
      </c>
      <c r="W73" s="133">
        <f t="shared" si="34"/>
        <v>0.72</v>
      </c>
      <c r="X73" s="133">
        <f t="shared" si="35"/>
        <v>0.72</v>
      </c>
      <c r="Y73" s="133">
        <f t="shared" si="36"/>
        <v>0.72</v>
      </c>
      <c r="Z73" s="133">
        <f t="shared" si="37"/>
        <v>0</v>
      </c>
      <c r="AA73" s="133">
        <f t="shared" si="32"/>
        <v>2.88</v>
      </c>
      <c r="AB73" s="157"/>
      <c r="AC73" s="166" t="s">
        <v>1022</v>
      </c>
      <c r="AD73" s="167" t="s">
        <v>0</v>
      </c>
      <c r="AE73" s="168" t="s">
        <v>11</v>
      </c>
      <c r="AF73" s="169"/>
      <c r="AG73" s="170">
        <f t="shared" si="38"/>
        <v>0</v>
      </c>
      <c r="AH73" s="170">
        <v>0</v>
      </c>
      <c r="AI73" s="170">
        <f t="shared" si="39"/>
        <v>0</v>
      </c>
      <c r="AJ73" s="170">
        <v>0</v>
      </c>
      <c r="AK73" s="171">
        <f t="shared" si="40"/>
        <v>0</v>
      </c>
      <c r="AM73" s="166" t="s">
        <v>1024</v>
      </c>
      <c r="AO73" s="158">
        <v>0.14000000000000001</v>
      </c>
      <c r="BB73" s="172" t="s">
        <v>165</v>
      </c>
      <c r="BD73" s="172" t="s">
        <v>171</v>
      </c>
      <c r="BE73" s="172" t="s">
        <v>42</v>
      </c>
      <c r="BI73" s="172" t="s">
        <v>148</v>
      </c>
      <c r="BO73" s="173">
        <f t="shared" si="41"/>
        <v>0</v>
      </c>
      <c r="BP73" s="173">
        <f t="shared" si="42"/>
        <v>0.72</v>
      </c>
      <c r="BQ73" s="173">
        <f t="shared" si="43"/>
        <v>0</v>
      </c>
      <c r="BR73" s="173">
        <f t="shared" si="44"/>
        <v>0</v>
      </c>
      <c r="BS73" s="173">
        <f t="shared" si="45"/>
        <v>0</v>
      </c>
      <c r="BT73" s="172" t="s">
        <v>42</v>
      </c>
      <c r="BU73" s="174">
        <f t="shared" si="46"/>
        <v>0.72</v>
      </c>
      <c r="BV73" s="172" t="s">
        <v>153</v>
      </c>
      <c r="BW73" s="172" t="s">
        <v>575</v>
      </c>
    </row>
    <row r="74" spans="2:75" s="1" customFormat="1" ht="22.5" customHeight="1">
      <c r="B74" s="73"/>
      <c r="C74" s="93" t="s">
        <v>629</v>
      </c>
      <c r="D74" s="93" t="s">
        <v>149</v>
      </c>
      <c r="E74" s="94" t="s">
        <v>697</v>
      </c>
      <c r="F74" s="498" t="s">
        <v>698</v>
      </c>
      <c r="G74" s="498"/>
      <c r="H74" s="498"/>
      <c r="I74" s="498"/>
      <c r="J74" s="95" t="s">
        <v>194</v>
      </c>
      <c r="K74" s="96">
        <v>100</v>
      </c>
      <c r="L74" s="128">
        <v>100</v>
      </c>
      <c r="M74" s="128">
        <v>100</v>
      </c>
      <c r="N74" s="128">
        <v>100</v>
      </c>
      <c r="O74" s="128">
        <v>0</v>
      </c>
      <c r="P74" s="165">
        <f t="shared" si="17"/>
        <v>400</v>
      </c>
      <c r="Q74" s="127">
        <v>0.81</v>
      </c>
      <c r="R74" s="127">
        <v>0.81</v>
      </c>
      <c r="S74" s="127">
        <v>0.81</v>
      </c>
      <c r="T74" s="127">
        <v>0.81</v>
      </c>
      <c r="U74" s="127">
        <v>0.81</v>
      </c>
      <c r="V74" s="128">
        <f t="shared" si="33"/>
        <v>81</v>
      </c>
      <c r="W74" s="128">
        <f t="shared" si="34"/>
        <v>81</v>
      </c>
      <c r="X74" s="128">
        <f t="shared" si="35"/>
        <v>81</v>
      </c>
      <c r="Y74" s="128">
        <f t="shared" si="36"/>
        <v>81</v>
      </c>
      <c r="Z74" s="128">
        <f t="shared" si="37"/>
        <v>0</v>
      </c>
      <c r="AA74" s="128">
        <f t="shared" si="32"/>
        <v>324</v>
      </c>
      <c r="AB74" s="74"/>
      <c r="AC74" s="113"/>
      <c r="AD74" s="98" t="s">
        <v>0</v>
      </c>
      <c r="AE74" s="18" t="s">
        <v>11</v>
      </c>
      <c r="AF74" s="16"/>
      <c r="AG74" s="99">
        <f t="shared" si="38"/>
        <v>0</v>
      </c>
      <c r="AH74" s="99">
        <v>0</v>
      </c>
      <c r="AI74" s="99">
        <f t="shared" si="39"/>
        <v>0</v>
      </c>
      <c r="AJ74" s="99">
        <v>0</v>
      </c>
      <c r="AK74" s="100">
        <f t="shared" si="40"/>
        <v>0</v>
      </c>
      <c r="AM74" s="113"/>
      <c r="AO74" s="1">
        <v>0.91</v>
      </c>
      <c r="BB74" s="9" t="s">
        <v>153</v>
      </c>
      <c r="BD74" s="9" t="s">
        <v>149</v>
      </c>
      <c r="BE74" s="9" t="s">
        <v>42</v>
      </c>
      <c r="BI74" s="9" t="s">
        <v>148</v>
      </c>
      <c r="BO74" s="72">
        <f t="shared" si="41"/>
        <v>0</v>
      </c>
      <c r="BP74" s="72">
        <f t="shared" si="42"/>
        <v>81</v>
      </c>
      <c r="BQ74" s="72">
        <f t="shared" si="43"/>
        <v>0</v>
      </c>
      <c r="BR74" s="72">
        <f t="shared" si="44"/>
        <v>0</v>
      </c>
      <c r="BS74" s="72">
        <f t="shared" si="45"/>
        <v>0</v>
      </c>
      <c r="BT74" s="9" t="s">
        <v>42</v>
      </c>
      <c r="BU74" s="101">
        <f t="shared" si="46"/>
        <v>81</v>
      </c>
      <c r="BV74" s="9" t="s">
        <v>153</v>
      </c>
      <c r="BW74" s="9" t="s">
        <v>577</v>
      </c>
    </row>
    <row r="75" spans="2:75" s="158" customFormat="1" ht="22.5" customHeight="1">
      <c r="B75" s="156"/>
      <c r="C75" s="102" t="s">
        <v>699</v>
      </c>
      <c r="D75" s="102" t="s">
        <v>171</v>
      </c>
      <c r="E75" s="103" t="s">
        <v>700</v>
      </c>
      <c r="F75" s="499" t="s">
        <v>701</v>
      </c>
      <c r="G75" s="499"/>
      <c r="H75" s="499"/>
      <c r="I75" s="499"/>
      <c r="J75" s="104" t="s">
        <v>194</v>
      </c>
      <c r="K75" s="133">
        <v>100</v>
      </c>
      <c r="L75" s="133">
        <v>100</v>
      </c>
      <c r="M75" s="133">
        <v>100</v>
      </c>
      <c r="N75" s="133">
        <v>100</v>
      </c>
      <c r="O75" s="133">
        <v>0</v>
      </c>
      <c r="P75" s="177">
        <f t="shared" si="17"/>
        <v>400</v>
      </c>
      <c r="Q75" s="140">
        <v>0.18</v>
      </c>
      <c r="R75" s="140">
        <v>0.18</v>
      </c>
      <c r="S75" s="140">
        <v>0.18</v>
      </c>
      <c r="T75" s="140">
        <v>0.18</v>
      </c>
      <c r="U75" s="140">
        <v>0.18</v>
      </c>
      <c r="V75" s="133">
        <f t="shared" si="33"/>
        <v>18</v>
      </c>
      <c r="W75" s="133">
        <f t="shared" si="34"/>
        <v>18</v>
      </c>
      <c r="X75" s="133">
        <f t="shared" si="35"/>
        <v>18</v>
      </c>
      <c r="Y75" s="133">
        <f t="shared" si="36"/>
        <v>18</v>
      </c>
      <c r="Z75" s="133">
        <f t="shared" si="37"/>
        <v>0</v>
      </c>
      <c r="AA75" s="133">
        <f t="shared" si="32"/>
        <v>72</v>
      </c>
      <c r="AB75" s="157"/>
      <c r="AC75" s="166" t="s">
        <v>1026</v>
      </c>
      <c r="AD75" s="167" t="s">
        <v>0</v>
      </c>
      <c r="AE75" s="168" t="s">
        <v>11</v>
      </c>
      <c r="AF75" s="169"/>
      <c r="AG75" s="170">
        <f t="shared" si="38"/>
        <v>0</v>
      </c>
      <c r="AH75" s="170">
        <v>0</v>
      </c>
      <c r="AI75" s="170">
        <f t="shared" si="39"/>
        <v>0</v>
      </c>
      <c r="AJ75" s="170">
        <v>0</v>
      </c>
      <c r="AK75" s="171">
        <f t="shared" si="40"/>
        <v>0</v>
      </c>
      <c r="AM75" s="166" t="s">
        <v>1027</v>
      </c>
      <c r="AO75" s="158">
        <v>0.21</v>
      </c>
      <c r="BB75" s="172" t="s">
        <v>165</v>
      </c>
      <c r="BD75" s="172" t="s">
        <v>171</v>
      </c>
      <c r="BE75" s="172" t="s">
        <v>42</v>
      </c>
      <c r="BI75" s="172" t="s">
        <v>148</v>
      </c>
      <c r="BO75" s="173">
        <f t="shared" si="41"/>
        <v>0</v>
      </c>
      <c r="BP75" s="173">
        <f t="shared" si="42"/>
        <v>18</v>
      </c>
      <c r="BQ75" s="173">
        <f t="shared" si="43"/>
        <v>0</v>
      </c>
      <c r="BR75" s="173">
        <f t="shared" si="44"/>
        <v>0</v>
      </c>
      <c r="BS75" s="173">
        <f t="shared" si="45"/>
        <v>0</v>
      </c>
      <c r="BT75" s="172" t="s">
        <v>42</v>
      </c>
      <c r="BU75" s="174">
        <f t="shared" si="46"/>
        <v>18</v>
      </c>
      <c r="BV75" s="172" t="s">
        <v>153</v>
      </c>
      <c r="BW75" s="172" t="s">
        <v>702</v>
      </c>
    </row>
    <row r="76" spans="2:75" s="1" customFormat="1" ht="22.5" customHeight="1">
      <c r="B76" s="73"/>
      <c r="C76" s="93" t="s">
        <v>632</v>
      </c>
      <c r="D76" s="93" t="s">
        <v>149</v>
      </c>
      <c r="E76" s="94" t="s">
        <v>703</v>
      </c>
      <c r="F76" s="498" t="s">
        <v>704</v>
      </c>
      <c r="G76" s="498"/>
      <c r="H76" s="498"/>
      <c r="I76" s="498"/>
      <c r="J76" s="95" t="s">
        <v>184</v>
      </c>
      <c r="K76" s="96">
        <v>138</v>
      </c>
      <c r="L76" s="128">
        <v>138</v>
      </c>
      <c r="M76" s="128">
        <v>170</v>
      </c>
      <c r="N76" s="128">
        <v>170</v>
      </c>
      <c r="O76" s="128">
        <v>90</v>
      </c>
      <c r="P76" s="165">
        <f t="shared" si="17"/>
        <v>706</v>
      </c>
      <c r="Q76" s="127">
        <v>0.62</v>
      </c>
      <c r="R76" s="127">
        <v>0.62</v>
      </c>
      <c r="S76" s="127">
        <v>0.62</v>
      </c>
      <c r="T76" s="127">
        <v>0.62</v>
      </c>
      <c r="U76" s="127">
        <v>0.62</v>
      </c>
      <c r="V76" s="128">
        <f t="shared" si="33"/>
        <v>85.56</v>
      </c>
      <c r="W76" s="128">
        <f t="shared" si="34"/>
        <v>85.56</v>
      </c>
      <c r="X76" s="128">
        <f t="shared" si="35"/>
        <v>105.4</v>
      </c>
      <c r="Y76" s="128">
        <f t="shared" si="36"/>
        <v>105.4</v>
      </c>
      <c r="Z76" s="128">
        <f t="shared" si="37"/>
        <v>55.8</v>
      </c>
      <c r="AA76" s="128">
        <f t="shared" si="32"/>
        <v>437.71999999999997</v>
      </c>
      <c r="AB76" s="74"/>
      <c r="AC76" s="113"/>
      <c r="AD76" s="98" t="s">
        <v>0</v>
      </c>
      <c r="AE76" s="18" t="s">
        <v>11</v>
      </c>
      <c r="AF76" s="16"/>
      <c r="AG76" s="99">
        <f t="shared" si="38"/>
        <v>0</v>
      </c>
      <c r="AH76" s="99">
        <v>0</v>
      </c>
      <c r="AI76" s="99">
        <f t="shared" si="39"/>
        <v>0</v>
      </c>
      <c r="AJ76" s="99">
        <v>0</v>
      </c>
      <c r="AK76" s="100">
        <f t="shared" si="40"/>
        <v>0</v>
      </c>
      <c r="AM76" s="113"/>
      <c r="AO76" s="1">
        <v>0.7</v>
      </c>
      <c r="BB76" s="9" t="s">
        <v>153</v>
      </c>
      <c r="BD76" s="9" t="s">
        <v>149</v>
      </c>
      <c r="BE76" s="9" t="s">
        <v>42</v>
      </c>
      <c r="BI76" s="9" t="s">
        <v>148</v>
      </c>
      <c r="BO76" s="72">
        <f t="shared" si="41"/>
        <v>0</v>
      </c>
      <c r="BP76" s="72">
        <f t="shared" si="42"/>
        <v>85.56</v>
      </c>
      <c r="BQ76" s="72">
        <f t="shared" si="43"/>
        <v>0</v>
      </c>
      <c r="BR76" s="72">
        <f t="shared" si="44"/>
        <v>0</v>
      </c>
      <c r="BS76" s="72">
        <f t="shared" si="45"/>
        <v>0</v>
      </c>
      <c r="BT76" s="9" t="s">
        <v>42</v>
      </c>
      <c r="BU76" s="101">
        <f t="shared" si="46"/>
        <v>85.56</v>
      </c>
      <c r="BV76" s="9" t="s">
        <v>153</v>
      </c>
      <c r="BW76" s="9" t="s">
        <v>705</v>
      </c>
    </row>
    <row r="77" spans="2:75" s="158" customFormat="1" ht="31.5" customHeight="1">
      <c r="B77" s="156"/>
      <c r="C77" s="102" t="s">
        <v>706</v>
      </c>
      <c r="D77" s="102" t="s">
        <v>171</v>
      </c>
      <c r="E77" s="103" t="s">
        <v>707</v>
      </c>
      <c r="F77" s="499" t="s">
        <v>708</v>
      </c>
      <c r="G77" s="499"/>
      <c r="H77" s="499"/>
      <c r="I77" s="499"/>
      <c r="J77" s="104" t="s">
        <v>184</v>
      </c>
      <c r="K77" s="133">
        <v>138</v>
      </c>
      <c r="L77" s="133">
        <v>138</v>
      </c>
      <c r="M77" s="133">
        <v>170</v>
      </c>
      <c r="N77" s="133">
        <v>170</v>
      </c>
      <c r="O77" s="133">
        <v>90</v>
      </c>
      <c r="P77" s="177">
        <f t="shared" si="17"/>
        <v>706</v>
      </c>
      <c r="Q77" s="140">
        <v>1</v>
      </c>
      <c r="R77" s="140">
        <v>1</v>
      </c>
      <c r="S77" s="140">
        <v>1</v>
      </c>
      <c r="T77" s="140">
        <v>1</v>
      </c>
      <c r="U77" s="140">
        <v>1</v>
      </c>
      <c r="V77" s="133">
        <f t="shared" si="33"/>
        <v>138</v>
      </c>
      <c r="W77" s="133">
        <f t="shared" si="34"/>
        <v>138</v>
      </c>
      <c r="X77" s="133">
        <f t="shared" si="35"/>
        <v>170</v>
      </c>
      <c r="Y77" s="133">
        <f t="shared" si="36"/>
        <v>170</v>
      </c>
      <c r="Z77" s="133">
        <f t="shared" si="37"/>
        <v>90</v>
      </c>
      <c r="AA77" s="133">
        <f t="shared" si="32"/>
        <v>706</v>
      </c>
      <c r="AB77" s="157"/>
      <c r="AC77" s="166" t="s">
        <v>1022</v>
      </c>
      <c r="AD77" s="167" t="s">
        <v>0</v>
      </c>
      <c r="AE77" s="168" t="s">
        <v>11</v>
      </c>
      <c r="AF77" s="169"/>
      <c r="AG77" s="170">
        <f t="shared" si="38"/>
        <v>0</v>
      </c>
      <c r="AH77" s="170">
        <v>0</v>
      </c>
      <c r="AI77" s="170">
        <f t="shared" si="39"/>
        <v>0</v>
      </c>
      <c r="AJ77" s="170">
        <v>0</v>
      </c>
      <c r="AK77" s="171">
        <f t="shared" si="40"/>
        <v>0</v>
      </c>
      <c r="AM77" s="166" t="s">
        <v>1028</v>
      </c>
      <c r="AO77" s="158">
        <v>1.1200000000000001</v>
      </c>
      <c r="BB77" s="172" t="s">
        <v>165</v>
      </c>
      <c r="BD77" s="172" t="s">
        <v>171</v>
      </c>
      <c r="BE77" s="172" t="s">
        <v>42</v>
      </c>
      <c r="BI77" s="172" t="s">
        <v>148</v>
      </c>
      <c r="BO77" s="173">
        <f t="shared" si="41"/>
        <v>0</v>
      </c>
      <c r="BP77" s="173">
        <f t="shared" si="42"/>
        <v>138</v>
      </c>
      <c r="BQ77" s="173">
        <f t="shared" si="43"/>
        <v>0</v>
      </c>
      <c r="BR77" s="173">
        <f t="shared" si="44"/>
        <v>0</v>
      </c>
      <c r="BS77" s="173">
        <f t="shared" si="45"/>
        <v>0</v>
      </c>
      <c r="BT77" s="172" t="s">
        <v>42</v>
      </c>
      <c r="BU77" s="174">
        <f t="shared" si="46"/>
        <v>138</v>
      </c>
      <c r="BV77" s="172" t="s">
        <v>153</v>
      </c>
      <c r="BW77" s="172" t="s">
        <v>709</v>
      </c>
    </row>
    <row r="78" spans="2:75" s="158" customFormat="1" ht="31.5" customHeight="1">
      <c r="B78" s="156"/>
      <c r="C78" s="102" t="s">
        <v>635</v>
      </c>
      <c r="D78" s="102" t="s">
        <v>171</v>
      </c>
      <c r="E78" s="103" t="s">
        <v>710</v>
      </c>
      <c r="F78" s="499" t="s">
        <v>711</v>
      </c>
      <c r="G78" s="499"/>
      <c r="H78" s="499"/>
      <c r="I78" s="499"/>
      <c r="J78" s="104" t="s">
        <v>184</v>
      </c>
      <c r="K78" s="133">
        <v>138</v>
      </c>
      <c r="L78" s="133">
        <v>138</v>
      </c>
      <c r="M78" s="133">
        <v>170</v>
      </c>
      <c r="N78" s="133">
        <v>170</v>
      </c>
      <c r="O78" s="133">
        <v>90</v>
      </c>
      <c r="P78" s="177">
        <f t="shared" si="17"/>
        <v>706</v>
      </c>
      <c r="Q78" s="140">
        <v>0.89</v>
      </c>
      <c r="R78" s="140">
        <v>0.89</v>
      </c>
      <c r="S78" s="140">
        <v>0.89</v>
      </c>
      <c r="T78" s="140">
        <v>0.89</v>
      </c>
      <c r="U78" s="140">
        <v>0.89</v>
      </c>
      <c r="V78" s="133">
        <f t="shared" si="33"/>
        <v>122.82</v>
      </c>
      <c r="W78" s="133">
        <f t="shared" si="34"/>
        <v>122.82</v>
      </c>
      <c r="X78" s="133">
        <f t="shared" si="35"/>
        <v>151.30000000000001</v>
      </c>
      <c r="Y78" s="133">
        <f t="shared" si="36"/>
        <v>151.30000000000001</v>
      </c>
      <c r="Z78" s="133">
        <f t="shared" si="37"/>
        <v>80.099999999999994</v>
      </c>
      <c r="AA78" s="133">
        <f t="shared" si="32"/>
        <v>628.34</v>
      </c>
      <c r="AB78" s="157"/>
      <c r="AC78" s="166" t="s">
        <v>1022</v>
      </c>
      <c r="AD78" s="167" t="s">
        <v>0</v>
      </c>
      <c r="AE78" s="168" t="s">
        <v>11</v>
      </c>
      <c r="AF78" s="169"/>
      <c r="AG78" s="170">
        <f t="shared" si="38"/>
        <v>0</v>
      </c>
      <c r="AH78" s="170">
        <v>0</v>
      </c>
      <c r="AI78" s="170">
        <f t="shared" si="39"/>
        <v>0</v>
      </c>
      <c r="AJ78" s="170">
        <v>0</v>
      </c>
      <c r="AK78" s="171">
        <f t="shared" si="40"/>
        <v>0</v>
      </c>
      <c r="AM78" s="166" t="s">
        <v>1029</v>
      </c>
      <c r="AO78" s="158">
        <v>1</v>
      </c>
      <c r="BB78" s="172" t="s">
        <v>165</v>
      </c>
      <c r="BD78" s="172" t="s">
        <v>171</v>
      </c>
      <c r="BE78" s="172" t="s">
        <v>42</v>
      </c>
      <c r="BI78" s="172" t="s">
        <v>148</v>
      </c>
      <c r="BO78" s="173">
        <f t="shared" si="41"/>
        <v>0</v>
      </c>
      <c r="BP78" s="173">
        <f t="shared" si="42"/>
        <v>122.82</v>
      </c>
      <c r="BQ78" s="173">
        <f t="shared" si="43"/>
        <v>0</v>
      </c>
      <c r="BR78" s="173">
        <f t="shared" si="44"/>
        <v>0</v>
      </c>
      <c r="BS78" s="173">
        <f t="shared" si="45"/>
        <v>0</v>
      </c>
      <c r="BT78" s="172" t="s">
        <v>42</v>
      </c>
      <c r="BU78" s="174">
        <f t="shared" si="46"/>
        <v>122.82</v>
      </c>
      <c r="BV78" s="172" t="s">
        <v>153</v>
      </c>
      <c r="BW78" s="172" t="s">
        <v>712</v>
      </c>
    </row>
    <row r="79" spans="2:75" s="1" customFormat="1" ht="22.5" customHeight="1">
      <c r="B79" s="73"/>
      <c r="C79" s="93" t="s">
        <v>713</v>
      </c>
      <c r="D79" s="93" t="s">
        <v>149</v>
      </c>
      <c r="E79" s="94" t="s">
        <v>714</v>
      </c>
      <c r="F79" s="498" t="s">
        <v>715</v>
      </c>
      <c r="G79" s="498"/>
      <c r="H79" s="498"/>
      <c r="I79" s="498"/>
      <c r="J79" s="95" t="s">
        <v>184</v>
      </c>
      <c r="K79" s="96">
        <v>48</v>
      </c>
      <c r="L79" s="128">
        <v>48</v>
      </c>
      <c r="M79" s="128">
        <v>48</v>
      </c>
      <c r="N79" s="128">
        <v>48</v>
      </c>
      <c r="O79" s="128">
        <v>0</v>
      </c>
      <c r="P79" s="165">
        <f t="shared" si="17"/>
        <v>192</v>
      </c>
      <c r="Q79" s="127">
        <v>2.08</v>
      </c>
      <c r="R79" s="127">
        <v>2.08</v>
      </c>
      <c r="S79" s="127">
        <v>2.08</v>
      </c>
      <c r="T79" s="127">
        <v>2.08</v>
      </c>
      <c r="U79" s="127">
        <v>2.08</v>
      </c>
      <c r="V79" s="128">
        <f t="shared" si="33"/>
        <v>99.84</v>
      </c>
      <c r="W79" s="128">
        <f t="shared" si="34"/>
        <v>99.84</v>
      </c>
      <c r="X79" s="128">
        <f t="shared" si="35"/>
        <v>99.84</v>
      </c>
      <c r="Y79" s="128">
        <f t="shared" si="36"/>
        <v>99.84</v>
      </c>
      <c r="Z79" s="128">
        <f t="shared" si="37"/>
        <v>0</v>
      </c>
      <c r="AA79" s="128">
        <f t="shared" si="32"/>
        <v>399.36</v>
      </c>
      <c r="AB79" s="74"/>
      <c r="AC79" s="113"/>
      <c r="AD79" s="98" t="s">
        <v>0</v>
      </c>
      <c r="AE79" s="18" t="s">
        <v>11</v>
      </c>
      <c r="AF79" s="16"/>
      <c r="AG79" s="99">
        <f t="shared" si="38"/>
        <v>0</v>
      </c>
      <c r="AH79" s="99">
        <v>0</v>
      </c>
      <c r="AI79" s="99">
        <f t="shared" si="39"/>
        <v>0</v>
      </c>
      <c r="AJ79" s="99">
        <v>0</v>
      </c>
      <c r="AK79" s="100">
        <f t="shared" si="40"/>
        <v>0</v>
      </c>
      <c r="AM79" s="113"/>
      <c r="AO79" s="1">
        <v>2.33</v>
      </c>
      <c r="BB79" s="9" t="s">
        <v>153</v>
      </c>
      <c r="BD79" s="9" t="s">
        <v>149</v>
      </c>
      <c r="BE79" s="9" t="s">
        <v>42</v>
      </c>
      <c r="BI79" s="9" t="s">
        <v>148</v>
      </c>
      <c r="BO79" s="72">
        <f t="shared" si="41"/>
        <v>0</v>
      </c>
      <c r="BP79" s="72">
        <f t="shared" si="42"/>
        <v>99.84</v>
      </c>
      <c r="BQ79" s="72">
        <f t="shared" si="43"/>
        <v>0</v>
      </c>
      <c r="BR79" s="72">
        <f t="shared" si="44"/>
        <v>0</v>
      </c>
      <c r="BS79" s="72">
        <f t="shared" si="45"/>
        <v>0</v>
      </c>
      <c r="BT79" s="9" t="s">
        <v>42</v>
      </c>
      <c r="BU79" s="101">
        <f t="shared" si="46"/>
        <v>99.84</v>
      </c>
      <c r="BV79" s="9" t="s">
        <v>153</v>
      </c>
      <c r="BW79" s="9" t="s">
        <v>716</v>
      </c>
    </row>
    <row r="80" spans="2:75" s="158" customFormat="1" ht="31.5" customHeight="1">
      <c r="B80" s="156"/>
      <c r="C80" s="102" t="s">
        <v>638</v>
      </c>
      <c r="D80" s="102" t="s">
        <v>171</v>
      </c>
      <c r="E80" s="103" t="s">
        <v>717</v>
      </c>
      <c r="F80" s="499" t="s">
        <v>718</v>
      </c>
      <c r="G80" s="499"/>
      <c r="H80" s="499"/>
      <c r="I80" s="499"/>
      <c r="J80" s="104" t="s">
        <v>184</v>
      </c>
      <c r="K80" s="133">
        <v>48</v>
      </c>
      <c r="L80" s="133">
        <v>48</v>
      </c>
      <c r="M80" s="133">
        <v>48</v>
      </c>
      <c r="N80" s="133">
        <v>48</v>
      </c>
      <c r="O80" s="133">
        <v>0</v>
      </c>
      <c r="P80" s="177">
        <f t="shared" si="17"/>
        <v>192</v>
      </c>
      <c r="Q80" s="140">
        <v>0.94</v>
      </c>
      <c r="R80" s="140">
        <v>0.94</v>
      </c>
      <c r="S80" s="140">
        <v>0.94</v>
      </c>
      <c r="T80" s="140">
        <v>0.94</v>
      </c>
      <c r="U80" s="140">
        <v>0.94</v>
      </c>
      <c r="V80" s="133">
        <f t="shared" si="33"/>
        <v>45.12</v>
      </c>
      <c r="W80" s="133">
        <f t="shared" si="34"/>
        <v>45.12</v>
      </c>
      <c r="X80" s="133">
        <f t="shared" si="35"/>
        <v>45.12</v>
      </c>
      <c r="Y80" s="133">
        <f t="shared" si="36"/>
        <v>45.12</v>
      </c>
      <c r="Z80" s="133">
        <f t="shared" si="37"/>
        <v>0</v>
      </c>
      <c r="AA80" s="133">
        <f t="shared" si="32"/>
        <v>180.48</v>
      </c>
      <c r="AB80" s="157"/>
      <c r="AC80" s="166" t="s">
        <v>1022</v>
      </c>
      <c r="AD80" s="167" t="s">
        <v>0</v>
      </c>
      <c r="AE80" s="168" t="s">
        <v>11</v>
      </c>
      <c r="AF80" s="169"/>
      <c r="AG80" s="170">
        <f t="shared" si="38"/>
        <v>0</v>
      </c>
      <c r="AH80" s="170">
        <v>0</v>
      </c>
      <c r="AI80" s="170">
        <f t="shared" si="39"/>
        <v>0</v>
      </c>
      <c r="AJ80" s="170">
        <v>0</v>
      </c>
      <c r="AK80" s="171">
        <f t="shared" si="40"/>
        <v>0</v>
      </c>
      <c r="AM80" s="166" t="s">
        <v>1030</v>
      </c>
      <c r="AO80" s="158">
        <v>1.05</v>
      </c>
      <c r="BB80" s="172" t="s">
        <v>165</v>
      </c>
      <c r="BD80" s="172" t="s">
        <v>171</v>
      </c>
      <c r="BE80" s="172" t="s">
        <v>42</v>
      </c>
      <c r="BI80" s="172" t="s">
        <v>148</v>
      </c>
      <c r="BO80" s="173">
        <f t="shared" si="41"/>
        <v>0</v>
      </c>
      <c r="BP80" s="173">
        <f t="shared" si="42"/>
        <v>45.12</v>
      </c>
      <c r="BQ80" s="173">
        <f t="shared" si="43"/>
        <v>0</v>
      </c>
      <c r="BR80" s="173">
        <f t="shared" si="44"/>
        <v>0</v>
      </c>
      <c r="BS80" s="173">
        <f t="shared" si="45"/>
        <v>0</v>
      </c>
      <c r="BT80" s="172" t="s">
        <v>42</v>
      </c>
      <c r="BU80" s="174">
        <f t="shared" si="46"/>
        <v>45.12</v>
      </c>
      <c r="BV80" s="172" t="s">
        <v>153</v>
      </c>
      <c r="BW80" s="172" t="s">
        <v>719</v>
      </c>
    </row>
    <row r="81" spans="2:75" s="1" customFormat="1" ht="31.5" customHeight="1">
      <c r="B81" s="73"/>
      <c r="C81" s="93" t="s">
        <v>720</v>
      </c>
      <c r="D81" s="93" t="s">
        <v>149</v>
      </c>
      <c r="E81" s="94" t="s">
        <v>721</v>
      </c>
      <c r="F81" s="498" t="s">
        <v>722</v>
      </c>
      <c r="G81" s="498"/>
      <c r="H81" s="498"/>
      <c r="I81" s="498"/>
      <c r="J81" s="95" t="s">
        <v>723</v>
      </c>
      <c r="K81" s="96">
        <v>1</v>
      </c>
      <c r="L81" s="128">
        <v>1</v>
      </c>
      <c r="M81" s="128">
        <v>1</v>
      </c>
      <c r="N81" s="128">
        <v>1</v>
      </c>
      <c r="O81" s="128">
        <v>1</v>
      </c>
      <c r="P81" s="165">
        <f t="shared" si="17"/>
        <v>5</v>
      </c>
      <c r="Q81" s="127">
        <v>9.42</v>
      </c>
      <c r="R81" s="127">
        <v>9.42</v>
      </c>
      <c r="S81" s="127">
        <v>9.42</v>
      </c>
      <c r="T81" s="127">
        <v>9.42</v>
      </c>
      <c r="U81" s="127">
        <v>9.42</v>
      </c>
      <c r="V81" s="128">
        <f t="shared" si="33"/>
        <v>9.42</v>
      </c>
      <c r="W81" s="128">
        <f t="shared" si="34"/>
        <v>9.42</v>
      </c>
      <c r="X81" s="128">
        <f t="shared" si="35"/>
        <v>9.42</v>
      </c>
      <c r="Y81" s="128">
        <f t="shared" si="36"/>
        <v>9.42</v>
      </c>
      <c r="Z81" s="128">
        <f t="shared" si="37"/>
        <v>9.42</v>
      </c>
      <c r="AA81" s="128">
        <f t="shared" si="32"/>
        <v>47.1</v>
      </c>
      <c r="AB81" s="74"/>
      <c r="AC81" s="113"/>
      <c r="AD81" s="98" t="s">
        <v>0</v>
      </c>
      <c r="AE81" s="18" t="s">
        <v>11</v>
      </c>
      <c r="AF81" s="16"/>
      <c r="AG81" s="99">
        <f t="shared" si="38"/>
        <v>0</v>
      </c>
      <c r="AH81" s="99">
        <v>0</v>
      </c>
      <c r="AI81" s="99">
        <f t="shared" si="39"/>
        <v>0</v>
      </c>
      <c r="AJ81" s="99">
        <v>0</v>
      </c>
      <c r="AK81" s="100">
        <f t="shared" si="40"/>
        <v>0</v>
      </c>
      <c r="AM81" s="113"/>
      <c r="AO81" s="1">
        <v>10.55</v>
      </c>
      <c r="BB81" s="9" t="s">
        <v>153</v>
      </c>
      <c r="BD81" s="9" t="s">
        <v>149</v>
      </c>
      <c r="BE81" s="9" t="s">
        <v>42</v>
      </c>
      <c r="BI81" s="9" t="s">
        <v>148</v>
      </c>
      <c r="BO81" s="72">
        <f t="shared" si="41"/>
        <v>0</v>
      </c>
      <c r="BP81" s="72">
        <f t="shared" si="42"/>
        <v>9.42</v>
      </c>
      <c r="BQ81" s="72">
        <f t="shared" si="43"/>
        <v>0</v>
      </c>
      <c r="BR81" s="72">
        <f t="shared" si="44"/>
        <v>0</v>
      </c>
      <c r="BS81" s="72">
        <f t="shared" si="45"/>
        <v>0</v>
      </c>
      <c r="BT81" s="9" t="s">
        <v>42</v>
      </c>
      <c r="BU81" s="101">
        <f t="shared" si="46"/>
        <v>9.42</v>
      </c>
      <c r="BV81" s="9" t="s">
        <v>153</v>
      </c>
      <c r="BW81" s="9" t="s">
        <v>724</v>
      </c>
    </row>
    <row r="82" spans="2:75" s="1" customFormat="1" ht="22.5" customHeight="1">
      <c r="B82" s="73"/>
      <c r="C82" s="93" t="s">
        <v>641</v>
      </c>
      <c r="D82" s="93" t="s">
        <v>149</v>
      </c>
      <c r="E82" s="94" t="s">
        <v>725</v>
      </c>
      <c r="F82" s="498" t="s">
        <v>726</v>
      </c>
      <c r="G82" s="498"/>
      <c r="H82" s="498"/>
      <c r="I82" s="498"/>
      <c r="J82" s="95" t="s">
        <v>184</v>
      </c>
      <c r="K82" s="96">
        <v>6</v>
      </c>
      <c r="L82" s="128">
        <v>6</v>
      </c>
      <c r="M82" s="128">
        <v>6</v>
      </c>
      <c r="N82" s="128">
        <v>6</v>
      </c>
      <c r="O82" s="128">
        <v>6</v>
      </c>
      <c r="P82" s="165">
        <f t="shared" si="17"/>
        <v>30</v>
      </c>
      <c r="Q82" s="127">
        <v>2.08</v>
      </c>
      <c r="R82" s="127">
        <v>2.08</v>
      </c>
      <c r="S82" s="127">
        <v>2.08</v>
      </c>
      <c r="T82" s="127">
        <v>2.08</v>
      </c>
      <c r="U82" s="127">
        <v>2.08</v>
      </c>
      <c r="V82" s="128">
        <f t="shared" si="33"/>
        <v>12.48</v>
      </c>
      <c r="W82" s="128">
        <f t="shared" si="34"/>
        <v>12.48</v>
      </c>
      <c r="X82" s="128">
        <f t="shared" si="35"/>
        <v>12.48</v>
      </c>
      <c r="Y82" s="128">
        <f t="shared" si="36"/>
        <v>12.48</v>
      </c>
      <c r="Z82" s="128">
        <f t="shared" si="37"/>
        <v>12.48</v>
      </c>
      <c r="AA82" s="128">
        <f t="shared" si="32"/>
        <v>62.400000000000006</v>
      </c>
      <c r="AB82" s="74"/>
      <c r="AC82" s="113"/>
      <c r="AD82" s="98" t="s">
        <v>0</v>
      </c>
      <c r="AE82" s="18" t="s">
        <v>11</v>
      </c>
      <c r="AF82" s="16"/>
      <c r="AG82" s="99">
        <f t="shared" si="38"/>
        <v>0</v>
      </c>
      <c r="AH82" s="99">
        <v>0</v>
      </c>
      <c r="AI82" s="99">
        <f t="shared" si="39"/>
        <v>0</v>
      </c>
      <c r="AJ82" s="99">
        <v>0</v>
      </c>
      <c r="AK82" s="100">
        <f t="shared" si="40"/>
        <v>0</v>
      </c>
      <c r="AM82" s="113"/>
      <c r="AO82" s="1">
        <v>2.33</v>
      </c>
      <c r="BB82" s="9" t="s">
        <v>153</v>
      </c>
      <c r="BD82" s="9" t="s">
        <v>149</v>
      </c>
      <c r="BE82" s="9" t="s">
        <v>42</v>
      </c>
      <c r="BI82" s="9" t="s">
        <v>148</v>
      </c>
      <c r="BO82" s="72">
        <f t="shared" si="41"/>
        <v>0</v>
      </c>
      <c r="BP82" s="72">
        <f t="shared" si="42"/>
        <v>12.48</v>
      </c>
      <c r="BQ82" s="72">
        <f t="shared" si="43"/>
        <v>0</v>
      </c>
      <c r="BR82" s="72">
        <f t="shared" si="44"/>
        <v>0</v>
      </c>
      <c r="BS82" s="72">
        <f t="shared" si="45"/>
        <v>0</v>
      </c>
      <c r="BT82" s="9" t="s">
        <v>42</v>
      </c>
      <c r="BU82" s="101">
        <f t="shared" si="46"/>
        <v>12.48</v>
      </c>
      <c r="BV82" s="9" t="s">
        <v>153</v>
      </c>
      <c r="BW82" s="9" t="s">
        <v>727</v>
      </c>
    </row>
    <row r="83" spans="2:75" s="158" customFormat="1" ht="31.5" customHeight="1">
      <c r="B83" s="156"/>
      <c r="C83" s="102" t="s">
        <v>728</v>
      </c>
      <c r="D83" s="102" t="s">
        <v>171</v>
      </c>
      <c r="E83" s="103" t="s">
        <v>729</v>
      </c>
      <c r="F83" s="499" t="s">
        <v>730</v>
      </c>
      <c r="G83" s="499"/>
      <c r="H83" s="499"/>
      <c r="I83" s="499"/>
      <c r="J83" s="104" t="s">
        <v>184</v>
      </c>
      <c r="K83" s="133">
        <v>6</v>
      </c>
      <c r="L83" s="133">
        <v>6</v>
      </c>
      <c r="M83" s="133">
        <v>6</v>
      </c>
      <c r="N83" s="133">
        <v>6</v>
      </c>
      <c r="O83" s="133">
        <v>6</v>
      </c>
      <c r="P83" s="177">
        <f t="shared" si="17"/>
        <v>30</v>
      </c>
      <c r="Q83" s="140">
        <v>0.66</v>
      </c>
      <c r="R83" s="140">
        <v>0.66</v>
      </c>
      <c r="S83" s="140">
        <v>0.66</v>
      </c>
      <c r="T83" s="140">
        <v>0.66</v>
      </c>
      <c r="U83" s="140">
        <v>0.66</v>
      </c>
      <c r="V83" s="133">
        <f t="shared" si="33"/>
        <v>3.96</v>
      </c>
      <c r="W83" s="133">
        <f t="shared" si="34"/>
        <v>3.96</v>
      </c>
      <c r="X83" s="133">
        <f t="shared" si="35"/>
        <v>3.96</v>
      </c>
      <c r="Y83" s="133">
        <f t="shared" si="36"/>
        <v>3.96</v>
      </c>
      <c r="Z83" s="133">
        <f t="shared" si="37"/>
        <v>3.96</v>
      </c>
      <c r="AA83" s="133">
        <f t="shared" si="32"/>
        <v>19.8</v>
      </c>
      <c r="AB83" s="157"/>
      <c r="AC83" s="166" t="s">
        <v>1022</v>
      </c>
      <c r="AD83" s="167" t="s">
        <v>0</v>
      </c>
      <c r="AE83" s="168" t="s">
        <v>11</v>
      </c>
      <c r="AF83" s="169"/>
      <c r="AG83" s="170">
        <f t="shared" si="38"/>
        <v>0</v>
      </c>
      <c r="AH83" s="170">
        <v>0</v>
      </c>
      <c r="AI83" s="170">
        <f t="shared" si="39"/>
        <v>0</v>
      </c>
      <c r="AJ83" s="170">
        <v>0</v>
      </c>
      <c r="AK83" s="171">
        <f t="shared" si="40"/>
        <v>0</v>
      </c>
      <c r="AM83" s="166" t="s">
        <v>1031</v>
      </c>
      <c r="AO83" s="158">
        <v>0.74</v>
      </c>
      <c r="BB83" s="172" t="s">
        <v>165</v>
      </c>
      <c r="BD83" s="172" t="s">
        <v>171</v>
      </c>
      <c r="BE83" s="172" t="s">
        <v>42</v>
      </c>
      <c r="BI83" s="172" t="s">
        <v>148</v>
      </c>
      <c r="BO83" s="173">
        <f t="shared" si="41"/>
        <v>0</v>
      </c>
      <c r="BP83" s="173">
        <f t="shared" si="42"/>
        <v>3.96</v>
      </c>
      <c r="BQ83" s="173">
        <f t="shared" si="43"/>
        <v>0</v>
      </c>
      <c r="BR83" s="173">
        <f t="shared" si="44"/>
        <v>0</v>
      </c>
      <c r="BS83" s="173">
        <f t="shared" si="45"/>
        <v>0</v>
      </c>
      <c r="BT83" s="172" t="s">
        <v>42</v>
      </c>
      <c r="BU83" s="174">
        <f t="shared" si="46"/>
        <v>3.96</v>
      </c>
      <c r="BV83" s="172" t="s">
        <v>153</v>
      </c>
      <c r="BW83" s="172" t="s">
        <v>731</v>
      </c>
    </row>
    <row r="84" spans="2:75" s="1" customFormat="1" ht="22.5" customHeight="1">
      <c r="B84" s="73"/>
      <c r="C84" s="93" t="s">
        <v>644</v>
      </c>
      <c r="D84" s="93" t="s">
        <v>149</v>
      </c>
      <c r="E84" s="94" t="s">
        <v>732</v>
      </c>
      <c r="F84" s="498" t="s">
        <v>733</v>
      </c>
      <c r="G84" s="498"/>
      <c r="H84" s="498"/>
      <c r="I84" s="498"/>
      <c r="J84" s="95" t="s">
        <v>184</v>
      </c>
      <c r="K84" s="96">
        <v>24</v>
      </c>
      <c r="L84" s="128">
        <v>24</v>
      </c>
      <c r="M84" s="128">
        <v>24</v>
      </c>
      <c r="N84" s="128">
        <v>24</v>
      </c>
      <c r="O84" s="128">
        <v>0</v>
      </c>
      <c r="P84" s="165">
        <f t="shared" si="17"/>
        <v>96</v>
      </c>
      <c r="Q84" s="127">
        <v>18.7</v>
      </c>
      <c r="R84" s="127">
        <v>18.7</v>
      </c>
      <c r="S84" s="127">
        <v>18.7</v>
      </c>
      <c r="T84" s="127">
        <v>18.7</v>
      </c>
      <c r="U84" s="127">
        <v>18.7</v>
      </c>
      <c r="V84" s="128">
        <f t="shared" si="33"/>
        <v>448.8</v>
      </c>
      <c r="W84" s="128">
        <f t="shared" si="34"/>
        <v>448.8</v>
      </c>
      <c r="X84" s="128">
        <f t="shared" si="35"/>
        <v>448.8</v>
      </c>
      <c r="Y84" s="128">
        <f t="shared" si="36"/>
        <v>448.8</v>
      </c>
      <c r="Z84" s="128">
        <f t="shared" si="37"/>
        <v>0</v>
      </c>
      <c r="AA84" s="128">
        <f t="shared" si="32"/>
        <v>1795.2</v>
      </c>
      <c r="AB84" s="74"/>
      <c r="AC84" s="113"/>
      <c r="AD84" s="98" t="s">
        <v>0</v>
      </c>
      <c r="AE84" s="18" t="s">
        <v>11</v>
      </c>
      <c r="AF84" s="16"/>
      <c r="AG84" s="99">
        <f t="shared" si="38"/>
        <v>0</v>
      </c>
      <c r="AH84" s="99">
        <v>0</v>
      </c>
      <c r="AI84" s="99">
        <f t="shared" si="39"/>
        <v>0</v>
      </c>
      <c r="AJ84" s="99">
        <v>0</v>
      </c>
      <c r="AK84" s="100">
        <f t="shared" si="40"/>
        <v>0</v>
      </c>
      <c r="AM84" s="113"/>
      <c r="AO84" s="1">
        <v>20.93</v>
      </c>
      <c r="BB84" s="9" t="s">
        <v>153</v>
      </c>
      <c r="BD84" s="9" t="s">
        <v>149</v>
      </c>
      <c r="BE84" s="9" t="s">
        <v>42</v>
      </c>
      <c r="BI84" s="9" t="s">
        <v>148</v>
      </c>
      <c r="BO84" s="72">
        <f t="shared" si="41"/>
        <v>0</v>
      </c>
      <c r="BP84" s="72">
        <f t="shared" si="42"/>
        <v>448.8</v>
      </c>
      <c r="BQ84" s="72">
        <f t="shared" si="43"/>
        <v>0</v>
      </c>
      <c r="BR84" s="72">
        <f t="shared" si="44"/>
        <v>0</v>
      </c>
      <c r="BS84" s="72">
        <f t="shared" si="45"/>
        <v>0</v>
      </c>
      <c r="BT84" s="9" t="s">
        <v>42</v>
      </c>
      <c r="BU84" s="101">
        <f t="shared" si="46"/>
        <v>448.8</v>
      </c>
      <c r="BV84" s="9" t="s">
        <v>153</v>
      </c>
      <c r="BW84" s="9" t="s">
        <v>734</v>
      </c>
    </row>
    <row r="85" spans="2:75" s="1" customFormat="1" ht="22.5" customHeight="1">
      <c r="B85" s="73"/>
      <c r="C85" s="93" t="s">
        <v>735</v>
      </c>
      <c r="D85" s="93" t="s">
        <v>149</v>
      </c>
      <c r="E85" s="94" t="s">
        <v>736</v>
      </c>
      <c r="F85" s="498" t="s">
        <v>737</v>
      </c>
      <c r="G85" s="498"/>
      <c r="H85" s="498"/>
      <c r="I85" s="498"/>
      <c r="J85" s="95" t="s">
        <v>184</v>
      </c>
      <c r="K85" s="96">
        <v>2</v>
      </c>
      <c r="L85" s="128">
        <v>2</v>
      </c>
      <c r="M85" s="128">
        <v>2</v>
      </c>
      <c r="N85" s="128">
        <v>2</v>
      </c>
      <c r="O85" s="128">
        <v>2</v>
      </c>
      <c r="P85" s="165">
        <f t="shared" si="17"/>
        <v>10</v>
      </c>
      <c r="Q85" s="127">
        <v>6.48</v>
      </c>
      <c r="R85" s="127">
        <v>6.48</v>
      </c>
      <c r="S85" s="127">
        <v>6.48</v>
      </c>
      <c r="T85" s="127">
        <v>6.48</v>
      </c>
      <c r="U85" s="127">
        <v>6.48</v>
      </c>
      <c r="V85" s="128">
        <f t="shared" si="33"/>
        <v>12.96</v>
      </c>
      <c r="W85" s="128">
        <f t="shared" si="34"/>
        <v>12.96</v>
      </c>
      <c r="X85" s="128">
        <f t="shared" si="35"/>
        <v>12.96</v>
      </c>
      <c r="Y85" s="128">
        <f t="shared" si="36"/>
        <v>12.96</v>
      </c>
      <c r="Z85" s="128">
        <f t="shared" si="37"/>
        <v>12.96</v>
      </c>
      <c r="AA85" s="128">
        <f t="shared" si="32"/>
        <v>64.800000000000011</v>
      </c>
      <c r="AB85" s="74"/>
      <c r="AC85" s="113"/>
      <c r="AD85" s="98" t="s">
        <v>0</v>
      </c>
      <c r="AE85" s="18" t="s">
        <v>11</v>
      </c>
      <c r="AF85" s="16"/>
      <c r="AG85" s="99">
        <f t="shared" si="38"/>
        <v>0</v>
      </c>
      <c r="AH85" s="99">
        <v>0</v>
      </c>
      <c r="AI85" s="99">
        <f t="shared" si="39"/>
        <v>0</v>
      </c>
      <c r="AJ85" s="99">
        <v>0</v>
      </c>
      <c r="AK85" s="100">
        <f t="shared" si="40"/>
        <v>0</v>
      </c>
      <c r="AM85" s="113"/>
      <c r="AO85" s="1">
        <v>7.25</v>
      </c>
      <c r="BB85" s="9" t="s">
        <v>153</v>
      </c>
      <c r="BD85" s="9" t="s">
        <v>149</v>
      </c>
      <c r="BE85" s="9" t="s">
        <v>42</v>
      </c>
      <c r="BI85" s="9" t="s">
        <v>148</v>
      </c>
      <c r="BO85" s="72">
        <f t="shared" si="41"/>
        <v>0</v>
      </c>
      <c r="BP85" s="72">
        <f t="shared" si="42"/>
        <v>12.96</v>
      </c>
      <c r="BQ85" s="72">
        <f t="shared" si="43"/>
        <v>0</v>
      </c>
      <c r="BR85" s="72">
        <f t="shared" si="44"/>
        <v>0</v>
      </c>
      <c r="BS85" s="72">
        <f t="shared" si="45"/>
        <v>0</v>
      </c>
      <c r="BT85" s="9" t="s">
        <v>42</v>
      </c>
      <c r="BU85" s="101">
        <f t="shared" si="46"/>
        <v>12.96</v>
      </c>
      <c r="BV85" s="9" t="s">
        <v>153</v>
      </c>
      <c r="BW85" s="9" t="s">
        <v>738</v>
      </c>
    </row>
    <row r="86" spans="2:75" s="158" customFormat="1" ht="22.5" customHeight="1">
      <c r="B86" s="156"/>
      <c r="C86" s="102" t="s">
        <v>647</v>
      </c>
      <c r="D86" s="102" t="s">
        <v>171</v>
      </c>
      <c r="E86" s="103" t="s">
        <v>739</v>
      </c>
      <c r="F86" s="499" t="s">
        <v>740</v>
      </c>
      <c r="G86" s="499"/>
      <c r="H86" s="499"/>
      <c r="I86" s="499"/>
      <c r="J86" s="104" t="s">
        <v>184</v>
      </c>
      <c r="K86" s="133">
        <v>2</v>
      </c>
      <c r="L86" s="133">
        <v>2</v>
      </c>
      <c r="M86" s="133">
        <v>2</v>
      </c>
      <c r="N86" s="133">
        <v>2</v>
      </c>
      <c r="O86" s="133">
        <v>2</v>
      </c>
      <c r="P86" s="177">
        <f t="shared" si="17"/>
        <v>10</v>
      </c>
      <c r="Q86" s="140">
        <v>0.82</v>
      </c>
      <c r="R86" s="140">
        <v>0.82</v>
      </c>
      <c r="S86" s="140">
        <v>0.82</v>
      </c>
      <c r="T86" s="140">
        <v>0.82</v>
      </c>
      <c r="U86" s="140">
        <v>0.82</v>
      </c>
      <c r="V86" s="133">
        <f t="shared" si="33"/>
        <v>1.64</v>
      </c>
      <c r="W86" s="133">
        <f t="shared" si="34"/>
        <v>1.64</v>
      </c>
      <c r="X86" s="133">
        <f t="shared" si="35"/>
        <v>1.64</v>
      </c>
      <c r="Y86" s="133">
        <f t="shared" si="36"/>
        <v>1.64</v>
      </c>
      <c r="Z86" s="133">
        <f t="shared" si="37"/>
        <v>1.64</v>
      </c>
      <c r="AA86" s="133">
        <f t="shared" si="32"/>
        <v>8.1999999999999993</v>
      </c>
      <c r="AB86" s="157"/>
      <c r="AC86" s="166" t="s">
        <v>1022</v>
      </c>
      <c r="AD86" s="167" t="s">
        <v>0</v>
      </c>
      <c r="AE86" s="168" t="s">
        <v>11</v>
      </c>
      <c r="AF86" s="169"/>
      <c r="AG86" s="170">
        <f t="shared" si="38"/>
        <v>0</v>
      </c>
      <c r="AH86" s="170">
        <v>0</v>
      </c>
      <c r="AI86" s="170">
        <f t="shared" si="39"/>
        <v>0</v>
      </c>
      <c r="AJ86" s="170">
        <v>0</v>
      </c>
      <c r="AK86" s="171">
        <f t="shared" si="40"/>
        <v>0</v>
      </c>
      <c r="AM86" s="166" t="s">
        <v>1032</v>
      </c>
      <c r="AO86" s="158">
        <v>0.92</v>
      </c>
      <c r="BB86" s="172" t="s">
        <v>165</v>
      </c>
      <c r="BD86" s="172" t="s">
        <v>171</v>
      </c>
      <c r="BE86" s="172" t="s">
        <v>42</v>
      </c>
      <c r="BI86" s="172" t="s">
        <v>148</v>
      </c>
      <c r="BO86" s="173">
        <f t="shared" si="41"/>
        <v>0</v>
      </c>
      <c r="BP86" s="173">
        <f t="shared" si="42"/>
        <v>1.64</v>
      </c>
      <c r="BQ86" s="173">
        <f t="shared" si="43"/>
        <v>0</v>
      </c>
      <c r="BR86" s="173">
        <f t="shared" si="44"/>
        <v>0</v>
      </c>
      <c r="BS86" s="173">
        <f t="shared" si="45"/>
        <v>0</v>
      </c>
      <c r="BT86" s="172" t="s">
        <v>42</v>
      </c>
      <c r="BU86" s="174">
        <f t="shared" si="46"/>
        <v>1.64</v>
      </c>
      <c r="BV86" s="172" t="s">
        <v>153</v>
      </c>
      <c r="BW86" s="172" t="s">
        <v>741</v>
      </c>
    </row>
    <row r="87" spans="2:75" s="1" customFormat="1" ht="22.5" customHeight="1">
      <c r="B87" s="73"/>
      <c r="C87" s="93" t="s">
        <v>742</v>
      </c>
      <c r="D87" s="93" t="s">
        <v>149</v>
      </c>
      <c r="E87" s="94" t="s">
        <v>743</v>
      </c>
      <c r="F87" s="498" t="s">
        <v>744</v>
      </c>
      <c r="G87" s="498"/>
      <c r="H87" s="498"/>
      <c r="I87" s="498"/>
      <c r="J87" s="95" t="s">
        <v>184</v>
      </c>
      <c r="K87" s="96">
        <v>2</v>
      </c>
      <c r="L87" s="128">
        <v>2</v>
      </c>
      <c r="M87" s="128">
        <v>2</v>
      </c>
      <c r="N87" s="128">
        <v>2</v>
      </c>
      <c r="O87" s="128">
        <v>0</v>
      </c>
      <c r="P87" s="165">
        <f t="shared" si="17"/>
        <v>8</v>
      </c>
      <c r="Q87" s="127">
        <v>9.06</v>
      </c>
      <c r="R87" s="127">
        <v>9.06</v>
      </c>
      <c r="S87" s="127">
        <v>9.06</v>
      </c>
      <c r="T87" s="127">
        <v>9.06</v>
      </c>
      <c r="U87" s="127">
        <v>9.06</v>
      </c>
      <c r="V87" s="128">
        <f t="shared" si="33"/>
        <v>18.12</v>
      </c>
      <c r="W87" s="128">
        <f t="shared" si="34"/>
        <v>18.12</v>
      </c>
      <c r="X87" s="128">
        <f t="shared" si="35"/>
        <v>18.12</v>
      </c>
      <c r="Y87" s="128">
        <f t="shared" si="36"/>
        <v>18.12</v>
      </c>
      <c r="Z87" s="128">
        <f t="shared" si="37"/>
        <v>0</v>
      </c>
      <c r="AA87" s="128">
        <f t="shared" si="32"/>
        <v>72.48</v>
      </c>
      <c r="AB87" s="74"/>
      <c r="AC87" s="113"/>
      <c r="AD87" s="98" t="s">
        <v>0</v>
      </c>
      <c r="AE87" s="18" t="s">
        <v>11</v>
      </c>
      <c r="AF87" s="16"/>
      <c r="AG87" s="99">
        <f t="shared" si="38"/>
        <v>0</v>
      </c>
      <c r="AH87" s="99">
        <v>0</v>
      </c>
      <c r="AI87" s="99">
        <f t="shared" si="39"/>
        <v>0</v>
      </c>
      <c r="AJ87" s="99">
        <v>0</v>
      </c>
      <c r="AK87" s="100">
        <f t="shared" si="40"/>
        <v>0</v>
      </c>
      <c r="AM87" s="113"/>
      <c r="AO87" s="1">
        <v>10.15</v>
      </c>
      <c r="BB87" s="9" t="s">
        <v>153</v>
      </c>
      <c r="BD87" s="9" t="s">
        <v>149</v>
      </c>
      <c r="BE87" s="9" t="s">
        <v>42</v>
      </c>
      <c r="BI87" s="9" t="s">
        <v>148</v>
      </c>
      <c r="BO87" s="72">
        <f t="shared" si="41"/>
        <v>0</v>
      </c>
      <c r="BP87" s="72">
        <f t="shared" si="42"/>
        <v>18.12</v>
      </c>
      <c r="BQ87" s="72">
        <f t="shared" si="43"/>
        <v>0</v>
      </c>
      <c r="BR87" s="72">
        <f t="shared" si="44"/>
        <v>0</v>
      </c>
      <c r="BS87" s="72">
        <f t="shared" si="45"/>
        <v>0</v>
      </c>
      <c r="BT87" s="9" t="s">
        <v>42</v>
      </c>
      <c r="BU87" s="101">
        <f t="shared" si="46"/>
        <v>18.12</v>
      </c>
      <c r="BV87" s="9" t="s">
        <v>153</v>
      </c>
      <c r="BW87" s="9" t="s">
        <v>745</v>
      </c>
    </row>
    <row r="88" spans="2:75" s="158" customFormat="1" ht="22.5" customHeight="1">
      <c r="B88" s="156"/>
      <c r="C88" s="102" t="s">
        <v>650</v>
      </c>
      <c r="D88" s="102" t="s">
        <v>171</v>
      </c>
      <c r="E88" s="103" t="s">
        <v>746</v>
      </c>
      <c r="F88" s="499" t="s">
        <v>744</v>
      </c>
      <c r="G88" s="499"/>
      <c r="H88" s="499"/>
      <c r="I88" s="499"/>
      <c r="J88" s="104" t="s">
        <v>184</v>
      </c>
      <c r="K88" s="133">
        <v>2</v>
      </c>
      <c r="L88" s="133">
        <v>2</v>
      </c>
      <c r="M88" s="133">
        <v>2</v>
      </c>
      <c r="N88" s="133">
        <v>2</v>
      </c>
      <c r="O88" s="133">
        <v>0</v>
      </c>
      <c r="P88" s="177">
        <f t="shared" si="17"/>
        <v>8</v>
      </c>
      <c r="Q88" s="140">
        <v>17.010000000000002</v>
      </c>
      <c r="R88" s="140">
        <v>17.010000000000002</v>
      </c>
      <c r="S88" s="140">
        <v>17.010000000000002</v>
      </c>
      <c r="T88" s="140">
        <v>17.010000000000002</v>
      </c>
      <c r="U88" s="140">
        <v>17.010000000000002</v>
      </c>
      <c r="V88" s="133">
        <f t="shared" si="33"/>
        <v>34.020000000000003</v>
      </c>
      <c r="W88" s="133">
        <f t="shared" si="34"/>
        <v>34.020000000000003</v>
      </c>
      <c r="X88" s="133">
        <f t="shared" si="35"/>
        <v>34.020000000000003</v>
      </c>
      <c r="Y88" s="133">
        <f t="shared" si="36"/>
        <v>34.020000000000003</v>
      </c>
      <c r="Z88" s="133">
        <f t="shared" si="37"/>
        <v>0</v>
      </c>
      <c r="AA88" s="133">
        <f t="shared" si="32"/>
        <v>136.08000000000001</v>
      </c>
      <c r="AB88" s="157"/>
      <c r="AC88" s="166" t="s">
        <v>1022</v>
      </c>
      <c r="AD88" s="167" t="s">
        <v>0</v>
      </c>
      <c r="AE88" s="168" t="s">
        <v>11</v>
      </c>
      <c r="AF88" s="169"/>
      <c r="AG88" s="170">
        <f t="shared" si="38"/>
        <v>0</v>
      </c>
      <c r="AH88" s="170">
        <v>0</v>
      </c>
      <c r="AI88" s="170">
        <f t="shared" si="39"/>
        <v>0</v>
      </c>
      <c r="AJ88" s="170">
        <v>0</v>
      </c>
      <c r="AK88" s="171">
        <f t="shared" si="40"/>
        <v>0</v>
      </c>
      <c r="AM88" s="166" t="s">
        <v>1033</v>
      </c>
      <c r="AO88" s="158">
        <v>19.05</v>
      </c>
      <c r="BB88" s="172" t="s">
        <v>165</v>
      </c>
      <c r="BD88" s="172" t="s">
        <v>171</v>
      </c>
      <c r="BE88" s="172" t="s">
        <v>42</v>
      </c>
      <c r="BI88" s="172" t="s">
        <v>148</v>
      </c>
      <c r="BO88" s="173">
        <f t="shared" si="41"/>
        <v>0</v>
      </c>
      <c r="BP88" s="173">
        <f t="shared" si="42"/>
        <v>34.020000000000003</v>
      </c>
      <c r="BQ88" s="173">
        <f t="shared" si="43"/>
        <v>0</v>
      </c>
      <c r="BR88" s="173">
        <f t="shared" si="44"/>
        <v>0</v>
      </c>
      <c r="BS88" s="173">
        <f t="shared" si="45"/>
        <v>0</v>
      </c>
      <c r="BT88" s="172" t="s">
        <v>42</v>
      </c>
      <c r="BU88" s="174">
        <f t="shared" si="46"/>
        <v>34.020000000000003</v>
      </c>
      <c r="BV88" s="172" t="s">
        <v>153</v>
      </c>
      <c r="BW88" s="172" t="s">
        <v>747</v>
      </c>
    </row>
    <row r="89" spans="2:75" s="1" customFormat="1" ht="31.5" customHeight="1">
      <c r="B89" s="73"/>
      <c r="C89" s="93" t="s">
        <v>748</v>
      </c>
      <c r="D89" s="93" t="s">
        <v>149</v>
      </c>
      <c r="E89" s="94" t="s">
        <v>749</v>
      </c>
      <c r="F89" s="498" t="s">
        <v>750</v>
      </c>
      <c r="G89" s="498"/>
      <c r="H89" s="498"/>
      <c r="I89" s="498"/>
      <c r="J89" s="95" t="s">
        <v>198</v>
      </c>
      <c r="K89" s="96">
        <v>1540</v>
      </c>
      <c r="L89" s="128">
        <v>1540</v>
      </c>
      <c r="M89" s="128">
        <v>1900</v>
      </c>
      <c r="N89" s="128">
        <v>1900</v>
      </c>
      <c r="O89" s="128">
        <v>90</v>
      </c>
      <c r="P89" s="165">
        <f t="shared" si="17"/>
        <v>6970</v>
      </c>
      <c r="Q89" s="127">
        <v>0.62</v>
      </c>
      <c r="R89" s="127">
        <v>0.62</v>
      </c>
      <c r="S89" s="127">
        <v>0.62</v>
      </c>
      <c r="T89" s="127">
        <v>0.62</v>
      </c>
      <c r="U89" s="127">
        <v>0.62</v>
      </c>
      <c r="V89" s="128">
        <f t="shared" si="33"/>
        <v>954.8</v>
      </c>
      <c r="W89" s="128">
        <f t="shared" si="34"/>
        <v>954.8</v>
      </c>
      <c r="X89" s="128">
        <f t="shared" si="35"/>
        <v>1178</v>
      </c>
      <c r="Y89" s="128">
        <f t="shared" si="36"/>
        <v>1178</v>
      </c>
      <c r="Z89" s="128">
        <f t="shared" si="37"/>
        <v>55.8</v>
      </c>
      <c r="AA89" s="128">
        <f t="shared" si="32"/>
        <v>4321.4000000000005</v>
      </c>
      <c r="AB89" s="74"/>
      <c r="AC89" s="113"/>
      <c r="AD89" s="98" t="s">
        <v>0</v>
      </c>
      <c r="AE89" s="18" t="s">
        <v>11</v>
      </c>
      <c r="AF89" s="16"/>
      <c r="AG89" s="99">
        <f t="shared" si="38"/>
        <v>0</v>
      </c>
      <c r="AH89" s="99">
        <v>0</v>
      </c>
      <c r="AI89" s="99">
        <f t="shared" si="39"/>
        <v>0</v>
      </c>
      <c r="AJ89" s="99">
        <v>0</v>
      </c>
      <c r="AK89" s="100">
        <f t="shared" si="40"/>
        <v>0</v>
      </c>
      <c r="AM89" s="113"/>
      <c r="AO89" s="1">
        <v>0.7</v>
      </c>
      <c r="BB89" s="9" t="s">
        <v>153</v>
      </c>
      <c r="BD89" s="9" t="s">
        <v>149</v>
      </c>
      <c r="BE89" s="9" t="s">
        <v>42</v>
      </c>
      <c r="BI89" s="9" t="s">
        <v>148</v>
      </c>
      <c r="BO89" s="72">
        <f t="shared" si="41"/>
        <v>0</v>
      </c>
      <c r="BP89" s="72">
        <f t="shared" si="42"/>
        <v>954.8</v>
      </c>
      <c r="BQ89" s="72">
        <f t="shared" si="43"/>
        <v>0</v>
      </c>
      <c r="BR89" s="72">
        <f t="shared" si="44"/>
        <v>0</v>
      </c>
      <c r="BS89" s="72">
        <f t="shared" si="45"/>
        <v>0</v>
      </c>
      <c r="BT89" s="9" t="s">
        <v>42</v>
      </c>
      <c r="BU89" s="101">
        <f t="shared" si="46"/>
        <v>954.8</v>
      </c>
      <c r="BV89" s="9" t="s">
        <v>153</v>
      </c>
      <c r="BW89" s="9" t="s">
        <v>751</v>
      </c>
    </row>
    <row r="90" spans="2:75" s="158" customFormat="1" ht="31.5" customHeight="1">
      <c r="B90" s="156"/>
      <c r="C90" s="102" t="s">
        <v>653</v>
      </c>
      <c r="D90" s="102" t="s">
        <v>171</v>
      </c>
      <c r="E90" s="103" t="s">
        <v>752</v>
      </c>
      <c r="F90" s="499" t="s">
        <v>753</v>
      </c>
      <c r="G90" s="499"/>
      <c r="H90" s="499"/>
      <c r="I90" s="499"/>
      <c r="J90" s="104" t="s">
        <v>198</v>
      </c>
      <c r="K90" s="133">
        <v>1540</v>
      </c>
      <c r="L90" s="133">
        <v>1540</v>
      </c>
      <c r="M90" s="133">
        <v>1900</v>
      </c>
      <c r="N90" s="133">
        <v>1900</v>
      </c>
      <c r="O90" s="133">
        <v>90</v>
      </c>
      <c r="P90" s="177">
        <f t="shared" si="17"/>
        <v>6970</v>
      </c>
      <c r="Q90" s="140">
        <v>0.39</v>
      </c>
      <c r="R90" s="140">
        <v>0.39</v>
      </c>
      <c r="S90" s="140">
        <v>0.39</v>
      </c>
      <c r="T90" s="140">
        <v>0.39</v>
      </c>
      <c r="U90" s="140">
        <v>0.39</v>
      </c>
      <c r="V90" s="133">
        <f t="shared" si="33"/>
        <v>600.6</v>
      </c>
      <c r="W90" s="133">
        <f t="shared" si="34"/>
        <v>600.6</v>
      </c>
      <c r="X90" s="133">
        <f t="shared" si="35"/>
        <v>741</v>
      </c>
      <c r="Y90" s="133">
        <f t="shared" si="36"/>
        <v>741</v>
      </c>
      <c r="Z90" s="133">
        <f t="shared" si="37"/>
        <v>35.1</v>
      </c>
      <c r="AA90" s="133">
        <f t="shared" si="32"/>
        <v>2718.2999999999997</v>
      </c>
      <c r="AB90" s="157"/>
      <c r="AC90" s="166" t="s">
        <v>1034</v>
      </c>
      <c r="AD90" s="167" t="s">
        <v>0</v>
      </c>
      <c r="AE90" s="168" t="s">
        <v>11</v>
      </c>
      <c r="AF90" s="169"/>
      <c r="AG90" s="170">
        <f t="shared" si="38"/>
        <v>0</v>
      </c>
      <c r="AH90" s="170">
        <v>0</v>
      </c>
      <c r="AI90" s="170">
        <f t="shared" si="39"/>
        <v>0</v>
      </c>
      <c r="AJ90" s="170">
        <v>0</v>
      </c>
      <c r="AK90" s="171">
        <f t="shared" si="40"/>
        <v>0</v>
      </c>
      <c r="AM90" s="166" t="s">
        <v>1035</v>
      </c>
      <c r="AO90" s="158">
        <v>0.43</v>
      </c>
      <c r="BB90" s="172" t="s">
        <v>165</v>
      </c>
      <c r="BD90" s="172" t="s">
        <v>171</v>
      </c>
      <c r="BE90" s="172" t="s">
        <v>42</v>
      </c>
      <c r="BI90" s="172" t="s">
        <v>148</v>
      </c>
      <c r="BO90" s="173">
        <f t="shared" si="41"/>
        <v>0</v>
      </c>
      <c r="BP90" s="173">
        <f t="shared" si="42"/>
        <v>600.6</v>
      </c>
      <c r="BQ90" s="173">
        <f t="shared" si="43"/>
        <v>0</v>
      </c>
      <c r="BR90" s="173">
        <f t="shared" si="44"/>
        <v>0</v>
      </c>
      <c r="BS90" s="173">
        <f t="shared" si="45"/>
        <v>0</v>
      </c>
      <c r="BT90" s="172" t="s">
        <v>42</v>
      </c>
      <c r="BU90" s="174">
        <f t="shared" si="46"/>
        <v>600.6</v>
      </c>
      <c r="BV90" s="172" t="s">
        <v>153</v>
      </c>
      <c r="BW90" s="172" t="s">
        <v>754</v>
      </c>
    </row>
    <row r="91" spans="2:75" s="1" customFormat="1" ht="31.5" customHeight="1">
      <c r="B91" s="73"/>
      <c r="C91" s="93" t="s">
        <v>755</v>
      </c>
      <c r="D91" s="93" t="s">
        <v>149</v>
      </c>
      <c r="E91" s="94" t="s">
        <v>756</v>
      </c>
      <c r="F91" s="498" t="s">
        <v>757</v>
      </c>
      <c r="G91" s="498"/>
      <c r="H91" s="498"/>
      <c r="I91" s="498"/>
      <c r="J91" s="95" t="s">
        <v>198</v>
      </c>
      <c r="K91" s="96">
        <v>125</v>
      </c>
      <c r="L91" s="128">
        <v>125</v>
      </c>
      <c r="M91" s="128">
        <v>125</v>
      </c>
      <c r="N91" s="128">
        <v>125</v>
      </c>
      <c r="O91" s="128">
        <v>25</v>
      </c>
      <c r="P91" s="165">
        <f t="shared" si="17"/>
        <v>525</v>
      </c>
      <c r="Q91" s="127">
        <v>0.7</v>
      </c>
      <c r="R91" s="127">
        <v>0.7</v>
      </c>
      <c r="S91" s="127">
        <v>0.7</v>
      </c>
      <c r="T91" s="127">
        <v>0.7</v>
      </c>
      <c r="U91" s="127">
        <v>0.7</v>
      </c>
      <c r="V91" s="128">
        <f t="shared" si="33"/>
        <v>87.5</v>
      </c>
      <c r="W91" s="128">
        <f t="shared" si="34"/>
        <v>87.5</v>
      </c>
      <c r="X91" s="128">
        <f t="shared" si="35"/>
        <v>87.5</v>
      </c>
      <c r="Y91" s="128">
        <f t="shared" si="36"/>
        <v>87.5</v>
      </c>
      <c r="Z91" s="128">
        <f t="shared" si="37"/>
        <v>17.5</v>
      </c>
      <c r="AA91" s="128">
        <f t="shared" si="32"/>
        <v>367.5</v>
      </c>
      <c r="AB91" s="74"/>
      <c r="AC91" s="113"/>
      <c r="AD91" s="98" t="s">
        <v>0</v>
      </c>
      <c r="AE91" s="18" t="s">
        <v>11</v>
      </c>
      <c r="AF91" s="16"/>
      <c r="AG91" s="99">
        <f t="shared" si="38"/>
        <v>0</v>
      </c>
      <c r="AH91" s="99">
        <v>0</v>
      </c>
      <c r="AI91" s="99">
        <f t="shared" si="39"/>
        <v>0</v>
      </c>
      <c r="AJ91" s="99">
        <v>0</v>
      </c>
      <c r="AK91" s="100">
        <f t="shared" si="40"/>
        <v>0</v>
      </c>
      <c r="AM91" s="113"/>
      <c r="AO91" s="1">
        <v>0.78</v>
      </c>
      <c r="BB91" s="9" t="s">
        <v>153</v>
      </c>
      <c r="BD91" s="9" t="s">
        <v>149</v>
      </c>
      <c r="BE91" s="9" t="s">
        <v>42</v>
      </c>
      <c r="BI91" s="9" t="s">
        <v>148</v>
      </c>
      <c r="BO91" s="72">
        <f t="shared" si="41"/>
        <v>0</v>
      </c>
      <c r="BP91" s="72">
        <f t="shared" si="42"/>
        <v>87.5</v>
      </c>
      <c r="BQ91" s="72">
        <f t="shared" si="43"/>
        <v>0</v>
      </c>
      <c r="BR91" s="72">
        <f t="shared" si="44"/>
        <v>0</v>
      </c>
      <c r="BS91" s="72">
        <f t="shared" si="45"/>
        <v>0</v>
      </c>
      <c r="BT91" s="9" t="s">
        <v>42</v>
      </c>
      <c r="BU91" s="101">
        <f t="shared" si="46"/>
        <v>87.5</v>
      </c>
      <c r="BV91" s="9" t="s">
        <v>153</v>
      </c>
      <c r="BW91" s="9" t="s">
        <v>758</v>
      </c>
    </row>
    <row r="92" spans="2:75" s="158" customFormat="1" ht="31.5" customHeight="1">
      <c r="B92" s="156"/>
      <c r="C92" s="102" t="s">
        <v>656</v>
      </c>
      <c r="D92" s="102" t="s">
        <v>171</v>
      </c>
      <c r="E92" s="103" t="s">
        <v>759</v>
      </c>
      <c r="F92" s="499" t="s">
        <v>760</v>
      </c>
      <c r="G92" s="499"/>
      <c r="H92" s="499"/>
      <c r="I92" s="499"/>
      <c r="J92" s="104" t="s">
        <v>198</v>
      </c>
      <c r="K92" s="133">
        <v>125</v>
      </c>
      <c r="L92" s="133">
        <v>125</v>
      </c>
      <c r="M92" s="133">
        <v>125</v>
      </c>
      <c r="N92" s="133">
        <v>125</v>
      </c>
      <c r="O92" s="133">
        <v>0</v>
      </c>
      <c r="P92" s="177">
        <f t="shared" si="17"/>
        <v>500</v>
      </c>
      <c r="Q92" s="140">
        <v>0.6</v>
      </c>
      <c r="R92" s="140">
        <v>0.6</v>
      </c>
      <c r="S92" s="140">
        <v>0.6</v>
      </c>
      <c r="T92" s="140">
        <v>0.6</v>
      </c>
      <c r="U92" s="140">
        <v>0.6</v>
      </c>
      <c r="V92" s="133">
        <f t="shared" si="33"/>
        <v>75</v>
      </c>
      <c r="W92" s="133">
        <f t="shared" si="34"/>
        <v>75</v>
      </c>
      <c r="X92" s="133">
        <f t="shared" si="35"/>
        <v>75</v>
      </c>
      <c r="Y92" s="133">
        <f t="shared" si="36"/>
        <v>75</v>
      </c>
      <c r="Z92" s="133">
        <f t="shared" si="37"/>
        <v>0</v>
      </c>
      <c r="AA92" s="133">
        <f t="shared" si="32"/>
        <v>300</v>
      </c>
      <c r="AB92" s="157"/>
      <c r="AC92" s="166" t="s">
        <v>1034</v>
      </c>
      <c r="AD92" s="167" t="s">
        <v>0</v>
      </c>
      <c r="AE92" s="168" t="s">
        <v>11</v>
      </c>
      <c r="AF92" s="169"/>
      <c r="AG92" s="170">
        <f t="shared" si="38"/>
        <v>0</v>
      </c>
      <c r="AH92" s="170">
        <v>0</v>
      </c>
      <c r="AI92" s="170">
        <f t="shared" si="39"/>
        <v>0</v>
      </c>
      <c r="AJ92" s="170">
        <v>0</v>
      </c>
      <c r="AK92" s="171">
        <f t="shared" si="40"/>
        <v>0</v>
      </c>
      <c r="AM92" s="166" t="s">
        <v>1035</v>
      </c>
      <c r="AO92" s="158">
        <v>0.68</v>
      </c>
      <c r="BB92" s="172" t="s">
        <v>165</v>
      </c>
      <c r="BD92" s="172" t="s">
        <v>171</v>
      </c>
      <c r="BE92" s="172" t="s">
        <v>42</v>
      </c>
      <c r="BI92" s="172" t="s">
        <v>148</v>
      </c>
      <c r="BO92" s="173">
        <f t="shared" si="41"/>
        <v>0</v>
      </c>
      <c r="BP92" s="173">
        <f t="shared" si="42"/>
        <v>75</v>
      </c>
      <c r="BQ92" s="173">
        <f t="shared" si="43"/>
        <v>0</v>
      </c>
      <c r="BR92" s="173">
        <f t="shared" si="44"/>
        <v>0</v>
      </c>
      <c r="BS92" s="173">
        <f t="shared" si="45"/>
        <v>0</v>
      </c>
      <c r="BT92" s="172" t="s">
        <v>42</v>
      </c>
      <c r="BU92" s="174">
        <f t="shared" si="46"/>
        <v>75</v>
      </c>
      <c r="BV92" s="172" t="s">
        <v>153</v>
      </c>
      <c r="BW92" s="172" t="s">
        <v>761</v>
      </c>
    </row>
    <row r="93" spans="2:75" s="1" customFormat="1" ht="31.5" customHeight="1">
      <c r="B93" s="73"/>
      <c r="C93" s="93" t="s">
        <v>762</v>
      </c>
      <c r="D93" s="93" t="s">
        <v>149</v>
      </c>
      <c r="E93" s="94" t="s">
        <v>763</v>
      </c>
      <c r="F93" s="498" t="s">
        <v>764</v>
      </c>
      <c r="G93" s="498"/>
      <c r="H93" s="498"/>
      <c r="I93" s="498"/>
      <c r="J93" s="95" t="s">
        <v>198</v>
      </c>
      <c r="K93" s="96">
        <v>15</v>
      </c>
      <c r="L93" s="128">
        <v>15</v>
      </c>
      <c r="M93" s="128">
        <v>15</v>
      </c>
      <c r="N93" s="128">
        <v>15</v>
      </c>
      <c r="O93" s="128">
        <v>0</v>
      </c>
      <c r="P93" s="165">
        <f t="shared" si="17"/>
        <v>60</v>
      </c>
      <c r="Q93" s="127">
        <v>0.73</v>
      </c>
      <c r="R93" s="127">
        <v>0.73</v>
      </c>
      <c r="S93" s="127">
        <v>0.73</v>
      </c>
      <c r="T93" s="127">
        <v>0.73</v>
      </c>
      <c r="U93" s="127">
        <v>0.73</v>
      </c>
      <c r="V93" s="128">
        <f t="shared" si="33"/>
        <v>10.95</v>
      </c>
      <c r="W93" s="128">
        <f t="shared" si="34"/>
        <v>10.95</v>
      </c>
      <c r="X93" s="128">
        <f t="shared" si="35"/>
        <v>10.95</v>
      </c>
      <c r="Y93" s="128">
        <f t="shared" si="36"/>
        <v>10.95</v>
      </c>
      <c r="Z93" s="128">
        <f t="shared" si="37"/>
        <v>0</v>
      </c>
      <c r="AA93" s="128">
        <f t="shared" si="32"/>
        <v>43.8</v>
      </c>
      <c r="AB93" s="74"/>
      <c r="AC93" s="113"/>
      <c r="AD93" s="98" t="s">
        <v>0</v>
      </c>
      <c r="AE93" s="18" t="s">
        <v>11</v>
      </c>
      <c r="AF93" s="16"/>
      <c r="AG93" s="99">
        <f t="shared" si="38"/>
        <v>0</v>
      </c>
      <c r="AH93" s="99">
        <v>0</v>
      </c>
      <c r="AI93" s="99">
        <f t="shared" si="39"/>
        <v>0</v>
      </c>
      <c r="AJ93" s="99">
        <v>0</v>
      </c>
      <c r="AK93" s="100">
        <f t="shared" si="40"/>
        <v>0</v>
      </c>
      <c r="AM93" s="113"/>
      <c r="AO93" s="1">
        <v>0.81</v>
      </c>
      <c r="BB93" s="9" t="s">
        <v>153</v>
      </c>
      <c r="BD93" s="9" t="s">
        <v>149</v>
      </c>
      <c r="BE93" s="9" t="s">
        <v>42</v>
      </c>
      <c r="BI93" s="9" t="s">
        <v>148</v>
      </c>
      <c r="BO93" s="72">
        <f t="shared" si="41"/>
        <v>0</v>
      </c>
      <c r="BP93" s="72">
        <f t="shared" si="42"/>
        <v>10.95</v>
      </c>
      <c r="BQ93" s="72">
        <f t="shared" si="43"/>
        <v>0</v>
      </c>
      <c r="BR93" s="72">
        <f t="shared" si="44"/>
        <v>0</v>
      </c>
      <c r="BS93" s="72">
        <f t="shared" si="45"/>
        <v>0</v>
      </c>
      <c r="BT93" s="9" t="s">
        <v>42</v>
      </c>
      <c r="BU93" s="101">
        <f t="shared" si="46"/>
        <v>10.95</v>
      </c>
      <c r="BV93" s="9" t="s">
        <v>153</v>
      </c>
      <c r="BW93" s="9" t="s">
        <v>765</v>
      </c>
    </row>
    <row r="94" spans="2:75" s="158" customFormat="1" ht="31.5" customHeight="1">
      <c r="B94" s="156"/>
      <c r="C94" s="102" t="s">
        <v>659</v>
      </c>
      <c r="D94" s="102" t="s">
        <v>171</v>
      </c>
      <c r="E94" s="103" t="s">
        <v>766</v>
      </c>
      <c r="F94" s="499" t="s">
        <v>767</v>
      </c>
      <c r="G94" s="499"/>
      <c r="H94" s="499"/>
      <c r="I94" s="499"/>
      <c r="J94" s="104" t="s">
        <v>198</v>
      </c>
      <c r="K94" s="133">
        <v>15</v>
      </c>
      <c r="L94" s="133">
        <v>15</v>
      </c>
      <c r="M94" s="133">
        <v>15</v>
      </c>
      <c r="N94" s="133">
        <v>15</v>
      </c>
      <c r="O94" s="133">
        <v>0</v>
      </c>
      <c r="P94" s="177">
        <f>SUM(K94:O94)</f>
        <v>60</v>
      </c>
      <c r="Q94" s="140">
        <v>1.02</v>
      </c>
      <c r="R94" s="140">
        <v>1.02</v>
      </c>
      <c r="S94" s="140">
        <v>1.02</v>
      </c>
      <c r="T94" s="140">
        <v>1.02</v>
      </c>
      <c r="U94" s="140">
        <v>1.02</v>
      </c>
      <c r="V94" s="133">
        <f t="shared" si="33"/>
        <v>15.3</v>
      </c>
      <c r="W94" s="133">
        <f t="shared" si="34"/>
        <v>15.3</v>
      </c>
      <c r="X94" s="133">
        <f t="shared" si="35"/>
        <v>15.3</v>
      </c>
      <c r="Y94" s="133">
        <f t="shared" si="36"/>
        <v>15.3</v>
      </c>
      <c r="Z94" s="133">
        <f t="shared" si="37"/>
        <v>0</v>
      </c>
      <c r="AA94" s="133">
        <f t="shared" si="32"/>
        <v>61.2</v>
      </c>
      <c r="AB94" s="157"/>
      <c r="AC94" s="166" t="s">
        <v>1034</v>
      </c>
      <c r="AD94" s="167" t="s">
        <v>0</v>
      </c>
      <c r="AE94" s="168" t="s">
        <v>11</v>
      </c>
      <c r="AF94" s="169"/>
      <c r="AG94" s="170">
        <f>AF94*K94</f>
        <v>0</v>
      </c>
      <c r="AH94" s="170">
        <v>0</v>
      </c>
      <c r="AI94" s="170">
        <f>AH94*K94</f>
        <v>0</v>
      </c>
      <c r="AJ94" s="170">
        <v>0</v>
      </c>
      <c r="AK94" s="171">
        <f>AJ94*K94</f>
        <v>0</v>
      </c>
      <c r="AM94" s="166" t="s">
        <v>1035</v>
      </c>
      <c r="AO94" s="158">
        <v>1.1399999999999999</v>
      </c>
      <c r="BB94" s="172" t="s">
        <v>165</v>
      </c>
      <c r="BD94" s="172" t="s">
        <v>171</v>
      </c>
      <c r="BE94" s="172" t="s">
        <v>42</v>
      </c>
      <c r="BI94" s="172" t="s">
        <v>148</v>
      </c>
      <c r="BO94" s="173">
        <f t="shared" si="41"/>
        <v>0</v>
      </c>
      <c r="BP94" s="173">
        <f t="shared" si="42"/>
        <v>15.3</v>
      </c>
      <c r="BQ94" s="173">
        <f t="shared" si="43"/>
        <v>0</v>
      </c>
      <c r="BR94" s="173">
        <f t="shared" si="44"/>
        <v>0</v>
      </c>
      <c r="BS94" s="173">
        <f t="shared" si="45"/>
        <v>0</v>
      </c>
      <c r="BT94" s="172" t="s">
        <v>42</v>
      </c>
      <c r="BU94" s="174">
        <f t="shared" si="46"/>
        <v>15.3</v>
      </c>
      <c r="BV94" s="172" t="s">
        <v>153</v>
      </c>
      <c r="BW94" s="172" t="s">
        <v>768</v>
      </c>
    </row>
    <row r="95" spans="2:75" s="1" customFormat="1" ht="31.5" customHeight="1">
      <c r="B95" s="73"/>
      <c r="C95" s="93" t="s">
        <v>769</v>
      </c>
      <c r="D95" s="93" t="s">
        <v>149</v>
      </c>
      <c r="E95" s="94" t="s">
        <v>770</v>
      </c>
      <c r="F95" s="498" t="s">
        <v>771</v>
      </c>
      <c r="G95" s="498"/>
      <c r="H95" s="498"/>
      <c r="I95" s="498"/>
      <c r="J95" s="95" t="s">
        <v>198</v>
      </c>
      <c r="K95" s="96">
        <v>20</v>
      </c>
      <c r="L95" s="128">
        <v>20</v>
      </c>
      <c r="M95" s="128">
        <v>20</v>
      </c>
      <c r="N95" s="128">
        <v>20</v>
      </c>
      <c r="O95" s="128">
        <v>0</v>
      </c>
      <c r="P95" s="165">
        <f>SUM(K95:O95)</f>
        <v>80</v>
      </c>
      <c r="Q95" s="127">
        <v>0.68</v>
      </c>
      <c r="R95" s="127">
        <v>0.68</v>
      </c>
      <c r="S95" s="127">
        <v>0.68</v>
      </c>
      <c r="T95" s="127">
        <v>0.68</v>
      </c>
      <c r="U95" s="127">
        <v>0.68</v>
      </c>
      <c r="V95" s="128">
        <f t="shared" si="33"/>
        <v>13.6</v>
      </c>
      <c r="W95" s="128">
        <f t="shared" si="34"/>
        <v>13.6</v>
      </c>
      <c r="X95" s="128">
        <f t="shared" si="35"/>
        <v>13.6</v>
      </c>
      <c r="Y95" s="128">
        <f t="shared" si="36"/>
        <v>13.6</v>
      </c>
      <c r="Z95" s="128">
        <f t="shared" si="37"/>
        <v>0</v>
      </c>
      <c r="AA95" s="128">
        <f t="shared" ref="AA95:AA100" si="47">SUM(V95:Z95)</f>
        <v>54.4</v>
      </c>
      <c r="AB95" s="74"/>
      <c r="AC95" s="113"/>
      <c r="AD95" s="98" t="s">
        <v>0</v>
      </c>
      <c r="AE95" s="18" t="s">
        <v>11</v>
      </c>
      <c r="AF95" s="16"/>
      <c r="AG95" s="99">
        <f>AF95*K95</f>
        <v>0</v>
      </c>
      <c r="AH95" s="99">
        <v>0</v>
      </c>
      <c r="AI95" s="99">
        <f>AH95*K95</f>
        <v>0</v>
      </c>
      <c r="AJ95" s="99">
        <v>0</v>
      </c>
      <c r="AK95" s="100">
        <f>AJ95*K95</f>
        <v>0</v>
      </c>
      <c r="AM95" s="113"/>
      <c r="AO95" s="1">
        <v>0.76</v>
      </c>
      <c r="BB95" s="9" t="s">
        <v>153</v>
      </c>
      <c r="BD95" s="9" t="s">
        <v>149</v>
      </c>
      <c r="BE95" s="9" t="s">
        <v>42</v>
      </c>
      <c r="BI95" s="9" t="s">
        <v>148</v>
      </c>
      <c r="BO95" s="72">
        <f t="shared" si="41"/>
        <v>0</v>
      </c>
      <c r="BP95" s="72">
        <f t="shared" si="42"/>
        <v>13.6</v>
      </c>
      <c r="BQ95" s="72">
        <f t="shared" si="43"/>
        <v>0</v>
      </c>
      <c r="BR95" s="72">
        <f t="shared" si="44"/>
        <v>0</v>
      </c>
      <c r="BS95" s="72">
        <f t="shared" si="45"/>
        <v>0</v>
      </c>
      <c r="BT95" s="9" t="s">
        <v>42</v>
      </c>
      <c r="BU95" s="101">
        <f t="shared" si="46"/>
        <v>13.6</v>
      </c>
      <c r="BV95" s="9" t="s">
        <v>153</v>
      </c>
      <c r="BW95" s="9" t="s">
        <v>772</v>
      </c>
    </row>
    <row r="96" spans="2:75" s="158" customFormat="1" ht="22.5" customHeight="1">
      <c r="B96" s="156"/>
      <c r="C96" s="102" t="s">
        <v>662</v>
      </c>
      <c r="D96" s="102" t="s">
        <v>171</v>
      </c>
      <c r="E96" s="103" t="s">
        <v>773</v>
      </c>
      <c r="F96" s="499" t="s">
        <v>774</v>
      </c>
      <c r="G96" s="499"/>
      <c r="H96" s="499"/>
      <c r="I96" s="499"/>
      <c r="J96" s="104" t="s">
        <v>198</v>
      </c>
      <c r="K96" s="133">
        <v>20</v>
      </c>
      <c r="L96" s="133">
        <v>20</v>
      </c>
      <c r="M96" s="133">
        <v>20</v>
      </c>
      <c r="N96" s="133">
        <v>20</v>
      </c>
      <c r="O96" s="133">
        <v>0</v>
      </c>
      <c r="P96" s="177">
        <f>SUM(K96:O96)</f>
        <v>80</v>
      </c>
      <c r="Q96" s="140">
        <v>8.1</v>
      </c>
      <c r="R96" s="140">
        <v>8.1</v>
      </c>
      <c r="S96" s="140">
        <v>8.1</v>
      </c>
      <c r="T96" s="140">
        <v>8.1</v>
      </c>
      <c r="U96" s="140">
        <v>8.1</v>
      </c>
      <c r="V96" s="133">
        <f t="shared" si="33"/>
        <v>162</v>
      </c>
      <c r="W96" s="133">
        <f t="shared" si="34"/>
        <v>162</v>
      </c>
      <c r="X96" s="133">
        <f t="shared" si="35"/>
        <v>162</v>
      </c>
      <c r="Y96" s="133">
        <f t="shared" si="36"/>
        <v>162</v>
      </c>
      <c r="Z96" s="133">
        <f t="shared" si="37"/>
        <v>0</v>
      </c>
      <c r="AA96" s="133">
        <f t="shared" si="47"/>
        <v>648</v>
      </c>
      <c r="AB96" s="157"/>
      <c r="AC96" s="166" t="s">
        <v>1034</v>
      </c>
      <c r="AD96" s="167" t="s">
        <v>0</v>
      </c>
      <c r="AE96" s="168" t="s">
        <v>11</v>
      </c>
      <c r="AF96" s="169"/>
      <c r="AG96" s="170">
        <f>AF96*K96</f>
        <v>0</v>
      </c>
      <c r="AH96" s="170">
        <v>0</v>
      </c>
      <c r="AI96" s="170">
        <f>AH96*K96</f>
        <v>0</v>
      </c>
      <c r="AJ96" s="170">
        <v>0</v>
      </c>
      <c r="AK96" s="171">
        <f>AJ96*K96</f>
        <v>0</v>
      </c>
      <c r="AM96" s="166" t="s">
        <v>1035</v>
      </c>
      <c r="AO96" s="158">
        <v>9.07</v>
      </c>
      <c r="BB96" s="172" t="s">
        <v>165</v>
      </c>
      <c r="BD96" s="172" t="s">
        <v>171</v>
      </c>
      <c r="BE96" s="172" t="s">
        <v>42</v>
      </c>
      <c r="BI96" s="172" t="s">
        <v>148</v>
      </c>
      <c r="BO96" s="173">
        <f t="shared" si="41"/>
        <v>0</v>
      </c>
      <c r="BP96" s="173">
        <f t="shared" si="42"/>
        <v>162</v>
      </c>
      <c r="BQ96" s="173">
        <f t="shared" si="43"/>
        <v>0</v>
      </c>
      <c r="BR96" s="173">
        <f t="shared" si="44"/>
        <v>0</v>
      </c>
      <c r="BS96" s="173">
        <f t="shared" si="45"/>
        <v>0</v>
      </c>
      <c r="BT96" s="172" t="s">
        <v>42</v>
      </c>
      <c r="BU96" s="174">
        <f t="shared" si="46"/>
        <v>162</v>
      </c>
      <c r="BV96" s="172" t="s">
        <v>153</v>
      </c>
      <c r="BW96" s="172" t="s">
        <v>775</v>
      </c>
    </row>
    <row r="97" spans="2:75" s="7" customFormat="1" ht="29.85" customHeight="1">
      <c r="B97" s="82"/>
      <c r="C97" s="83"/>
      <c r="D97" s="92" t="s">
        <v>554</v>
      </c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176"/>
      <c r="Q97" s="92"/>
      <c r="R97" s="92"/>
      <c r="S97" s="92"/>
      <c r="T97" s="92"/>
      <c r="U97" s="92"/>
      <c r="V97" s="134">
        <f>SUM(V98:V100)</f>
        <v>651.29999999999995</v>
      </c>
      <c r="W97" s="134">
        <f>SUM(W98:W100)</f>
        <v>651.29999999999995</v>
      </c>
      <c r="X97" s="134">
        <f>SUM(X98:X100)</f>
        <v>651.29999999999995</v>
      </c>
      <c r="Y97" s="134">
        <f>SUM(Y98:Y100)</f>
        <v>651.29999999999995</v>
      </c>
      <c r="Z97" s="134">
        <f>SUM(Z98:Z100)</f>
        <v>276.89</v>
      </c>
      <c r="AA97" s="128">
        <f t="shared" si="47"/>
        <v>2882.0899999999997</v>
      </c>
      <c r="AB97" s="85"/>
      <c r="AC97" s="114"/>
      <c r="AD97" s="86"/>
      <c r="AE97" s="83"/>
      <c r="AF97" s="83"/>
      <c r="AG97" s="87">
        <f>SUM(AG98:AG100)</f>
        <v>0</v>
      </c>
      <c r="AH97" s="83"/>
      <c r="AI97" s="87">
        <f>SUM(AI98:AI100)</f>
        <v>0</v>
      </c>
      <c r="AJ97" s="83"/>
      <c r="AK97" s="88">
        <f>SUM(AK98:AK100)</f>
        <v>0</v>
      </c>
      <c r="AM97" s="114"/>
      <c r="BB97" s="89" t="s">
        <v>38</v>
      </c>
      <c r="BD97" s="90" t="s">
        <v>30</v>
      </c>
      <c r="BE97" s="90" t="s">
        <v>38</v>
      </c>
      <c r="BI97" s="89" t="s">
        <v>148</v>
      </c>
      <c r="BU97" s="91">
        <f>SUM(BU98:BU100)</f>
        <v>651.29999999999995</v>
      </c>
    </row>
    <row r="98" spans="2:75" s="1" customFormat="1" ht="31.5" customHeight="1">
      <c r="B98" s="73"/>
      <c r="C98" s="93" t="s">
        <v>281</v>
      </c>
      <c r="D98" s="93" t="s">
        <v>149</v>
      </c>
      <c r="E98" s="94" t="s">
        <v>776</v>
      </c>
      <c r="F98" s="498" t="s">
        <v>777</v>
      </c>
      <c r="G98" s="498"/>
      <c r="H98" s="498"/>
      <c r="I98" s="498"/>
      <c r="J98" s="95" t="s">
        <v>723</v>
      </c>
      <c r="K98" s="96">
        <v>1</v>
      </c>
      <c r="L98" s="128">
        <v>1</v>
      </c>
      <c r="M98" s="128">
        <v>1</v>
      </c>
      <c r="N98" s="128">
        <v>1</v>
      </c>
      <c r="O98" s="128">
        <v>1</v>
      </c>
      <c r="P98" s="165">
        <f>SUM(K98:O98)</f>
        <v>5</v>
      </c>
      <c r="Q98" s="127">
        <v>223.3</v>
      </c>
      <c r="R98" s="127">
        <v>223.3</v>
      </c>
      <c r="S98" s="127">
        <v>223.3</v>
      </c>
      <c r="T98" s="127">
        <v>223.3</v>
      </c>
      <c r="U98" s="127">
        <v>160.77000000000001</v>
      </c>
      <c r="V98" s="128">
        <f t="shared" ref="V98:Z100" si="48">ROUND(Q98*K98,3)</f>
        <v>223.3</v>
      </c>
      <c r="W98" s="128">
        <f t="shared" si="48"/>
        <v>223.3</v>
      </c>
      <c r="X98" s="128">
        <f t="shared" si="48"/>
        <v>223.3</v>
      </c>
      <c r="Y98" s="128">
        <f t="shared" si="48"/>
        <v>223.3</v>
      </c>
      <c r="Z98" s="128">
        <f t="shared" si="48"/>
        <v>160.77000000000001</v>
      </c>
      <c r="AA98" s="128">
        <f t="shared" si="47"/>
        <v>1053.97</v>
      </c>
      <c r="AB98" s="74"/>
      <c r="AC98" s="113"/>
      <c r="AD98" s="98" t="s">
        <v>0</v>
      </c>
      <c r="AE98" s="18" t="s">
        <v>11</v>
      </c>
      <c r="AF98" s="16"/>
      <c r="AG98" s="99">
        <f>AF98*K98</f>
        <v>0</v>
      </c>
      <c r="AH98" s="99">
        <v>0</v>
      </c>
      <c r="AI98" s="99">
        <f>AH98*K98</f>
        <v>0</v>
      </c>
      <c r="AJ98" s="99">
        <v>0</v>
      </c>
      <c r="AK98" s="100">
        <f>AJ98*K98</f>
        <v>0</v>
      </c>
      <c r="AM98" s="113"/>
      <c r="AO98" s="1">
        <v>250</v>
      </c>
      <c r="BB98" s="9" t="s">
        <v>153</v>
      </c>
      <c r="BD98" s="9" t="s">
        <v>149</v>
      </c>
      <c r="BE98" s="9" t="s">
        <v>42</v>
      </c>
      <c r="BI98" s="9" t="s">
        <v>148</v>
      </c>
      <c r="BO98" s="72">
        <f>IF(AE98="základná",V98,0)</f>
        <v>0</v>
      </c>
      <c r="BP98" s="72">
        <f>IF(AE98="znížená",V98,0)</f>
        <v>223.3</v>
      </c>
      <c r="BQ98" s="72">
        <f>IF(AE98="zákl. prenesená",V98,0)</f>
        <v>0</v>
      </c>
      <c r="BR98" s="72">
        <f>IF(AE98="zníž. prenesená",V98,0)</f>
        <v>0</v>
      </c>
      <c r="BS98" s="72">
        <f>IF(AE98="nulová",V98,0)</f>
        <v>0</v>
      </c>
      <c r="BT98" s="9" t="s">
        <v>42</v>
      </c>
      <c r="BU98" s="101">
        <f>ROUND(Q98*K98,3)</f>
        <v>223.3</v>
      </c>
      <c r="BV98" s="9" t="s">
        <v>153</v>
      </c>
      <c r="BW98" s="9" t="s">
        <v>778</v>
      </c>
    </row>
    <row r="99" spans="2:75" s="158" customFormat="1" ht="31.5" customHeight="1">
      <c r="B99" s="156"/>
      <c r="C99" s="102" t="s">
        <v>779</v>
      </c>
      <c r="D99" s="102" t="s">
        <v>171</v>
      </c>
      <c r="E99" s="103" t="s">
        <v>780</v>
      </c>
      <c r="F99" s="499" t="s">
        <v>781</v>
      </c>
      <c r="G99" s="499"/>
      <c r="H99" s="499"/>
      <c r="I99" s="499"/>
      <c r="J99" s="104" t="s">
        <v>723</v>
      </c>
      <c r="K99" s="133">
        <v>1</v>
      </c>
      <c r="L99" s="133">
        <v>1</v>
      </c>
      <c r="M99" s="133">
        <v>1</v>
      </c>
      <c r="N99" s="133">
        <v>1</v>
      </c>
      <c r="O99" s="133">
        <v>1</v>
      </c>
      <c r="P99" s="177">
        <f>SUM(K99:O99)</f>
        <v>5</v>
      </c>
      <c r="Q99" s="140">
        <v>178.64</v>
      </c>
      <c r="R99" s="140">
        <v>178.64</v>
      </c>
      <c r="S99" s="140">
        <v>178.64</v>
      </c>
      <c r="T99" s="140">
        <v>178.64</v>
      </c>
      <c r="U99" s="140">
        <v>116.12</v>
      </c>
      <c r="V99" s="133">
        <f t="shared" si="48"/>
        <v>178.64</v>
      </c>
      <c r="W99" s="133">
        <f t="shared" si="48"/>
        <v>178.64</v>
      </c>
      <c r="X99" s="133">
        <f t="shared" si="48"/>
        <v>178.64</v>
      </c>
      <c r="Y99" s="133">
        <f t="shared" si="48"/>
        <v>178.64</v>
      </c>
      <c r="Z99" s="133">
        <f t="shared" si="48"/>
        <v>116.12</v>
      </c>
      <c r="AA99" s="133">
        <f t="shared" si="47"/>
        <v>830.68</v>
      </c>
      <c r="AB99" s="157"/>
      <c r="AC99" s="166" t="s">
        <v>1036</v>
      </c>
      <c r="AD99" s="167" t="s">
        <v>0</v>
      </c>
      <c r="AE99" s="168" t="s">
        <v>11</v>
      </c>
      <c r="AF99" s="169"/>
      <c r="AG99" s="170">
        <f>AF99*K99</f>
        <v>0</v>
      </c>
      <c r="AH99" s="170">
        <v>0</v>
      </c>
      <c r="AI99" s="170">
        <f>AH99*K99</f>
        <v>0</v>
      </c>
      <c r="AJ99" s="170">
        <v>0</v>
      </c>
      <c r="AK99" s="171">
        <f>AJ99*K99</f>
        <v>0</v>
      </c>
      <c r="AM99" s="166"/>
      <c r="AO99" s="158">
        <v>200</v>
      </c>
      <c r="BB99" s="172" t="s">
        <v>165</v>
      </c>
      <c r="BD99" s="172" t="s">
        <v>171</v>
      </c>
      <c r="BE99" s="172" t="s">
        <v>42</v>
      </c>
      <c r="BI99" s="172" t="s">
        <v>148</v>
      </c>
      <c r="BO99" s="173">
        <f>IF(AE99="základná",V99,0)</f>
        <v>0</v>
      </c>
      <c r="BP99" s="173">
        <f>IF(AE99="znížená",V99,0)</f>
        <v>178.64</v>
      </c>
      <c r="BQ99" s="173">
        <f>IF(AE99="zákl. prenesená",V99,0)</f>
        <v>0</v>
      </c>
      <c r="BR99" s="173">
        <f>IF(AE99="zníž. prenesená",V99,0)</f>
        <v>0</v>
      </c>
      <c r="BS99" s="173">
        <f>IF(AE99="nulová",V99,0)</f>
        <v>0</v>
      </c>
      <c r="BT99" s="172" t="s">
        <v>42</v>
      </c>
      <c r="BU99" s="174">
        <f>ROUND(Q99*K99,3)</f>
        <v>178.64</v>
      </c>
      <c r="BV99" s="172" t="s">
        <v>153</v>
      </c>
      <c r="BW99" s="172" t="s">
        <v>782</v>
      </c>
    </row>
    <row r="100" spans="2:75" s="158" customFormat="1" ht="31.5" customHeight="1">
      <c r="B100" s="156"/>
      <c r="C100" s="102" t="s">
        <v>667</v>
      </c>
      <c r="D100" s="102" t="s">
        <v>171</v>
      </c>
      <c r="E100" s="103" t="s">
        <v>783</v>
      </c>
      <c r="F100" s="499" t="s">
        <v>784</v>
      </c>
      <c r="G100" s="499"/>
      <c r="H100" s="499"/>
      <c r="I100" s="499"/>
      <c r="J100" s="104" t="s">
        <v>184</v>
      </c>
      <c r="K100" s="133">
        <v>24</v>
      </c>
      <c r="L100" s="133">
        <v>24</v>
      </c>
      <c r="M100" s="133">
        <v>24</v>
      </c>
      <c r="N100" s="133">
        <v>24</v>
      </c>
      <c r="O100" s="133">
        <v>0</v>
      </c>
      <c r="P100" s="177">
        <f>SUM(K100:O100)</f>
        <v>96</v>
      </c>
      <c r="Q100" s="140">
        <v>10.39</v>
      </c>
      <c r="R100" s="140">
        <v>10.39</v>
      </c>
      <c r="S100" s="140">
        <v>10.39</v>
      </c>
      <c r="T100" s="140">
        <v>10.39</v>
      </c>
      <c r="U100" s="140">
        <v>10.39</v>
      </c>
      <c r="V100" s="133">
        <f t="shared" si="48"/>
        <v>249.36</v>
      </c>
      <c r="W100" s="133">
        <f t="shared" si="48"/>
        <v>249.36</v>
      </c>
      <c r="X100" s="133">
        <f t="shared" si="48"/>
        <v>249.36</v>
      </c>
      <c r="Y100" s="133">
        <f t="shared" si="48"/>
        <v>249.36</v>
      </c>
      <c r="Z100" s="133">
        <f t="shared" si="48"/>
        <v>0</v>
      </c>
      <c r="AA100" s="133">
        <f t="shared" si="47"/>
        <v>997.44</v>
      </c>
      <c r="AB100" s="157"/>
      <c r="AC100" s="166" t="s">
        <v>1022</v>
      </c>
      <c r="AD100" s="167" t="s">
        <v>0</v>
      </c>
      <c r="AE100" s="168" t="s">
        <v>11</v>
      </c>
      <c r="AF100" s="169"/>
      <c r="AG100" s="170">
        <f>AF100*K100</f>
        <v>0</v>
      </c>
      <c r="AH100" s="170">
        <v>0</v>
      </c>
      <c r="AI100" s="170">
        <f>AH100*K100</f>
        <v>0</v>
      </c>
      <c r="AJ100" s="170">
        <v>0</v>
      </c>
      <c r="AK100" s="171">
        <f>AJ100*K100</f>
        <v>0</v>
      </c>
      <c r="AM100" s="166" t="s">
        <v>1037</v>
      </c>
      <c r="AO100" s="158">
        <v>11.63</v>
      </c>
      <c r="BB100" s="172" t="s">
        <v>165</v>
      </c>
      <c r="BD100" s="172" t="s">
        <v>171</v>
      </c>
      <c r="BE100" s="172" t="s">
        <v>42</v>
      </c>
      <c r="BI100" s="172" t="s">
        <v>148</v>
      </c>
      <c r="BO100" s="173">
        <f>IF(AE100="základná",V100,0)</f>
        <v>0</v>
      </c>
      <c r="BP100" s="173">
        <f>IF(AE100="znížená",V100,0)</f>
        <v>249.36</v>
      </c>
      <c r="BQ100" s="173">
        <f>IF(AE100="zákl. prenesená",V100,0)</f>
        <v>0</v>
      </c>
      <c r="BR100" s="173">
        <f>IF(AE100="zníž. prenesená",V100,0)</f>
        <v>0</v>
      </c>
      <c r="BS100" s="173">
        <f>IF(AE100="nulová",V100,0)</f>
        <v>0</v>
      </c>
      <c r="BT100" s="172" t="s">
        <v>42</v>
      </c>
      <c r="BU100" s="174">
        <f>ROUND(Q100*K100,3)</f>
        <v>249.36</v>
      </c>
      <c r="BV100" s="172" t="s">
        <v>153</v>
      </c>
      <c r="BW100" s="172" t="s">
        <v>785</v>
      </c>
    </row>
    <row r="101" spans="2:75" s="7" customFormat="1" ht="29.85" customHeight="1">
      <c r="B101" s="82"/>
      <c r="C101" s="83"/>
      <c r="D101" s="92" t="s">
        <v>555</v>
      </c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176"/>
      <c r="Q101" s="92"/>
      <c r="R101" s="92"/>
      <c r="S101" s="92"/>
      <c r="T101" s="92"/>
      <c r="U101" s="92"/>
      <c r="V101" s="134">
        <f t="shared" ref="V101:AA101" si="49">SUM(V102)</f>
        <v>822.78</v>
      </c>
      <c r="W101" s="134">
        <f t="shared" si="49"/>
        <v>822.78</v>
      </c>
      <c r="X101" s="134">
        <f t="shared" si="49"/>
        <v>822.97</v>
      </c>
      <c r="Y101" s="134">
        <f t="shared" si="49"/>
        <v>823.08</v>
      </c>
      <c r="Z101" s="134">
        <f t="shared" si="49"/>
        <v>357.28</v>
      </c>
      <c r="AA101" s="134">
        <f t="shared" si="49"/>
        <v>3648.8899999999994</v>
      </c>
      <c r="AB101" s="85"/>
      <c r="AD101" s="86"/>
      <c r="AE101" s="83"/>
      <c r="AF101" s="83"/>
      <c r="AG101" s="87">
        <f>AG102</f>
        <v>0</v>
      </c>
      <c r="AH101" s="83"/>
      <c r="AI101" s="87">
        <f>AI102</f>
        <v>0</v>
      </c>
      <c r="AJ101" s="83"/>
      <c r="AK101" s="88">
        <f>AK102</f>
        <v>0</v>
      </c>
      <c r="BB101" s="89" t="s">
        <v>38</v>
      </c>
      <c r="BD101" s="90" t="s">
        <v>30</v>
      </c>
      <c r="BE101" s="90" t="s">
        <v>38</v>
      </c>
      <c r="BI101" s="89" t="s">
        <v>148</v>
      </c>
      <c r="BU101" s="91">
        <f>BU102</f>
        <v>822.78</v>
      </c>
    </row>
    <row r="102" spans="2:75" s="1" customFormat="1" ht="22.5" customHeight="1">
      <c r="B102" s="73"/>
      <c r="C102" s="93" t="s">
        <v>670</v>
      </c>
      <c r="D102" s="93" t="s">
        <v>149</v>
      </c>
      <c r="E102" s="94" t="s">
        <v>786</v>
      </c>
      <c r="F102" s="498" t="s">
        <v>787</v>
      </c>
      <c r="G102" s="498"/>
      <c r="H102" s="498"/>
      <c r="I102" s="498"/>
      <c r="J102" s="95" t="s">
        <v>723</v>
      </c>
      <c r="K102" s="96">
        <v>1</v>
      </c>
      <c r="L102" s="128">
        <v>1</v>
      </c>
      <c r="M102" s="128">
        <v>1</v>
      </c>
      <c r="N102" s="128">
        <v>1</v>
      </c>
      <c r="O102" s="128">
        <v>1</v>
      </c>
      <c r="P102" s="165">
        <f>SUM(K102:O102)</f>
        <v>5</v>
      </c>
      <c r="Q102" s="127">
        <v>822.78</v>
      </c>
      <c r="R102" s="127">
        <v>822.78</v>
      </c>
      <c r="S102" s="127">
        <v>822.97</v>
      </c>
      <c r="T102" s="127">
        <v>823.08</v>
      </c>
      <c r="U102" s="127">
        <v>357.28</v>
      </c>
      <c r="V102" s="128">
        <f>ROUND(Q102*K102,3)</f>
        <v>822.78</v>
      </c>
      <c r="W102" s="128">
        <f>ROUND(R102*L102,3)</f>
        <v>822.78</v>
      </c>
      <c r="X102" s="128">
        <f>ROUND(S102*M102,3)</f>
        <v>822.97</v>
      </c>
      <c r="Y102" s="128">
        <f>ROUND(T102*N102,3)</f>
        <v>823.08</v>
      </c>
      <c r="Z102" s="128">
        <f>ROUND(U102*O102,3)</f>
        <v>357.28</v>
      </c>
      <c r="AA102" s="128">
        <f>SUM(V102:Z102)</f>
        <v>3648.8899999999994</v>
      </c>
      <c r="AB102" s="74"/>
      <c r="AD102" s="98" t="s">
        <v>0</v>
      </c>
      <c r="AE102" s="18" t="s">
        <v>11</v>
      </c>
      <c r="AF102" s="16"/>
      <c r="AG102" s="99">
        <f>AF102*K102</f>
        <v>0</v>
      </c>
      <c r="AH102" s="99">
        <v>0</v>
      </c>
      <c r="AI102" s="99">
        <f>AH102*K102</f>
        <v>0</v>
      </c>
      <c r="AJ102" s="99">
        <v>0</v>
      </c>
      <c r="AK102" s="100">
        <f>AJ102*K102</f>
        <v>0</v>
      </c>
      <c r="AO102" s="1">
        <v>920</v>
      </c>
      <c r="BB102" s="9" t="s">
        <v>153</v>
      </c>
      <c r="BD102" s="9" t="s">
        <v>149</v>
      </c>
      <c r="BE102" s="9" t="s">
        <v>42</v>
      </c>
      <c r="BI102" s="9" t="s">
        <v>148</v>
      </c>
      <c r="BO102" s="72">
        <f>IF(AE102="základná",V102,0)</f>
        <v>0</v>
      </c>
      <c r="BP102" s="72">
        <f>IF(AE102="znížená",V102,0)</f>
        <v>822.78</v>
      </c>
      <c r="BQ102" s="72">
        <f>IF(AE102="zákl. prenesená",V102,0)</f>
        <v>0</v>
      </c>
      <c r="BR102" s="72">
        <f>IF(AE102="zníž. prenesená",V102,0)</f>
        <v>0</v>
      </c>
      <c r="BS102" s="72">
        <f>IF(AE102="nulová",V102,0)</f>
        <v>0</v>
      </c>
      <c r="BT102" s="9" t="s">
        <v>42</v>
      </c>
      <c r="BU102" s="101">
        <f>ROUND(Q102*K102,3)</f>
        <v>822.78</v>
      </c>
      <c r="BV102" s="9" t="s">
        <v>153</v>
      </c>
      <c r="BW102" s="9" t="s">
        <v>788</v>
      </c>
    </row>
    <row r="103" spans="2:75" s="7" customFormat="1" ht="37.35" customHeight="1">
      <c r="B103" s="82"/>
      <c r="C103" s="83"/>
      <c r="D103" s="84" t="s">
        <v>556</v>
      </c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175"/>
      <c r="Q103" s="84"/>
      <c r="R103" s="84"/>
      <c r="S103" s="84"/>
      <c r="T103" s="84"/>
      <c r="U103" s="84"/>
      <c r="V103" s="135">
        <f t="shared" ref="V103:AA103" si="50">V104+V106+V110</f>
        <v>3170.84</v>
      </c>
      <c r="W103" s="135">
        <f t="shared" si="50"/>
        <v>3170.84</v>
      </c>
      <c r="X103" s="135">
        <f t="shared" si="50"/>
        <v>5091.21</v>
      </c>
      <c r="Y103" s="135">
        <f t="shared" si="50"/>
        <v>2992.2000000000003</v>
      </c>
      <c r="Z103" s="135">
        <f t="shared" si="50"/>
        <v>1554.1599999999999</v>
      </c>
      <c r="AA103" s="135">
        <f t="shared" si="50"/>
        <v>15979.25</v>
      </c>
      <c r="AB103" s="85"/>
      <c r="AD103" s="86"/>
      <c r="AE103" s="83"/>
      <c r="AF103" s="83"/>
      <c r="AG103" s="87">
        <f>AG104+AG106+AG109+AG110</f>
        <v>0</v>
      </c>
      <c r="AH103" s="83"/>
      <c r="AI103" s="87">
        <f>AI104+AI106+AI109+AI110</f>
        <v>0</v>
      </c>
      <c r="AJ103" s="83"/>
      <c r="AK103" s="88">
        <f>AK104+AK106+AK109+AK110</f>
        <v>0</v>
      </c>
      <c r="BB103" s="89" t="s">
        <v>38</v>
      </c>
      <c r="BD103" s="90" t="s">
        <v>30</v>
      </c>
      <c r="BE103" s="90" t="s">
        <v>31</v>
      </c>
      <c r="BI103" s="89" t="s">
        <v>148</v>
      </c>
      <c r="BU103" s="91">
        <f>BU104+BU106+BU109+BU110</f>
        <v>3170.84</v>
      </c>
    </row>
    <row r="104" spans="2:75" s="7" customFormat="1" ht="19.899999999999999" customHeight="1">
      <c r="B104" s="82"/>
      <c r="C104" s="83"/>
      <c r="D104" s="92" t="s">
        <v>557</v>
      </c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176"/>
      <c r="Q104" s="92"/>
      <c r="R104" s="92"/>
      <c r="S104" s="92"/>
      <c r="T104" s="92"/>
      <c r="U104" s="92"/>
      <c r="V104" s="131">
        <f t="shared" ref="V104:AA104" si="51">SUM(V105)</f>
        <v>312.62</v>
      </c>
      <c r="W104" s="131">
        <f t="shared" si="51"/>
        <v>312.62</v>
      </c>
      <c r="X104" s="131">
        <f t="shared" si="51"/>
        <v>2232.9899999999998</v>
      </c>
      <c r="Y104" s="131">
        <f t="shared" si="51"/>
        <v>133.97999999999999</v>
      </c>
      <c r="Z104" s="131">
        <f t="shared" si="51"/>
        <v>482.33</v>
      </c>
      <c r="AA104" s="131">
        <f t="shared" si="51"/>
        <v>3474.5399999999995</v>
      </c>
      <c r="AB104" s="85"/>
      <c r="AD104" s="86"/>
      <c r="AE104" s="83"/>
      <c r="AF104" s="83"/>
      <c r="AG104" s="87">
        <f>AG105</f>
        <v>0</v>
      </c>
      <c r="AH104" s="83"/>
      <c r="AI104" s="87">
        <f>AI105</f>
        <v>0</v>
      </c>
      <c r="AJ104" s="83"/>
      <c r="AK104" s="88">
        <f>AK105</f>
        <v>0</v>
      </c>
      <c r="BB104" s="89" t="s">
        <v>156</v>
      </c>
      <c r="BD104" s="90" t="s">
        <v>30</v>
      </c>
      <c r="BE104" s="90" t="s">
        <v>38</v>
      </c>
      <c r="BI104" s="89" t="s">
        <v>148</v>
      </c>
      <c r="BU104" s="91">
        <f>BU105</f>
        <v>312.62</v>
      </c>
    </row>
    <row r="105" spans="2:75" s="1" customFormat="1" ht="57" customHeight="1">
      <c r="B105" s="73"/>
      <c r="C105" s="93" t="s">
        <v>789</v>
      </c>
      <c r="D105" s="93" t="s">
        <v>149</v>
      </c>
      <c r="E105" s="94" t="s">
        <v>790</v>
      </c>
      <c r="F105" s="498" t="s">
        <v>791</v>
      </c>
      <c r="G105" s="498"/>
      <c r="H105" s="498"/>
      <c r="I105" s="498"/>
      <c r="J105" s="95" t="s">
        <v>792</v>
      </c>
      <c r="K105" s="96">
        <v>1</v>
      </c>
      <c r="L105" s="128">
        <v>1</v>
      </c>
      <c r="M105" s="128">
        <v>1</v>
      </c>
      <c r="N105" s="128">
        <v>1</v>
      </c>
      <c r="O105" s="128">
        <v>1</v>
      </c>
      <c r="P105" s="165">
        <f>SUM(K105:O105)</f>
        <v>5</v>
      </c>
      <c r="Q105" s="127">
        <v>312.62</v>
      </c>
      <c r="R105" s="127">
        <v>312.62</v>
      </c>
      <c r="S105" s="127">
        <v>2232.9899999999998</v>
      </c>
      <c r="T105" s="127">
        <v>133.97999999999999</v>
      </c>
      <c r="U105" s="127">
        <v>482.33</v>
      </c>
      <c r="V105" s="128">
        <f>ROUND(Q105*K105,3)</f>
        <v>312.62</v>
      </c>
      <c r="W105" s="128">
        <f>ROUND(R105*L105,3)</f>
        <v>312.62</v>
      </c>
      <c r="X105" s="128">
        <f>ROUND(S105*M105,3)</f>
        <v>2232.9899999999998</v>
      </c>
      <c r="Y105" s="128">
        <f>ROUND(T105*N105,3)</f>
        <v>133.97999999999999</v>
      </c>
      <c r="Z105" s="128">
        <f>ROUND(U105*O105,3)</f>
        <v>482.33</v>
      </c>
      <c r="AA105" s="128">
        <f>SUM(V105:Z105)</f>
        <v>3474.5399999999995</v>
      </c>
      <c r="AB105" s="74"/>
      <c r="AD105" s="98" t="s">
        <v>0</v>
      </c>
      <c r="AE105" s="18" t="s">
        <v>11</v>
      </c>
      <c r="AF105" s="16"/>
      <c r="AG105" s="99">
        <f>AF105*K105</f>
        <v>0</v>
      </c>
      <c r="AH105" s="99">
        <v>0</v>
      </c>
      <c r="AI105" s="99">
        <f>AH105*K105</f>
        <v>0</v>
      </c>
      <c r="AJ105" s="99">
        <v>0</v>
      </c>
      <c r="AK105" s="100">
        <f>AJ105*K105</f>
        <v>0</v>
      </c>
      <c r="AO105" s="1">
        <v>350</v>
      </c>
      <c r="BB105" s="9" t="s">
        <v>153</v>
      </c>
      <c r="BD105" s="9" t="s">
        <v>149</v>
      </c>
      <c r="BE105" s="9" t="s">
        <v>42</v>
      </c>
      <c r="BI105" s="9" t="s">
        <v>148</v>
      </c>
      <c r="BO105" s="72">
        <f>IF(AE105="základná",V105,0)</f>
        <v>0</v>
      </c>
      <c r="BP105" s="72">
        <f>IF(AE105="znížená",V105,0)</f>
        <v>312.62</v>
      </c>
      <c r="BQ105" s="72">
        <f>IF(AE105="zákl. prenesená",V105,0)</f>
        <v>0</v>
      </c>
      <c r="BR105" s="72">
        <f>IF(AE105="zníž. prenesená",V105,0)</f>
        <v>0</v>
      </c>
      <c r="BS105" s="72">
        <f>IF(AE105="nulová",V105,0)</f>
        <v>0</v>
      </c>
      <c r="BT105" s="9" t="s">
        <v>42</v>
      </c>
      <c r="BU105" s="101">
        <f>ROUND(Q105*K105,3)</f>
        <v>312.62</v>
      </c>
      <c r="BV105" s="9" t="s">
        <v>153</v>
      </c>
      <c r="BW105" s="9" t="s">
        <v>793</v>
      </c>
    </row>
    <row r="106" spans="2:75" s="7" customFormat="1" ht="29.85" customHeight="1">
      <c r="B106" s="82"/>
      <c r="C106" s="83"/>
      <c r="D106" s="92" t="s">
        <v>558</v>
      </c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176"/>
      <c r="Q106" s="92"/>
      <c r="R106" s="92"/>
      <c r="S106" s="92"/>
      <c r="T106" s="92"/>
      <c r="U106" s="92"/>
      <c r="V106" s="134">
        <f t="shared" ref="V106:AA106" si="52">SUM(V107:V108)</f>
        <v>2322.3000000000002</v>
      </c>
      <c r="W106" s="134">
        <f t="shared" si="52"/>
        <v>2322.3000000000002</v>
      </c>
      <c r="X106" s="134">
        <f t="shared" si="52"/>
        <v>2322.3000000000002</v>
      </c>
      <c r="Y106" s="134">
        <f t="shared" si="52"/>
        <v>2322.3000000000002</v>
      </c>
      <c r="Z106" s="134">
        <f t="shared" si="52"/>
        <v>714.55</v>
      </c>
      <c r="AA106" s="134">
        <f t="shared" si="52"/>
        <v>10003.75</v>
      </c>
      <c r="AB106" s="85"/>
      <c r="AD106" s="86"/>
      <c r="AE106" s="83"/>
      <c r="AF106" s="83"/>
      <c r="AG106" s="87">
        <f>SUM(AG107:AG108)</f>
        <v>0</v>
      </c>
      <c r="AH106" s="83"/>
      <c r="AI106" s="87">
        <f>SUM(AI107:AI108)</f>
        <v>0</v>
      </c>
      <c r="AJ106" s="83"/>
      <c r="AK106" s="88">
        <f>SUM(AK107:AK108)</f>
        <v>0</v>
      </c>
      <c r="BB106" s="89" t="s">
        <v>156</v>
      </c>
      <c r="BD106" s="90" t="s">
        <v>30</v>
      </c>
      <c r="BE106" s="90" t="s">
        <v>38</v>
      </c>
      <c r="BI106" s="89" t="s">
        <v>148</v>
      </c>
      <c r="BU106" s="91">
        <f>SUM(BU107:BU108)</f>
        <v>2322.3000000000002</v>
      </c>
    </row>
    <row r="107" spans="2:75" s="1" customFormat="1" ht="31.5" customHeight="1">
      <c r="B107" s="73"/>
      <c r="C107" s="93" t="s">
        <v>794</v>
      </c>
      <c r="D107" s="93" t="s">
        <v>149</v>
      </c>
      <c r="E107" s="94" t="s">
        <v>795</v>
      </c>
      <c r="F107" s="498" t="s">
        <v>796</v>
      </c>
      <c r="G107" s="498"/>
      <c r="H107" s="498"/>
      <c r="I107" s="498"/>
      <c r="J107" s="95" t="s">
        <v>792</v>
      </c>
      <c r="K107" s="96">
        <v>1</v>
      </c>
      <c r="L107" s="128">
        <v>1</v>
      </c>
      <c r="M107" s="128">
        <v>1</v>
      </c>
      <c r="N107" s="128">
        <v>1</v>
      </c>
      <c r="O107" s="128">
        <v>1</v>
      </c>
      <c r="P107" s="165">
        <f>SUM(K107:O107)</f>
        <v>5</v>
      </c>
      <c r="Q107" s="127">
        <v>1071.83</v>
      </c>
      <c r="R107" s="127">
        <v>1071.83</v>
      </c>
      <c r="S107" s="127">
        <v>1071.83</v>
      </c>
      <c r="T107" s="127">
        <v>1071.83</v>
      </c>
      <c r="U107" s="127">
        <v>339.41</v>
      </c>
      <c r="V107" s="128">
        <f t="shared" ref="V107:Z108" si="53">ROUND(Q107*K107,3)</f>
        <v>1071.83</v>
      </c>
      <c r="W107" s="128">
        <f t="shared" si="53"/>
        <v>1071.83</v>
      </c>
      <c r="X107" s="128">
        <f t="shared" si="53"/>
        <v>1071.83</v>
      </c>
      <c r="Y107" s="128">
        <f t="shared" si="53"/>
        <v>1071.83</v>
      </c>
      <c r="Z107" s="128">
        <f t="shared" si="53"/>
        <v>339.41</v>
      </c>
      <c r="AA107" s="128">
        <f>SUM(V107:Z107)</f>
        <v>4626.7299999999996</v>
      </c>
      <c r="AB107" s="74"/>
      <c r="AD107" s="98" t="s">
        <v>0</v>
      </c>
      <c r="AE107" s="18" t="s">
        <v>11</v>
      </c>
      <c r="AF107" s="16"/>
      <c r="AG107" s="99">
        <f>AF107*K107</f>
        <v>0</v>
      </c>
      <c r="AH107" s="99">
        <v>0</v>
      </c>
      <c r="AI107" s="99">
        <f>AH107*K107</f>
        <v>0</v>
      </c>
      <c r="AJ107" s="99">
        <v>0</v>
      </c>
      <c r="AK107" s="100">
        <f>AJ107*K107</f>
        <v>0</v>
      </c>
      <c r="AO107" s="1">
        <v>1200</v>
      </c>
      <c r="BB107" s="9" t="s">
        <v>153</v>
      </c>
      <c r="BD107" s="9" t="s">
        <v>149</v>
      </c>
      <c r="BE107" s="9" t="s">
        <v>42</v>
      </c>
      <c r="BI107" s="9" t="s">
        <v>148</v>
      </c>
      <c r="BO107" s="72">
        <f>IF(AE107="základná",V107,0)</f>
        <v>0</v>
      </c>
      <c r="BP107" s="72">
        <f>IF(AE107="znížená",V107,0)</f>
        <v>1071.83</v>
      </c>
      <c r="BQ107" s="72">
        <f>IF(AE107="zákl. prenesená",V107,0)</f>
        <v>0</v>
      </c>
      <c r="BR107" s="72">
        <f>IF(AE107="zníž. prenesená",V107,0)</f>
        <v>0</v>
      </c>
      <c r="BS107" s="72">
        <f>IF(AE107="nulová",V107,0)</f>
        <v>0</v>
      </c>
      <c r="BT107" s="9" t="s">
        <v>42</v>
      </c>
      <c r="BU107" s="101">
        <f>ROUND(Q107*K107,3)</f>
        <v>1071.83</v>
      </c>
      <c r="BV107" s="9" t="s">
        <v>153</v>
      </c>
      <c r="BW107" s="9" t="s">
        <v>797</v>
      </c>
    </row>
    <row r="108" spans="2:75" s="1" customFormat="1" ht="31.5" customHeight="1">
      <c r="B108" s="73"/>
      <c r="C108" s="93" t="s">
        <v>680</v>
      </c>
      <c r="D108" s="93" t="s">
        <v>149</v>
      </c>
      <c r="E108" s="94" t="s">
        <v>798</v>
      </c>
      <c r="F108" s="498" t="s">
        <v>799</v>
      </c>
      <c r="G108" s="498"/>
      <c r="H108" s="498"/>
      <c r="I108" s="498"/>
      <c r="J108" s="95" t="s">
        <v>792</v>
      </c>
      <c r="K108" s="96">
        <v>1</v>
      </c>
      <c r="L108" s="128">
        <v>1</v>
      </c>
      <c r="M108" s="128">
        <v>1</v>
      </c>
      <c r="N108" s="128">
        <v>1</v>
      </c>
      <c r="O108" s="128">
        <v>1</v>
      </c>
      <c r="P108" s="165">
        <f>SUM(K108:O108)</f>
        <v>5</v>
      </c>
      <c r="Q108" s="127">
        <v>1250.47</v>
      </c>
      <c r="R108" s="127">
        <v>1250.47</v>
      </c>
      <c r="S108" s="127">
        <v>1250.47</v>
      </c>
      <c r="T108" s="127">
        <v>1250.47</v>
      </c>
      <c r="U108" s="127">
        <v>375.14</v>
      </c>
      <c r="V108" s="128">
        <f t="shared" si="53"/>
        <v>1250.47</v>
      </c>
      <c r="W108" s="128">
        <f t="shared" si="53"/>
        <v>1250.47</v>
      </c>
      <c r="X108" s="128">
        <f t="shared" si="53"/>
        <v>1250.47</v>
      </c>
      <c r="Y108" s="128">
        <f t="shared" si="53"/>
        <v>1250.47</v>
      </c>
      <c r="Z108" s="128">
        <f t="shared" si="53"/>
        <v>375.14</v>
      </c>
      <c r="AA108" s="128">
        <f>SUM(V108:Z108)</f>
        <v>5377.02</v>
      </c>
      <c r="AB108" s="74"/>
      <c r="AD108" s="98" t="s">
        <v>0</v>
      </c>
      <c r="AE108" s="18" t="s">
        <v>11</v>
      </c>
      <c r="AF108" s="16"/>
      <c r="AG108" s="99">
        <f>AF108*K108</f>
        <v>0</v>
      </c>
      <c r="AH108" s="99">
        <v>0</v>
      </c>
      <c r="AI108" s="99">
        <f>AH108*K108</f>
        <v>0</v>
      </c>
      <c r="AJ108" s="99">
        <v>0</v>
      </c>
      <c r="AK108" s="100">
        <f>AJ108*K108</f>
        <v>0</v>
      </c>
      <c r="AO108" s="1">
        <v>1400</v>
      </c>
      <c r="BB108" s="9" t="s">
        <v>153</v>
      </c>
      <c r="BD108" s="9" t="s">
        <v>149</v>
      </c>
      <c r="BE108" s="9" t="s">
        <v>42</v>
      </c>
      <c r="BI108" s="9" t="s">
        <v>148</v>
      </c>
      <c r="BO108" s="72">
        <f>IF(AE108="základná",V108,0)</f>
        <v>0</v>
      </c>
      <c r="BP108" s="72">
        <f>IF(AE108="znížená",V108,0)</f>
        <v>1250.47</v>
      </c>
      <c r="BQ108" s="72">
        <f>IF(AE108="zákl. prenesená",V108,0)</f>
        <v>0</v>
      </c>
      <c r="BR108" s="72">
        <f>IF(AE108="zníž. prenesená",V108,0)</f>
        <v>0</v>
      </c>
      <c r="BS108" s="72">
        <f>IF(AE108="nulová",V108,0)</f>
        <v>0</v>
      </c>
      <c r="BT108" s="9" t="s">
        <v>42</v>
      </c>
      <c r="BU108" s="101">
        <f>ROUND(Q108*K108,3)</f>
        <v>1250.47</v>
      </c>
      <c r="BV108" s="9" t="s">
        <v>153</v>
      </c>
      <c r="BW108" s="9" t="s">
        <v>800</v>
      </c>
    </row>
    <row r="109" spans="2:75" s="7" customFormat="1" ht="29.85" customHeight="1">
      <c r="B109" s="82"/>
      <c r="C109" s="83"/>
      <c r="D109" s="92" t="s">
        <v>559</v>
      </c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176"/>
      <c r="Q109" s="92"/>
      <c r="R109" s="92"/>
      <c r="S109" s="92"/>
      <c r="T109" s="92"/>
      <c r="U109" s="92"/>
      <c r="V109" s="141">
        <f t="shared" ref="V109:AA109" si="54">BU109</f>
        <v>0</v>
      </c>
      <c r="W109" s="141">
        <f t="shared" si="54"/>
        <v>0</v>
      </c>
      <c r="X109" s="141">
        <f t="shared" si="54"/>
        <v>0</v>
      </c>
      <c r="Y109" s="141">
        <f t="shared" si="54"/>
        <v>0</v>
      </c>
      <c r="Z109" s="141">
        <f t="shared" si="54"/>
        <v>0</v>
      </c>
      <c r="AA109" s="141">
        <f t="shared" si="54"/>
        <v>0</v>
      </c>
      <c r="AB109" s="85"/>
      <c r="AD109" s="86"/>
      <c r="AE109" s="83"/>
      <c r="AF109" s="83"/>
      <c r="AG109" s="87">
        <v>0</v>
      </c>
      <c r="AH109" s="83"/>
      <c r="AI109" s="87">
        <v>0</v>
      </c>
      <c r="AJ109" s="83"/>
      <c r="AK109" s="88">
        <v>0</v>
      </c>
      <c r="BB109" s="89" t="s">
        <v>156</v>
      </c>
      <c r="BD109" s="90" t="s">
        <v>30</v>
      </c>
      <c r="BE109" s="90" t="s">
        <v>38</v>
      </c>
      <c r="BI109" s="89" t="s">
        <v>148</v>
      </c>
      <c r="BU109" s="91">
        <v>0</v>
      </c>
    </row>
    <row r="110" spans="2:75" s="7" customFormat="1" ht="19.899999999999999" customHeight="1">
      <c r="B110" s="82"/>
      <c r="C110" s="83"/>
      <c r="D110" s="92" t="s">
        <v>560</v>
      </c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176"/>
      <c r="Q110" s="92"/>
      <c r="R110" s="92"/>
      <c r="S110" s="92"/>
      <c r="T110" s="92"/>
      <c r="U110" s="92"/>
      <c r="V110" s="131">
        <f t="shared" ref="V110:AA110" si="55">SUM(V111:V114)</f>
        <v>535.91999999999996</v>
      </c>
      <c r="W110" s="131">
        <f t="shared" si="55"/>
        <v>535.91999999999996</v>
      </c>
      <c r="X110" s="131">
        <f t="shared" si="55"/>
        <v>535.91999999999996</v>
      </c>
      <c r="Y110" s="131">
        <f t="shared" si="55"/>
        <v>535.91999999999996</v>
      </c>
      <c r="Z110" s="131">
        <f t="shared" si="55"/>
        <v>357.28</v>
      </c>
      <c r="AA110" s="131">
        <f t="shared" si="55"/>
        <v>2500.96</v>
      </c>
      <c r="AB110" s="85"/>
      <c r="AD110" s="86"/>
      <c r="AE110" s="83"/>
      <c r="AF110" s="83"/>
      <c r="AG110" s="87">
        <f>SUM(AG111:AG114)</f>
        <v>0</v>
      </c>
      <c r="AH110" s="83"/>
      <c r="AI110" s="87">
        <f>SUM(AI111:AI114)</f>
        <v>0</v>
      </c>
      <c r="AJ110" s="83"/>
      <c r="AK110" s="88">
        <f>SUM(AK111:AK114)</f>
        <v>0</v>
      </c>
      <c r="BB110" s="89" t="s">
        <v>156</v>
      </c>
      <c r="BD110" s="90" t="s">
        <v>30</v>
      </c>
      <c r="BE110" s="90" t="s">
        <v>38</v>
      </c>
      <c r="BI110" s="89" t="s">
        <v>148</v>
      </c>
      <c r="BU110" s="91">
        <f>SUM(BU111:BU114)</f>
        <v>535.91999999999996</v>
      </c>
    </row>
    <row r="111" spans="2:75" s="1" customFormat="1" ht="31.5" customHeight="1">
      <c r="B111" s="73"/>
      <c r="C111" s="93" t="s">
        <v>801</v>
      </c>
      <c r="D111" s="93" t="s">
        <v>149</v>
      </c>
      <c r="E111" s="94" t="s">
        <v>802</v>
      </c>
      <c r="F111" s="498" t="s">
        <v>803</v>
      </c>
      <c r="G111" s="498"/>
      <c r="H111" s="498"/>
      <c r="I111" s="498"/>
      <c r="J111" s="95" t="s">
        <v>792</v>
      </c>
      <c r="K111" s="96">
        <v>1</v>
      </c>
      <c r="L111" s="128">
        <v>1</v>
      </c>
      <c r="M111" s="128">
        <v>1</v>
      </c>
      <c r="N111" s="128">
        <v>1</v>
      </c>
      <c r="O111" s="128">
        <v>1</v>
      </c>
      <c r="P111" s="165">
        <f>SUM(K111:O111)</f>
        <v>5</v>
      </c>
      <c r="Q111" s="127">
        <v>133.97999999999999</v>
      </c>
      <c r="R111" s="127">
        <v>133.97999999999999</v>
      </c>
      <c r="S111" s="127">
        <v>133.97999999999999</v>
      </c>
      <c r="T111" s="127">
        <v>133.97999999999999</v>
      </c>
      <c r="U111" s="127">
        <v>89.32</v>
      </c>
      <c r="V111" s="128">
        <f t="shared" ref="V111:Z114" si="56">ROUND(Q111*K111,3)</f>
        <v>133.97999999999999</v>
      </c>
      <c r="W111" s="128">
        <f t="shared" si="56"/>
        <v>133.97999999999999</v>
      </c>
      <c r="X111" s="128">
        <f t="shared" si="56"/>
        <v>133.97999999999999</v>
      </c>
      <c r="Y111" s="128">
        <f t="shared" si="56"/>
        <v>133.97999999999999</v>
      </c>
      <c r="Z111" s="128">
        <f t="shared" si="56"/>
        <v>89.32</v>
      </c>
      <c r="AA111" s="128">
        <f>SUM(V111:Z111)</f>
        <v>625.24</v>
      </c>
      <c r="AB111" s="74"/>
      <c r="AD111" s="98" t="s">
        <v>0</v>
      </c>
      <c r="AE111" s="18" t="s">
        <v>11</v>
      </c>
      <c r="AF111" s="16"/>
      <c r="AG111" s="99">
        <f>AF111*K111</f>
        <v>0</v>
      </c>
      <c r="AH111" s="99">
        <v>0</v>
      </c>
      <c r="AI111" s="99">
        <f>AH111*K111</f>
        <v>0</v>
      </c>
      <c r="AJ111" s="99">
        <v>0</v>
      </c>
      <c r="AK111" s="100">
        <f>AJ111*K111</f>
        <v>0</v>
      </c>
      <c r="AO111" s="1">
        <v>150</v>
      </c>
      <c r="BB111" s="9" t="s">
        <v>153</v>
      </c>
      <c r="BD111" s="9" t="s">
        <v>149</v>
      </c>
      <c r="BE111" s="9" t="s">
        <v>42</v>
      </c>
      <c r="BI111" s="9" t="s">
        <v>148</v>
      </c>
      <c r="BO111" s="72">
        <f>IF(AE111="základná",V111,0)</f>
        <v>0</v>
      </c>
      <c r="BP111" s="72">
        <f>IF(AE111="znížená",V111,0)</f>
        <v>133.97999999999999</v>
      </c>
      <c r="BQ111" s="72">
        <f>IF(AE111="zákl. prenesená",V111,0)</f>
        <v>0</v>
      </c>
      <c r="BR111" s="72">
        <f>IF(AE111="zníž. prenesená",V111,0)</f>
        <v>0</v>
      </c>
      <c r="BS111" s="72">
        <f>IF(AE111="nulová",V111,0)</f>
        <v>0</v>
      </c>
      <c r="BT111" s="9" t="s">
        <v>42</v>
      </c>
      <c r="BU111" s="101">
        <f>ROUND(Q111*K111,3)</f>
        <v>133.97999999999999</v>
      </c>
      <c r="BV111" s="9" t="s">
        <v>153</v>
      </c>
      <c r="BW111" s="9" t="s">
        <v>804</v>
      </c>
    </row>
    <row r="112" spans="2:75" s="1" customFormat="1" ht="31.5" customHeight="1">
      <c r="B112" s="73"/>
      <c r="C112" s="93" t="s">
        <v>687</v>
      </c>
      <c r="D112" s="93" t="s">
        <v>149</v>
      </c>
      <c r="E112" s="94" t="s">
        <v>805</v>
      </c>
      <c r="F112" s="498" t="s">
        <v>806</v>
      </c>
      <c r="G112" s="498"/>
      <c r="H112" s="498"/>
      <c r="I112" s="498"/>
      <c r="J112" s="95" t="s">
        <v>792</v>
      </c>
      <c r="K112" s="96">
        <v>1</v>
      </c>
      <c r="L112" s="128">
        <v>1</v>
      </c>
      <c r="M112" s="128">
        <v>1</v>
      </c>
      <c r="N112" s="128">
        <v>1</v>
      </c>
      <c r="O112" s="128">
        <v>1</v>
      </c>
      <c r="P112" s="165">
        <f>SUM(K112:O112)</f>
        <v>5</v>
      </c>
      <c r="Q112" s="127">
        <v>133.97999999999999</v>
      </c>
      <c r="R112" s="127">
        <v>133.97999999999999</v>
      </c>
      <c r="S112" s="127">
        <v>133.97999999999999</v>
      </c>
      <c r="T112" s="127">
        <v>133.97999999999999</v>
      </c>
      <c r="U112" s="127">
        <v>89.32</v>
      </c>
      <c r="V112" s="128">
        <f t="shared" si="56"/>
        <v>133.97999999999999</v>
      </c>
      <c r="W112" s="128">
        <f t="shared" si="56"/>
        <v>133.97999999999999</v>
      </c>
      <c r="X112" s="128">
        <f t="shared" si="56"/>
        <v>133.97999999999999</v>
      </c>
      <c r="Y112" s="128">
        <f t="shared" si="56"/>
        <v>133.97999999999999</v>
      </c>
      <c r="Z112" s="128">
        <f t="shared" si="56"/>
        <v>89.32</v>
      </c>
      <c r="AA112" s="128">
        <f>SUM(V112:Z112)</f>
        <v>625.24</v>
      </c>
      <c r="AB112" s="74"/>
      <c r="AD112" s="98" t="s">
        <v>0</v>
      </c>
      <c r="AE112" s="18" t="s">
        <v>11</v>
      </c>
      <c r="AF112" s="16"/>
      <c r="AG112" s="99">
        <f>AF112*K112</f>
        <v>0</v>
      </c>
      <c r="AH112" s="99">
        <v>0</v>
      </c>
      <c r="AI112" s="99">
        <f>AH112*K112</f>
        <v>0</v>
      </c>
      <c r="AJ112" s="99">
        <v>0</v>
      </c>
      <c r="AK112" s="100">
        <f>AJ112*K112</f>
        <v>0</v>
      </c>
      <c r="AO112" s="1">
        <v>150</v>
      </c>
      <c r="BB112" s="9" t="s">
        <v>153</v>
      </c>
      <c r="BD112" s="9" t="s">
        <v>149</v>
      </c>
      <c r="BE112" s="9" t="s">
        <v>42</v>
      </c>
      <c r="BI112" s="9" t="s">
        <v>148</v>
      </c>
      <c r="BO112" s="72">
        <f>IF(AE112="základná",V112,0)</f>
        <v>0</v>
      </c>
      <c r="BP112" s="72">
        <f>IF(AE112="znížená",V112,0)</f>
        <v>133.97999999999999</v>
      </c>
      <c r="BQ112" s="72">
        <f>IF(AE112="zákl. prenesená",V112,0)</f>
        <v>0</v>
      </c>
      <c r="BR112" s="72">
        <f>IF(AE112="zníž. prenesená",V112,0)</f>
        <v>0</v>
      </c>
      <c r="BS112" s="72">
        <f>IF(AE112="nulová",V112,0)</f>
        <v>0</v>
      </c>
      <c r="BT112" s="9" t="s">
        <v>42</v>
      </c>
      <c r="BU112" s="101">
        <f>ROUND(Q112*K112,3)</f>
        <v>133.97999999999999</v>
      </c>
      <c r="BV112" s="9" t="s">
        <v>153</v>
      </c>
      <c r="BW112" s="9" t="s">
        <v>807</v>
      </c>
    </row>
    <row r="113" spans="2:75" s="1" customFormat="1" ht="31.5" customHeight="1">
      <c r="B113" s="73"/>
      <c r="C113" s="93" t="s">
        <v>808</v>
      </c>
      <c r="D113" s="93" t="s">
        <v>149</v>
      </c>
      <c r="E113" s="94" t="s">
        <v>809</v>
      </c>
      <c r="F113" s="498" t="s">
        <v>810</v>
      </c>
      <c r="G113" s="498"/>
      <c r="H113" s="498"/>
      <c r="I113" s="498"/>
      <c r="J113" s="95" t="s">
        <v>792</v>
      </c>
      <c r="K113" s="96">
        <v>1</v>
      </c>
      <c r="L113" s="128">
        <v>1</v>
      </c>
      <c r="M113" s="128">
        <v>1</v>
      </c>
      <c r="N113" s="128">
        <v>1</v>
      </c>
      <c r="O113" s="128">
        <v>1</v>
      </c>
      <c r="P113" s="165">
        <f>SUM(K113:O113)</f>
        <v>5</v>
      </c>
      <c r="Q113" s="127">
        <v>133.97999999999999</v>
      </c>
      <c r="R113" s="127">
        <v>133.97999999999999</v>
      </c>
      <c r="S113" s="127">
        <v>133.97999999999999</v>
      </c>
      <c r="T113" s="127">
        <v>133.97999999999999</v>
      </c>
      <c r="U113" s="127">
        <v>89.32</v>
      </c>
      <c r="V113" s="128">
        <f t="shared" si="56"/>
        <v>133.97999999999999</v>
      </c>
      <c r="W113" s="128">
        <f t="shared" si="56"/>
        <v>133.97999999999999</v>
      </c>
      <c r="X113" s="128">
        <f t="shared" si="56"/>
        <v>133.97999999999999</v>
      </c>
      <c r="Y113" s="128">
        <f t="shared" si="56"/>
        <v>133.97999999999999</v>
      </c>
      <c r="Z113" s="128">
        <f t="shared" si="56"/>
        <v>89.32</v>
      </c>
      <c r="AA113" s="128">
        <f>SUM(V113:Z113)</f>
        <v>625.24</v>
      </c>
      <c r="AB113" s="74"/>
      <c r="AD113" s="98" t="s">
        <v>0</v>
      </c>
      <c r="AE113" s="18" t="s">
        <v>11</v>
      </c>
      <c r="AF113" s="16"/>
      <c r="AG113" s="99">
        <f>AF113*K113</f>
        <v>0</v>
      </c>
      <c r="AH113" s="99">
        <v>0</v>
      </c>
      <c r="AI113" s="99">
        <f>AH113*K113</f>
        <v>0</v>
      </c>
      <c r="AJ113" s="99">
        <v>0</v>
      </c>
      <c r="AK113" s="100">
        <f>AJ113*K113</f>
        <v>0</v>
      </c>
      <c r="AO113" s="1">
        <v>150</v>
      </c>
      <c r="BB113" s="9" t="s">
        <v>153</v>
      </c>
      <c r="BD113" s="9" t="s">
        <v>149</v>
      </c>
      <c r="BE113" s="9" t="s">
        <v>42</v>
      </c>
      <c r="BI113" s="9" t="s">
        <v>148</v>
      </c>
      <c r="BO113" s="72">
        <f>IF(AE113="základná",V113,0)</f>
        <v>0</v>
      </c>
      <c r="BP113" s="72">
        <f>IF(AE113="znížená",V113,0)</f>
        <v>133.97999999999999</v>
      </c>
      <c r="BQ113" s="72">
        <f>IF(AE113="zákl. prenesená",V113,0)</f>
        <v>0</v>
      </c>
      <c r="BR113" s="72">
        <f>IF(AE113="zníž. prenesená",V113,0)</f>
        <v>0</v>
      </c>
      <c r="BS113" s="72">
        <f>IF(AE113="nulová",V113,0)</f>
        <v>0</v>
      </c>
      <c r="BT113" s="9" t="s">
        <v>42</v>
      </c>
      <c r="BU113" s="101">
        <f>ROUND(Q113*K113,3)</f>
        <v>133.97999999999999</v>
      </c>
      <c r="BV113" s="9" t="s">
        <v>153</v>
      </c>
      <c r="BW113" s="9" t="s">
        <v>811</v>
      </c>
    </row>
    <row r="114" spans="2:75" s="1" customFormat="1" ht="31.5" customHeight="1">
      <c r="B114" s="73"/>
      <c r="C114" s="93" t="s">
        <v>691</v>
      </c>
      <c r="D114" s="93" t="s">
        <v>149</v>
      </c>
      <c r="E114" s="94" t="s">
        <v>812</v>
      </c>
      <c r="F114" s="498" t="s">
        <v>813</v>
      </c>
      <c r="G114" s="498"/>
      <c r="H114" s="498"/>
      <c r="I114" s="498"/>
      <c r="J114" s="95" t="s">
        <v>792</v>
      </c>
      <c r="K114" s="96">
        <v>1</v>
      </c>
      <c r="L114" s="128">
        <v>1</v>
      </c>
      <c r="M114" s="128">
        <v>1</v>
      </c>
      <c r="N114" s="128">
        <v>1</v>
      </c>
      <c r="O114" s="128">
        <v>1</v>
      </c>
      <c r="P114" s="165">
        <f>SUM(K114:O114)</f>
        <v>5</v>
      </c>
      <c r="Q114" s="127">
        <v>133.97999999999999</v>
      </c>
      <c r="R114" s="127">
        <v>133.97999999999999</v>
      </c>
      <c r="S114" s="127">
        <v>133.97999999999999</v>
      </c>
      <c r="T114" s="127">
        <v>133.97999999999999</v>
      </c>
      <c r="U114" s="127">
        <v>89.32</v>
      </c>
      <c r="V114" s="128">
        <f t="shared" si="56"/>
        <v>133.97999999999999</v>
      </c>
      <c r="W114" s="128">
        <f t="shared" si="56"/>
        <v>133.97999999999999</v>
      </c>
      <c r="X114" s="128">
        <f t="shared" si="56"/>
        <v>133.97999999999999</v>
      </c>
      <c r="Y114" s="128">
        <f t="shared" si="56"/>
        <v>133.97999999999999</v>
      </c>
      <c r="Z114" s="128">
        <f t="shared" si="56"/>
        <v>89.32</v>
      </c>
      <c r="AA114" s="128">
        <f>SUM(V114:Z114)</f>
        <v>625.24</v>
      </c>
      <c r="AB114" s="74"/>
      <c r="AD114" s="98" t="s">
        <v>0</v>
      </c>
      <c r="AE114" s="18" t="s">
        <v>11</v>
      </c>
      <c r="AF114" s="16"/>
      <c r="AG114" s="99">
        <f>AF114*K114</f>
        <v>0</v>
      </c>
      <c r="AH114" s="99">
        <v>0</v>
      </c>
      <c r="AI114" s="99">
        <f>AH114*K114</f>
        <v>0</v>
      </c>
      <c r="AJ114" s="99">
        <v>0</v>
      </c>
      <c r="AK114" s="100">
        <f>AJ114*K114</f>
        <v>0</v>
      </c>
      <c r="AO114" s="1">
        <v>150</v>
      </c>
      <c r="BB114" s="9" t="s">
        <v>153</v>
      </c>
      <c r="BD114" s="9" t="s">
        <v>149</v>
      </c>
      <c r="BE114" s="9" t="s">
        <v>42</v>
      </c>
      <c r="BI114" s="9" t="s">
        <v>148</v>
      </c>
      <c r="BO114" s="72">
        <f>IF(AE114="základná",V114,0)</f>
        <v>0</v>
      </c>
      <c r="BP114" s="72">
        <f>IF(AE114="znížená",V114,0)</f>
        <v>133.97999999999999</v>
      </c>
      <c r="BQ114" s="72">
        <f>IF(AE114="zákl. prenesená",V114,0)</f>
        <v>0</v>
      </c>
      <c r="BR114" s="72">
        <f>IF(AE114="zníž. prenesená",V114,0)</f>
        <v>0</v>
      </c>
      <c r="BS114" s="72">
        <f>IF(AE114="nulová",V114,0)</f>
        <v>0</v>
      </c>
      <c r="BT114" s="9" t="s">
        <v>42</v>
      </c>
      <c r="BU114" s="101">
        <f>ROUND(Q114*K114,3)</f>
        <v>133.97999999999999</v>
      </c>
      <c r="BV114" s="9" t="s">
        <v>153</v>
      </c>
      <c r="BW114" s="9" t="s">
        <v>814</v>
      </c>
    </row>
    <row r="115" spans="2:75" s="1" customFormat="1" ht="49.9" customHeight="1">
      <c r="B115" s="15"/>
      <c r="C115" s="436"/>
      <c r="D115" s="437" t="s">
        <v>243</v>
      </c>
      <c r="E115" s="436"/>
      <c r="F115" s="436"/>
      <c r="G115" s="436"/>
      <c r="H115" s="436"/>
      <c r="I115" s="436"/>
      <c r="J115" s="436"/>
      <c r="K115" s="436"/>
      <c r="L115" s="436"/>
      <c r="M115" s="436"/>
      <c r="N115" s="436"/>
      <c r="O115" s="436"/>
      <c r="P115" s="436"/>
      <c r="Q115" s="436"/>
      <c r="R115" s="436"/>
      <c r="S115" s="436"/>
      <c r="T115" s="436"/>
      <c r="U115" s="436"/>
      <c r="V115" s="438">
        <f t="shared" ref="V115:AA115" si="57">V133+V118</f>
        <v>3821.203</v>
      </c>
      <c r="W115" s="438">
        <f t="shared" si="57"/>
        <v>3784.8429999999998</v>
      </c>
      <c r="X115" s="438">
        <f t="shared" si="57"/>
        <v>3882.1480000000001</v>
      </c>
      <c r="Y115" s="438">
        <f t="shared" si="57"/>
        <v>5767.9880000000003</v>
      </c>
      <c r="Z115" s="438">
        <f t="shared" si="57"/>
        <v>2764.1100000000006</v>
      </c>
      <c r="AA115" s="438">
        <f t="shared" si="57"/>
        <v>20020.292000000001</v>
      </c>
      <c r="AB115" s="17"/>
      <c r="AD115" s="106"/>
      <c r="AE115" s="21"/>
      <c r="AF115" s="21"/>
      <c r="AG115" s="21"/>
      <c r="AH115" s="21"/>
      <c r="AI115" s="21"/>
      <c r="AJ115" s="21"/>
      <c r="AK115" s="22"/>
      <c r="BD115" s="9" t="s">
        <v>30</v>
      </c>
      <c r="BE115" s="9" t="s">
        <v>31</v>
      </c>
      <c r="BI115" s="9" t="s">
        <v>244</v>
      </c>
      <c r="BU115" s="101">
        <v>0</v>
      </c>
    </row>
    <row r="116" spans="2:75" s="1" customFormat="1" ht="32.25" customHeight="1">
      <c r="B116" s="15"/>
      <c r="C116" s="436"/>
      <c r="D116" s="441" t="s">
        <v>1435</v>
      </c>
      <c r="E116" s="436"/>
      <c r="F116" s="436"/>
      <c r="G116" s="436"/>
      <c r="H116" s="436"/>
      <c r="I116" s="436"/>
      <c r="J116" s="436"/>
      <c r="K116" s="436"/>
      <c r="L116" s="436"/>
      <c r="M116" s="436"/>
      <c r="N116" s="436"/>
      <c r="O116" s="436"/>
      <c r="P116" s="436"/>
      <c r="Q116" s="436"/>
      <c r="R116" s="436"/>
      <c r="S116" s="436"/>
      <c r="T116" s="436"/>
      <c r="U116" s="436"/>
      <c r="V116" s="476">
        <f>SUMIF(V119:V132,"&lt;0")+SUMIF(V134:V136,"&lt;0")</f>
        <v>-1744.4099999999999</v>
      </c>
      <c r="W116" s="476">
        <f>SUMIF(W119:W132,"&lt;0")+SUMIF(W134:W136,"&lt;0")</f>
        <v>-1744.4099999999999</v>
      </c>
      <c r="X116" s="476">
        <f>SUMIF(X119:X132,"&lt;0")+SUMIF(X134:X136,"&lt;0")</f>
        <v>-1257.53</v>
      </c>
      <c r="Y116" s="476">
        <f>SUMIF(Y119:Y132,"&lt;0")+SUMIF(Y134:Y136,"&lt;0")</f>
        <v>-2396.2199999999998</v>
      </c>
      <c r="Z116" s="476">
        <f>SUMIF(Z119:Z132,"&lt;0")+SUMIF(Z134:Z136,"&lt;0")</f>
        <v>-196.32</v>
      </c>
      <c r="AA116" s="477"/>
      <c r="AB116" s="17"/>
      <c r="AD116" s="479"/>
      <c r="AE116" s="464"/>
      <c r="AF116" s="464"/>
      <c r="AG116" s="464"/>
      <c r="AH116" s="464"/>
      <c r="AI116" s="464"/>
      <c r="AJ116" s="464"/>
      <c r="AK116" s="37"/>
      <c r="BD116" s="9"/>
      <c r="BE116" s="9"/>
      <c r="BI116" s="9"/>
      <c r="BU116" s="101"/>
    </row>
    <row r="117" spans="2:75" s="1" customFormat="1" ht="41.25" customHeight="1">
      <c r="B117" s="15"/>
      <c r="C117" s="436"/>
      <c r="D117" s="441" t="s">
        <v>1436</v>
      </c>
      <c r="E117" s="436"/>
      <c r="F117" s="436"/>
      <c r="G117" s="436"/>
      <c r="H117" s="436"/>
      <c r="I117" s="436"/>
      <c r="J117" s="436"/>
      <c r="K117" s="436"/>
      <c r="L117" s="436"/>
      <c r="M117" s="436"/>
      <c r="N117" s="436"/>
      <c r="O117" s="436"/>
      <c r="P117" s="436"/>
      <c r="Q117" s="436"/>
      <c r="R117" s="436"/>
      <c r="S117" s="436"/>
      <c r="T117" s="436"/>
      <c r="U117" s="436"/>
      <c r="V117" s="476">
        <f>SUMIF(V119:V132,"&gt;0")+SUMIF(V134:V136,"&gt;0")</f>
        <v>5565.6130000000003</v>
      </c>
      <c r="W117" s="476">
        <f>SUMIF(W119:W132,"&gt;0")+SUMIF(W134:W136,"&gt;0")</f>
        <v>5529.2529999999997</v>
      </c>
      <c r="X117" s="476">
        <f>SUMIF(X119:X132,"&gt;0")+SUMIF(X134:X136,"&gt;0")</f>
        <v>5139.6779999999999</v>
      </c>
      <c r="Y117" s="476">
        <f>SUMIF(Y119:Y132,"&gt;0")+SUMIF(Y134:Y136,"&gt;0")</f>
        <v>8164.2080000000005</v>
      </c>
      <c r="Z117" s="476">
        <f>SUMIF(Z119:Z132,"&gt;0")+SUMIF(Z134:Z136,"&gt;0")</f>
        <v>2960.4300000000003</v>
      </c>
      <c r="AA117" s="477"/>
      <c r="AB117" s="17"/>
      <c r="AD117" s="479"/>
      <c r="AE117" s="464"/>
      <c r="AF117" s="464"/>
      <c r="AG117" s="464"/>
      <c r="AH117" s="464"/>
      <c r="AI117" s="464"/>
      <c r="AJ117" s="464"/>
      <c r="AK117" s="37"/>
      <c r="BD117" s="9"/>
      <c r="BE117" s="9"/>
      <c r="BI117" s="9"/>
      <c r="BU117" s="101"/>
    </row>
    <row r="118" spans="2:75" s="7" customFormat="1" ht="19.899999999999999" customHeight="1">
      <c r="B118" s="82"/>
      <c r="C118" s="83"/>
      <c r="D118" s="92" t="s">
        <v>553</v>
      </c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176"/>
      <c r="Q118" s="92"/>
      <c r="R118" s="92"/>
      <c r="S118" s="92"/>
      <c r="T118" s="92"/>
      <c r="U118" s="92"/>
      <c r="V118" s="131">
        <f t="shared" ref="V118:AA118" si="58">SUM(V119:V132)</f>
        <v>121.56000000000006</v>
      </c>
      <c r="W118" s="131">
        <f t="shared" si="58"/>
        <v>121.56000000000006</v>
      </c>
      <c r="X118" s="131">
        <f t="shared" si="58"/>
        <v>121.56000000000017</v>
      </c>
      <c r="Y118" s="131">
        <f t="shared" si="58"/>
        <v>73.169999999999902</v>
      </c>
      <c r="Z118" s="131">
        <f t="shared" si="58"/>
        <v>2382.9600000000005</v>
      </c>
      <c r="AA118" s="131">
        <f t="shared" si="58"/>
        <v>2820.8099999999995</v>
      </c>
      <c r="AB118" s="85"/>
      <c r="AD118" s="86"/>
      <c r="AE118" s="83"/>
      <c r="AF118" s="83"/>
      <c r="AG118" s="87">
        <f>SUM(AG133:AG199)</f>
        <v>0</v>
      </c>
      <c r="AH118" s="83"/>
      <c r="AI118" s="87">
        <f>SUM(AI133:AI199)</f>
        <v>0</v>
      </c>
      <c r="AJ118" s="83"/>
      <c r="AK118" s="88">
        <f>SUM(AK133:AK199)</f>
        <v>0</v>
      </c>
      <c r="BB118" s="89" t="s">
        <v>38</v>
      </c>
      <c r="BD118" s="90" t="s">
        <v>30</v>
      </c>
      <c r="BE118" s="90" t="s">
        <v>38</v>
      </c>
      <c r="BI118" s="89" t="s">
        <v>148</v>
      </c>
      <c r="BU118" s="91">
        <f>SUM(BU133:BU199)</f>
        <v>3699.643</v>
      </c>
    </row>
    <row r="119" spans="2:75" s="158" customFormat="1" ht="31.5" customHeight="1">
      <c r="B119" s="156"/>
      <c r="C119" s="102">
        <v>1</v>
      </c>
      <c r="D119" s="102" t="s">
        <v>171</v>
      </c>
      <c r="E119" s="103" t="s">
        <v>759</v>
      </c>
      <c r="F119" s="499" t="s">
        <v>760</v>
      </c>
      <c r="G119" s="499"/>
      <c r="H119" s="499"/>
      <c r="I119" s="499"/>
      <c r="J119" s="104" t="s">
        <v>198</v>
      </c>
      <c r="K119" s="133">
        <v>0</v>
      </c>
      <c r="L119" s="133">
        <v>0</v>
      </c>
      <c r="M119" s="133">
        <v>0</v>
      </c>
      <c r="N119" s="133">
        <v>0</v>
      </c>
      <c r="O119" s="133">
        <v>25</v>
      </c>
      <c r="P119" s="177">
        <f t="shared" ref="P119:P126" si="59">SUM(K119:O119)</f>
        <v>25</v>
      </c>
      <c r="Q119" s="140">
        <v>0.6</v>
      </c>
      <c r="R119" s="140">
        <v>0.6</v>
      </c>
      <c r="S119" s="140">
        <v>0.6</v>
      </c>
      <c r="T119" s="140">
        <v>0.6</v>
      </c>
      <c r="U119" s="140">
        <v>0.6</v>
      </c>
      <c r="V119" s="133">
        <f t="shared" ref="V119:V126" si="60">ROUND(Q119*K119,3)</f>
        <v>0</v>
      </c>
      <c r="W119" s="133">
        <f t="shared" ref="W119:W126" si="61">ROUND(R119*L119,3)</f>
        <v>0</v>
      </c>
      <c r="X119" s="133">
        <f t="shared" ref="X119:X126" si="62">ROUND(S119*M119,3)</f>
        <v>0</v>
      </c>
      <c r="Y119" s="133">
        <f t="shared" ref="Y119:Y126" si="63">ROUND(T119*N119,3)</f>
        <v>0</v>
      </c>
      <c r="Z119" s="133">
        <f t="shared" ref="Z119:Z126" si="64">ROUND(U119*O119,3)</f>
        <v>15</v>
      </c>
      <c r="AA119" s="133">
        <f t="shared" ref="AA119:AA126" si="65">SUM(V119:Z119)</f>
        <v>15</v>
      </c>
      <c r="AB119" s="157"/>
      <c r="AC119" s="166" t="s">
        <v>1034</v>
      </c>
      <c r="AD119" s="167" t="s">
        <v>0</v>
      </c>
      <c r="AE119" s="168" t="s">
        <v>11</v>
      </c>
      <c r="AF119" s="169"/>
      <c r="AG119" s="170">
        <f>AF119*K119</f>
        <v>0</v>
      </c>
      <c r="AH119" s="170">
        <v>0</v>
      </c>
      <c r="AI119" s="170">
        <f>AH119*K119</f>
        <v>0</v>
      </c>
      <c r="AJ119" s="170">
        <v>0</v>
      </c>
      <c r="AK119" s="171">
        <f>AJ119*K119</f>
        <v>0</v>
      </c>
      <c r="AM119" s="166" t="s">
        <v>1035</v>
      </c>
      <c r="AO119" s="158">
        <v>0.68</v>
      </c>
      <c r="BB119" s="172" t="s">
        <v>165</v>
      </c>
      <c r="BD119" s="172" t="s">
        <v>171</v>
      </c>
      <c r="BE119" s="172" t="s">
        <v>42</v>
      </c>
      <c r="BI119" s="172" t="s">
        <v>148</v>
      </c>
      <c r="BO119" s="173">
        <f>IF(AE119="základná",V119,0)</f>
        <v>0</v>
      </c>
      <c r="BP119" s="173">
        <f>IF(AE119="znížená",V119,0)</f>
        <v>0</v>
      </c>
      <c r="BQ119" s="173">
        <f>IF(AE119="zákl. prenesená",V119,0)</f>
        <v>0</v>
      </c>
      <c r="BR119" s="173">
        <f>IF(AE119="zníž. prenesená",V119,0)</f>
        <v>0</v>
      </c>
      <c r="BS119" s="173">
        <f>IF(AE119="nulová",V119,0)</f>
        <v>0</v>
      </c>
      <c r="BT119" s="172" t="s">
        <v>42</v>
      </c>
      <c r="BU119" s="174">
        <f>ROUND(Q119*K119,3)</f>
        <v>0</v>
      </c>
      <c r="BV119" s="172" t="s">
        <v>153</v>
      </c>
      <c r="BW119" s="172" t="s">
        <v>761</v>
      </c>
    </row>
    <row r="120" spans="2:75" s="158" customFormat="1" ht="31.5" customHeight="1">
      <c r="B120" s="156"/>
      <c r="C120" s="93">
        <v>2</v>
      </c>
      <c r="D120" s="93" t="s">
        <v>171</v>
      </c>
      <c r="E120" s="94" t="s">
        <v>1337</v>
      </c>
      <c r="F120" s="498" t="s">
        <v>1338</v>
      </c>
      <c r="G120" s="498"/>
      <c r="H120" s="498"/>
      <c r="I120" s="498"/>
      <c r="J120" s="95" t="s">
        <v>184</v>
      </c>
      <c r="K120" s="128">
        <v>0</v>
      </c>
      <c r="L120" s="128">
        <v>0</v>
      </c>
      <c r="M120" s="128">
        <v>0</v>
      </c>
      <c r="N120" s="128">
        <v>0</v>
      </c>
      <c r="O120" s="128">
        <v>1</v>
      </c>
      <c r="P120" s="165">
        <f t="shared" si="59"/>
        <v>1</v>
      </c>
      <c r="Q120" s="207">
        <v>99.98</v>
      </c>
      <c r="R120" s="207">
        <v>99.98</v>
      </c>
      <c r="S120" s="207">
        <v>99.98</v>
      </c>
      <c r="T120" s="207">
        <v>99.98</v>
      </c>
      <c r="U120" s="207">
        <v>99.98</v>
      </c>
      <c r="V120" s="128">
        <f t="shared" si="60"/>
        <v>0</v>
      </c>
      <c r="W120" s="128">
        <f t="shared" si="61"/>
        <v>0</v>
      </c>
      <c r="X120" s="128">
        <f t="shared" si="62"/>
        <v>0</v>
      </c>
      <c r="Y120" s="128">
        <f t="shared" si="63"/>
        <v>0</v>
      </c>
      <c r="Z120" s="128">
        <f t="shared" si="64"/>
        <v>99.98</v>
      </c>
      <c r="AA120" s="128">
        <f t="shared" si="65"/>
        <v>99.98</v>
      </c>
      <c r="AB120" s="157"/>
      <c r="AC120" s="166"/>
      <c r="AD120" s="208"/>
      <c r="AE120" s="168"/>
      <c r="AF120" s="169"/>
      <c r="AG120" s="170"/>
      <c r="AH120" s="170"/>
      <c r="AI120" s="170"/>
      <c r="AJ120" s="170"/>
      <c r="AK120" s="171"/>
      <c r="AM120" s="166"/>
      <c r="BB120" s="172"/>
      <c r="BD120" s="172"/>
      <c r="BE120" s="172"/>
      <c r="BI120" s="172"/>
      <c r="BO120" s="173"/>
      <c r="BP120" s="173"/>
      <c r="BQ120" s="173"/>
      <c r="BR120" s="173"/>
      <c r="BS120" s="173"/>
      <c r="BT120" s="172"/>
      <c r="BU120" s="174"/>
      <c r="BV120" s="172"/>
      <c r="BW120" s="172"/>
    </row>
    <row r="121" spans="2:75" s="158" customFormat="1" ht="31.5" customHeight="1">
      <c r="B121" s="156"/>
      <c r="C121" s="102">
        <v>3</v>
      </c>
      <c r="D121" s="102" t="s">
        <v>171</v>
      </c>
      <c r="E121" s="103" t="s">
        <v>1339</v>
      </c>
      <c r="F121" s="499" t="s">
        <v>1340</v>
      </c>
      <c r="G121" s="499"/>
      <c r="H121" s="499"/>
      <c r="I121" s="499"/>
      <c r="J121" s="104" t="s">
        <v>184</v>
      </c>
      <c r="K121" s="133">
        <v>0</v>
      </c>
      <c r="L121" s="133">
        <v>0</v>
      </c>
      <c r="M121" s="133">
        <v>0</v>
      </c>
      <c r="N121" s="133">
        <v>0</v>
      </c>
      <c r="O121" s="133">
        <v>1</v>
      </c>
      <c r="P121" s="177">
        <f t="shared" si="59"/>
        <v>1</v>
      </c>
      <c r="Q121" s="140">
        <f>480*1.3</f>
        <v>624</v>
      </c>
      <c r="R121" s="140">
        <f>480*1.3</f>
        <v>624</v>
      </c>
      <c r="S121" s="140">
        <f>480*1.3</f>
        <v>624</v>
      </c>
      <c r="T121" s="140">
        <f>480*1.3</f>
        <v>624</v>
      </c>
      <c r="U121" s="140">
        <f>480*1.3</f>
        <v>624</v>
      </c>
      <c r="V121" s="133">
        <f t="shared" si="60"/>
        <v>0</v>
      </c>
      <c r="W121" s="133">
        <f t="shared" si="61"/>
        <v>0</v>
      </c>
      <c r="X121" s="133">
        <f t="shared" si="62"/>
        <v>0</v>
      </c>
      <c r="Y121" s="133">
        <f t="shared" si="63"/>
        <v>0</v>
      </c>
      <c r="Z121" s="133">
        <f t="shared" si="64"/>
        <v>624</v>
      </c>
      <c r="AA121" s="133">
        <f t="shared" si="65"/>
        <v>624</v>
      </c>
      <c r="AB121" s="157"/>
      <c r="AC121" s="166"/>
      <c r="AD121" s="208"/>
      <c r="AE121" s="168"/>
      <c r="AF121" s="169"/>
      <c r="AG121" s="170"/>
      <c r="AH121" s="170"/>
      <c r="AI121" s="170"/>
      <c r="AJ121" s="170"/>
      <c r="AK121" s="171"/>
      <c r="AM121" s="166"/>
      <c r="BB121" s="172"/>
      <c r="BD121" s="172"/>
      <c r="BE121" s="172"/>
      <c r="BI121" s="172"/>
      <c r="BO121" s="173"/>
      <c r="BP121" s="173"/>
      <c r="BQ121" s="173"/>
      <c r="BR121" s="173"/>
      <c r="BS121" s="173"/>
      <c r="BT121" s="172"/>
      <c r="BU121" s="174"/>
      <c r="BV121" s="172"/>
      <c r="BW121" s="172"/>
    </row>
    <row r="122" spans="2:75" s="158" customFormat="1" ht="31.5" customHeight="1">
      <c r="B122" s="156"/>
      <c r="C122" s="93">
        <v>4</v>
      </c>
      <c r="D122" s="93" t="s">
        <v>171</v>
      </c>
      <c r="E122" s="94" t="s">
        <v>1341</v>
      </c>
      <c r="F122" s="498" t="s">
        <v>1342</v>
      </c>
      <c r="G122" s="498"/>
      <c r="H122" s="498"/>
      <c r="I122" s="498"/>
      <c r="J122" s="95" t="s">
        <v>198</v>
      </c>
      <c r="K122" s="128">
        <v>100</v>
      </c>
      <c r="L122" s="128">
        <v>100</v>
      </c>
      <c r="M122" s="128">
        <v>100</v>
      </c>
      <c r="N122" s="128">
        <v>100</v>
      </c>
      <c r="O122" s="128">
        <v>200</v>
      </c>
      <c r="P122" s="165">
        <f t="shared" si="59"/>
        <v>600</v>
      </c>
      <c r="Q122" s="207">
        <f>3.6*1.3</f>
        <v>4.6800000000000006</v>
      </c>
      <c r="R122" s="207">
        <f>3.6*1.3</f>
        <v>4.6800000000000006</v>
      </c>
      <c r="S122" s="207">
        <f>3.6*1.3</f>
        <v>4.6800000000000006</v>
      </c>
      <c r="T122" s="207">
        <f>3.6*1.3</f>
        <v>4.6800000000000006</v>
      </c>
      <c r="U122" s="207">
        <f>3.6*1.3</f>
        <v>4.6800000000000006</v>
      </c>
      <c r="V122" s="128">
        <f t="shared" si="60"/>
        <v>468</v>
      </c>
      <c r="W122" s="128">
        <f t="shared" si="61"/>
        <v>468</v>
      </c>
      <c r="X122" s="128">
        <f t="shared" si="62"/>
        <v>468</v>
      </c>
      <c r="Y122" s="128">
        <f t="shared" si="63"/>
        <v>468</v>
      </c>
      <c r="Z122" s="128">
        <f t="shared" si="64"/>
        <v>936</v>
      </c>
      <c r="AA122" s="128">
        <f t="shared" si="65"/>
        <v>2808</v>
      </c>
      <c r="AB122" s="157"/>
      <c r="AC122" s="166"/>
      <c r="AD122" s="208"/>
      <c r="AE122" s="168"/>
      <c r="AF122" s="169"/>
      <c r="AG122" s="170"/>
      <c r="AH122" s="170"/>
      <c r="AI122" s="170"/>
      <c r="AJ122" s="170"/>
      <c r="AK122" s="171"/>
      <c r="AM122" s="166"/>
      <c r="BB122" s="172"/>
      <c r="BD122" s="172"/>
      <c r="BE122" s="172"/>
      <c r="BI122" s="172"/>
      <c r="BO122" s="173"/>
      <c r="BP122" s="173"/>
      <c r="BQ122" s="173"/>
      <c r="BR122" s="173"/>
      <c r="BS122" s="173"/>
      <c r="BT122" s="172"/>
      <c r="BU122" s="174"/>
      <c r="BV122" s="172"/>
      <c r="BW122" s="172"/>
    </row>
    <row r="123" spans="2:75" s="158" customFormat="1" ht="31.5" customHeight="1">
      <c r="B123" s="156"/>
      <c r="C123" s="102">
        <v>5</v>
      </c>
      <c r="D123" s="102" t="s">
        <v>171</v>
      </c>
      <c r="E123" s="103" t="s">
        <v>1343</v>
      </c>
      <c r="F123" s="499" t="s">
        <v>1344</v>
      </c>
      <c r="G123" s="499"/>
      <c r="H123" s="499"/>
      <c r="I123" s="499"/>
      <c r="J123" s="104" t="s">
        <v>198</v>
      </c>
      <c r="K123" s="133">
        <f>K122*1.05</f>
        <v>105</v>
      </c>
      <c r="L123" s="133">
        <f>L122*1.05</f>
        <v>105</v>
      </c>
      <c r="M123" s="133">
        <f>M122*1.05</f>
        <v>105</v>
      </c>
      <c r="N123" s="133">
        <f>N122*1.05</f>
        <v>105</v>
      </c>
      <c r="O123" s="133">
        <f>O122*1.05</f>
        <v>210</v>
      </c>
      <c r="P123" s="177">
        <f t="shared" si="59"/>
        <v>630</v>
      </c>
      <c r="Q123" s="140">
        <v>0.44</v>
      </c>
      <c r="R123" s="140">
        <v>0.44</v>
      </c>
      <c r="S123" s="140">
        <v>0.44</v>
      </c>
      <c r="T123" s="140">
        <v>0.44</v>
      </c>
      <c r="U123" s="140">
        <v>0.44</v>
      </c>
      <c r="V123" s="133">
        <f t="shared" si="60"/>
        <v>46.2</v>
      </c>
      <c r="W123" s="133">
        <f t="shared" si="61"/>
        <v>46.2</v>
      </c>
      <c r="X123" s="133">
        <f t="shared" si="62"/>
        <v>46.2</v>
      </c>
      <c r="Y123" s="133">
        <f t="shared" si="63"/>
        <v>46.2</v>
      </c>
      <c r="Z123" s="133">
        <f t="shared" si="64"/>
        <v>92.4</v>
      </c>
      <c r="AA123" s="133">
        <f t="shared" si="65"/>
        <v>277.20000000000005</v>
      </c>
      <c r="AB123" s="157"/>
      <c r="AC123" s="166"/>
      <c r="AD123" s="208"/>
      <c r="AE123" s="168"/>
      <c r="AF123" s="169"/>
      <c r="AG123" s="170"/>
      <c r="AH123" s="170"/>
      <c r="AI123" s="170"/>
      <c r="AJ123" s="170"/>
      <c r="AK123" s="171"/>
      <c r="AM123" s="166"/>
      <c r="BB123" s="172"/>
      <c r="BD123" s="172"/>
      <c r="BE123" s="172"/>
      <c r="BI123" s="172"/>
      <c r="BO123" s="173"/>
      <c r="BP123" s="173"/>
      <c r="BQ123" s="173"/>
      <c r="BR123" s="173"/>
      <c r="BS123" s="173"/>
      <c r="BT123" s="172"/>
      <c r="BU123" s="174"/>
      <c r="BV123" s="172"/>
      <c r="BW123" s="172"/>
    </row>
    <row r="124" spans="2:75" s="158" customFormat="1" ht="31.5" customHeight="1">
      <c r="B124" s="156"/>
      <c r="C124" s="93">
        <v>6</v>
      </c>
      <c r="D124" s="93" t="s">
        <v>171</v>
      </c>
      <c r="E124" s="94" t="s">
        <v>1341</v>
      </c>
      <c r="F124" s="498" t="s">
        <v>1345</v>
      </c>
      <c r="G124" s="498"/>
      <c r="H124" s="498"/>
      <c r="I124" s="498"/>
      <c r="J124" s="95" t="s">
        <v>184</v>
      </c>
      <c r="K124" s="128">
        <v>0</v>
      </c>
      <c r="L124" s="128">
        <v>0</v>
      </c>
      <c r="M124" s="128">
        <v>0</v>
      </c>
      <c r="N124" s="128">
        <v>0</v>
      </c>
      <c r="O124" s="128">
        <v>1</v>
      </c>
      <c r="P124" s="165">
        <f t="shared" si="59"/>
        <v>1</v>
      </c>
      <c r="Q124" s="207">
        <v>44.9</v>
      </c>
      <c r="R124" s="207">
        <v>44.9</v>
      </c>
      <c r="S124" s="207">
        <v>44.9</v>
      </c>
      <c r="T124" s="207">
        <v>44.9</v>
      </c>
      <c r="U124" s="207">
        <v>44.9</v>
      </c>
      <c r="V124" s="128">
        <f t="shared" si="60"/>
        <v>0</v>
      </c>
      <c r="W124" s="128">
        <f t="shared" si="61"/>
        <v>0</v>
      </c>
      <c r="X124" s="128">
        <f t="shared" si="62"/>
        <v>0</v>
      </c>
      <c r="Y124" s="128">
        <f t="shared" si="63"/>
        <v>0</v>
      </c>
      <c r="Z124" s="128">
        <f t="shared" si="64"/>
        <v>44.9</v>
      </c>
      <c r="AA124" s="128">
        <f t="shared" si="65"/>
        <v>44.9</v>
      </c>
      <c r="AB124" s="157"/>
      <c r="AC124" s="166"/>
      <c r="AD124" s="208"/>
      <c r="AE124" s="168"/>
      <c r="AF124" s="169"/>
      <c r="AG124" s="170"/>
      <c r="AH124" s="170"/>
      <c r="AI124" s="170"/>
      <c r="AJ124" s="170"/>
      <c r="AK124" s="171"/>
      <c r="AM124" s="166"/>
      <c r="BB124" s="172"/>
      <c r="BD124" s="172"/>
      <c r="BE124" s="172"/>
      <c r="BI124" s="172"/>
      <c r="BO124" s="173"/>
      <c r="BP124" s="173"/>
      <c r="BQ124" s="173"/>
      <c r="BR124" s="173"/>
      <c r="BS124" s="173"/>
      <c r="BT124" s="172"/>
      <c r="BU124" s="174"/>
      <c r="BV124" s="172"/>
      <c r="BW124" s="172"/>
    </row>
    <row r="125" spans="2:75" s="158" customFormat="1" ht="31.5" customHeight="1">
      <c r="B125" s="156"/>
      <c r="C125" s="102">
        <v>7</v>
      </c>
      <c r="D125" s="102" t="s">
        <v>171</v>
      </c>
      <c r="E125" s="103" t="s">
        <v>1343</v>
      </c>
      <c r="F125" s="499" t="s">
        <v>1346</v>
      </c>
      <c r="G125" s="499"/>
      <c r="H125" s="499"/>
      <c r="I125" s="499"/>
      <c r="J125" s="104" t="s">
        <v>198</v>
      </c>
      <c r="K125" s="133">
        <v>0</v>
      </c>
      <c r="L125" s="133">
        <v>0</v>
      </c>
      <c r="M125" s="133">
        <v>0</v>
      </c>
      <c r="N125" s="133">
        <v>0</v>
      </c>
      <c r="O125" s="133">
        <v>1</v>
      </c>
      <c r="P125" s="177">
        <f t="shared" si="59"/>
        <v>1</v>
      </c>
      <c r="Q125" s="140">
        <f>590*1.3</f>
        <v>767</v>
      </c>
      <c r="R125" s="140">
        <f>590*1.3</f>
        <v>767</v>
      </c>
      <c r="S125" s="140">
        <f>590*1.3</f>
        <v>767</v>
      </c>
      <c r="T125" s="140">
        <f>590*1.3</f>
        <v>767</v>
      </c>
      <c r="U125" s="140">
        <f>590*1.3</f>
        <v>767</v>
      </c>
      <c r="V125" s="133">
        <f t="shared" si="60"/>
        <v>0</v>
      </c>
      <c r="W125" s="133">
        <f t="shared" si="61"/>
        <v>0</v>
      </c>
      <c r="X125" s="133">
        <f t="shared" si="62"/>
        <v>0</v>
      </c>
      <c r="Y125" s="133">
        <f t="shared" si="63"/>
        <v>0</v>
      </c>
      <c r="Z125" s="133">
        <f t="shared" si="64"/>
        <v>767</v>
      </c>
      <c r="AA125" s="133">
        <f t="shared" si="65"/>
        <v>767</v>
      </c>
      <c r="AB125" s="157"/>
      <c r="AC125" s="166"/>
      <c r="AD125" s="208"/>
      <c r="AE125" s="168"/>
      <c r="AF125" s="169"/>
      <c r="AG125" s="170"/>
      <c r="AH125" s="170"/>
      <c r="AI125" s="170"/>
      <c r="AJ125" s="170"/>
      <c r="AK125" s="171"/>
      <c r="AM125" s="166"/>
      <c r="BB125" s="172"/>
      <c r="BD125" s="172"/>
      <c r="BE125" s="172"/>
      <c r="BI125" s="172"/>
      <c r="BO125" s="173"/>
      <c r="BP125" s="173"/>
      <c r="BQ125" s="173"/>
      <c r="BR125" s="173"/>
      <c r="BS125" s="173"/>
      <c r="BT125" s="172"/>
      <c r="BU125" s="174"/>
      <c r="BV125" s="172"/>
      <c r="BW125" s="172"/>
    </row>
    <row r="126" spans="2:75" s="158" customFormat="1" ht="22.5" customHeight="1">
      <c r="B126" s="156"/>
      <c r="C126" s="102">
        <v>8</v>
      </c>
      <c r="D126" s="102" t="s">
        <v>171</v>
      </c>
      <c r="E126" s="103" t="s">
        <v>639</v>
      </c>
      <c r="F126" s="499" t="s">
        <v>640</v>
      </c>
      <c r="G126" s="499"/>
      <c r="H126" s="499"/>
      <c r="I126" s="499"/>
      <c r="J126" s="104" t="s">
        <v>184</v>
      </c>
      <c r="K126" s="133">
        <v>-6</v>
      </c>
      <c r="L126" s="133">
        <v>-6</v>
      </c>
      <c r="M126" s="133">
        <v>0</v>
      </c>
      <c r="N126" s="133">
        <v>-22</v>
      </c>
      <c r="O126" s="133">
        <v>0</v>
      </c>
      <c r="P126" s="177">
        <f t="shared" si="59"/>
        <v>-34</v>
      </c>
      <c r="Q126" s="140">
        <v>58.97</v>
      </c>
      <c r="R126" s="140">
        <v>58.97</v>
      </c>
      <c r="S126" s="140">
        <v>58.97</v>
      </c>
      <c r="T126" s="140">
        <v>58.97</v>
      </c>
      <c r="U126" s="140">
        <v>58.97</v>
      </c>
      <c r="V126" s="133">
        <f t="shared" si="60"/>
        <v>-353.82</v>
      </c>
      <c r="W126" s="133">
        <f t="shared" si="61"/>
        <v>-353.82</v>
      </c>
      <c r="X126" s="133">
        <f t="shared" si="62"/>
        <v>0</v>
      </c>
      <c r="Y126" s="133">
        <f t="shared" si="63"/>
        <v>-1297.3399999999999</v>
      </c>
      <c r="Z126" s="133">
        <f t="shared" si="64"/>
        <v>0</v>
      </c>
      <c r="AA126" s="133">
        <f t="shared" si="65"/>
        <v>-2004.98</v>
      </c>
      <c r="AB126" s="157"/>
      <c r="AC126" s="166" t="s">
        <v>1000</v>
      </c>
      <c r="AD126" s="167" t="s">
        <v>0</v>
      </c>
      <c r="AE126" s="168" t="s">
        <v>11</v>
      </c>
      <c r="AF126" s="169"/>
      <c r="AG126" s="170">
        <f t="shared" ref="AG126" si="66">AF126*K126</f>
        <v>0</v>
      </c>
      <c r="AH126" s="170">
        <v>0</v>
      </c>
      <c r="AI126" s="170">
        <f t="shared" ref="AI126" si="67">AH126*K126</f>
        <v>0</v>
      </c>
      <c r="AJ126" s="170">
        <v>0</v>
      </c>
      <c r="AK126" s="171">
        <f t="shared" ref="AK126" si="68">AJ126*K126</f>
        <v>0</v>
      </c>
      <c r="AM126" s="166" t="s">
        <v>1013</v>
      </c>
      <c r="AO126" s="158">
        <v>66.02</v>
      </c>
      <c r="BB126" s="172" t="s">
        <v>165</v>
      </c>
      <c r="BD126" s="172" t="s">
        <v>171</v>
      </c>
      <c r="BE126" s="172" t="s">
        <v>42</v>
      </c>
      <c r="BI126" s="172" t="s">
        <v>148</v>
      </c>
      <c r="BO126" s="173">
        <f t="shared" ref="BO126" si="69">IF(AE126="základná",V126,0)</f>
        <v>0</v>
      </c>
      <c r="BP126" s="173">
        <f t="shared" ref="BP126" si="70">IF(AE126="znížená",V126,0)</f>
        <v>-353.82</v>
      </c>
      <c r="BQ126" s="173">
        <f t="shared" ref="BQ126" si="71">IF(AE126="zákl. prenesená",V126,0)</f>
        <v>0</v>
      </c>
      <c r="BR126" s="173">
        <f t="shared" ref="BR126" si="72">IF(AE126="zníž. prenesená",V126,0)</f>
        <v>0</v>
      </c>
      <c r="BS126" s="173">
        <f t="shared" ref="BS126" si="73">IF(AE126="nulová",V126,0)</f>
        <v>0</v>
      </c>
      <c r="BT126" s="172" t="s">
        <v>42</v>
      </c>
      <c r="BU126" s="174">
        <f t="shared" ref="BU126" si="74">ROUND(Q126*K126,3)</f>
        <v>-353.82</v>
      </c>
      <c r="BV126" s="172" t="s">
        <v>153</v>
      </c>
      <c r="BW126" s="172" t="s">
        <v>641</v>
      </c>
    </row>
    <row r="127" spans="2:75" s="158" customFormat="1" ht="30.75" customHeight="1">
      <c r="B127" s="156"/>
      <c r="C127" s="247" t="s">
        <v>1351</v>
      </c>
      <c r="D127" s="102" t="s">
        <v>171</v>
      </c>
      <c r="E127" s="103"/>
      <c r="F127" s="499" t="s">
        <v>1393</v>
      </c>
      <c r="G127" s="499"/>
      <c r="H127" s="499"/>
      <c r="I127" s="499"/>
      <c r="J127" s="104" t="s">
        <v>184</v>
      </c>
      <c r="K127" s="133">
        <v>6</v>
      </c>
      <c r="L127" s="133">
        <v>6</v>
      </c>
      <c r="M127" s="133">
        <v>0</v>
      </c>
      <c r="N127" s="133">
        <v>22</v>
      </c>
      <c r="O127" s="133">
        <v>0</v>
      </c>
      <c r="P127" s="177">
        <f t="shared" ref="P127" si="75">SUM(K127:O127)</f>
        <v>34</v>
      </c>
      <c r="Q127" s="140">
        <v>58.97</v>
      </c>
      <c r="R127" s="140">
        <v>58.97</v>
      </c>
      <c r="S127" s="140">
        <v>58.97</v>
      </c>
      <c r="T127" s="140">
        <v>58.97</v>
      </c>
      <c r="U127" s="140">
        <v>58.97</v>
      </c>
      <c r="V127" s="133">
        <f t="shared" ref="V127" si="76">ROUND(Q127*K127,3)</f>
        <v>353.82</v>
      </c>
      <c r="W127" s="133">
        <f t="shared" ref="W127" si="77">ROUND(R127*L127,3)</f>
        <v>353.82</v>
      </c>
      <c r="X127" s="133">
        <f t="shared" ref="X127" si="78">ROUND(S127*M127,3)</f>
        <v>0</v>
      </c>
      <c r="Y127" s="133">
        <f t="shared" ref="Y127" si="79">ROUND(T127*N127,3)</f>
        <v>1297.3399999999999</v>
      </c>
      <c r="Z127" s="133">
        <f t="shared" ref="Z127" si="80">ROUND(U127*O127,3)</f>
        <v>0</v>
      </c>
      <c r="AA127" s="133">
        <f t="shared" ref="AA127" si="81">SUM(V127:Z127)</f>
        <v>2004.98</v>
      </c>
      <c r="AB127" s="157"/>
      <c r="AC127" s="166" t="s">
        <v>1000</v>
      </c>
      <c r="AD127" s="167" t="s">
        <v>0</v>
      </c>
      <c r="AE127" s="168" t="s">
        <v>11</v>
      </c>
      <c r="AF127" s="169"/>
      <c r="AG127" s="170">
        <f t="shared" ref="AG127" si="82">AF127*K127</f>
        <v>0</v>
      </c>
      <c r="AH127" s="170">
        <v>0</v>
      </c>
      <c r="AI127" s="170">
        <f t="shared" ref="AI127" si="83">AH127*K127</f>
        <v>0</v>
      </c>
      <c r="AJ127" s="170">
        <v>0</v>
      </c>
      <c r="AK127" s="171">
        <f t="shared" ref="AK127" si="84">AJ127*K127</f>
        <v>0</v>
      </c>
      <c r="AM127" s="166" t="s">
        <v>1013</v>
      </c>
      <c r="AO127" s="158">
        <v>66.02</v>
      </c>
      <c r="BB127" s="172" t="s">
        <v>165</v>
      </c>
      <c r="BD127" s="172" t="s">
        <v>171</v>
      </c>
      <c r="BE127" s="172" t="s">
        <v>42</v>
      </c>
      <c r="BI127" s="172" t="s">
        <v>148</v>
      </c>
      <c r="BO127" s="173">
        <f t="shared" ref="BO127" si="85">IF(AE127="základná",V127,0)</f>
        <v>0</v>
      </c>
      <c r="BP127" s="173">
        <f t="shared" ref="BP127" si="86">IF(AE127="znížená",V127,0)</f>
        <v>353.82</v>
      </c>
      <c r="BQ127" s="173">
        <f t="shared" ref="BQ127" si="87">IF(AE127="zákl. prenesená",V127,0)</f>
        <v>0</v>
      </c>
      <c r="BR127" s="173">
        <f t="shared" ref="BR127" si="88">IF(AE127="zníž. prenesená",V127,0)</f>
        <v>0</v>
      </c>
      <c r="BS127" s="173">
        <f t="shared" ref="BS127" si="89">IF(AE127="nulová",V127,0)</f>
        <v>0</v>
      </c>
      <c r="BT127" s="172" t="s">
        <v>42</v>
      </c>
      <c r="BU127" s="174">
        <f t="shared" ref="BU127" si="90">ROUND(Q127*K127,3)</f>
        <v>353.82</v>
      </c>
      <c r="BV127" s="172" t="s">
        <v>153</v>
      </c>
      <c r="BW127" s="172" t="s">
        <v>641</v>
      </c>
    </row>
    <row r="128" spans="2:75" s="158" customFormat="1" ht="30.75" customHeight="1">
      <c r="B128" s="156"/>
      <c r="C128" s="247" t="s">
        <v>1351</v>
      </c>
      <c r="D128" s="102" t="s">
        <v>171</v>
      </c>
      <c r="E128" s="103"/>
      <c r="F128" s="499" t="s">
        <v>1394</v>
      </c>
      <c r="G128" s="499"/>
      <c r="H128" s="499"/>
      <c r="I128" s="499"/>
      <c r="J128" s="104" t="s">
        <v>184</v>
      </c>
      <c r="K128" s="133">
        <v>15</v>
      </c>
      <c r="L128" s="133">
        <v>15</v>
      </c>
      <c r="M128" s="133">
        <v>13</v>
      </c>
      <c r="N128" s="133">
        <v>8</v>
      </c>
      <c r="O128" s="133">
        <v>0</v>
      </c>
      <c r="P128" s="177">
        <f t="shared" ref="P128:P130" si="91">SUM(K128:O128)</f>
        <v>51</v>
      </c>
      <c r="Q128" s="140">
        <v>66.53</v>
      </c>
      <c r="R128" s="140">
        <v>66.53</v>
      </c>
      <c r="S128" s="140">
        <v>66.53</v>
      </c>
      <c r="T128" s="140">
        <v>66.53</v>
      </c>
      <c r="U128" s="140">
        <v>66.53</v>
      </c>
      <c r="V128" s="133">
        <f t="shared" ref="V128:V132" si="92">ROUND(Q128*K128,3)</f>
        <v>997.95</v>
      </c>
      <c r="W128" s="133">
        <f t="shared" ref="W128:W132" si="93">ROUND(R128*L128,3)</f>
        <v>997.95</v>
      </c>
      <c r="X128" s="133">
        <f t="shared" ref="X128:X132" si="94">ROUND(S128*M128,3)</f>
        <v>864.89</v>
      </c>
      <c r="Y128" s="133">
        <f t="shared" ref="Y128:Y132" si="95">ROUND(T128*N128,3)</f>
        <v>532.24</v>
      </c>
      <c r="Z128" s="133">
        <f t="shared" ref="Z128:Z132" si="96">ROUND(U128*O128,3)</f>
        <v>0</v>
      </c>
      <c r="AA128" s="133">
        <f t="shared" ref="AA128:AA132" si="97">SUM(V128:Z128)</f>
        <v>3393.0299999999997</v>
      </c>
      <c r="AB128" s="157"/>
      <c r="AC128" s="166" t="s">
        <v>1000</v>
      </c>
      <c r="AD128" s="167" t="s">
        <v>0</v>
      </c>
      <c r="AE128" s="168" t="s">
        <v>11</v>
      </c>
      <c r="AF128" s="169"/>
      <c r="AG128" s="170">
        <f t="shared" ref="AG128:AG132" si="98">AF128*K128</f>
        <v>0</v>
      </c>
      <c r="AH128" s="170">
        <v>0</v>
      </c>
      <c r="AI128" s="170">
        <f t="shared" ref="AI128:AI132" si="99">AH128*K128</f>
        <v>0</v>
      </c>
      <c r="AJ128" s="170">
        <v>0</v>
      </c>
      <c r="AK128" s="171">
        <f t="shared" ref="AK128:AK132" si="100">AJ128*K128</f>
        <v>0</v>
      </c>
      <c r="AM128" s="166" t="s">
        <v>1013</v>
      </c>
      <c r="AO128" s="158">
        <v>66.02</v>
      </c>
      <c r="BB128" s="172" t="s">
        <v>165</v>
      </c>
      <c r="BD128" s="172" t="s">
        <v>171</v>
      </c>
      <c r="BE128" s="172" t="s">
        <v>42</v>
      </c>
      <c r="BI128" s="172" t="s">
        <v>148</v>
      </c>
      <c r="BO128" s="173">
        <f t="shared" ref="BO128:BO132" si="101">IF(AE128="základná",V128,0)</f>
        <v>0</v>
      </c>
      <c r="BP128" s="173">
        <f t="shared" ref="BP128:BP132" si="102">IF(AE128="znížená",V128,0)</f>
        <v>997.95</v>
      </c>
      <c r="BQ128" s="173">
        <f t="shared" ref="BQ128:BQ132" si="103">IF(AE128="zákl. prenesená",V128,0)</f>
        <v>0</v>
      </c>
      <c r="BR128" s="173">
        <f t="shared" ref="BR128:BR132" si="104">IF(AE128="zníž. prenesená",V128,0)</f>
        <v>0</v>
      </c>
      <c r="BS128" s="173">
        <f t="shared" ref="BS128:BS132" si="105">IF(AE128="nulová",V128,0)</f>
        <v>0</v>
      </c>
      <c r="BT128" s="172" t="s">
        <v>42</v>
      </c>
      <c r="BU128" s="174">
        <f t="shared" ref="BU128:BU132" si="106">ROUND(Q128*K128,3)</f>
        <v>997.95</v>
      </c>
      <c r="BV128" s="172" t="s">
        <v>153</v>
      </c>
      <c r="BW128" s="172" t="s">
        <v>641</v>
      </c>
    </row>
    <row r="129" spans="2:75" s="158" customFormat="1" ht="31.5" customHeight="1">
      <c r="B129" s="156"/>
      <c r="C129" s="102">
        <v>11</v>
      </c>
      <c r="D129" s="102" t="s">
        <v>171</v>
      </c>
      <c r="E129" s="103" t="s">
        <v>645</v>
      </c>
      <c r="F129" s="499" t="s">
        <v>646</v>
      </c>
      <c r="G129" s="499"/>
      <c r="H129" s="499"/>
      <c r="I129" s="499"/>
      <c r="J129" s="104" t="s">
        <v>184</v>
      </c>
      <c r="K129" s="133">
        <v>0</v>
      </c>
      <c r="L129" s="133">
        <v>0</v>
      </c>
      <c r="M129" s="133">
        <v>0</v>
      </c>
      <c r="N129" s="133">
        <v>3</v>
      </c>
      <c r="O129" s="133">
        <v>0</v>
      </c>
      <c r="P129" s="177">
        <f t="shared" si="91"/>
        <v>3</v>
      </c>
      <c r="Q129" s="140">
        <v>41.87</v>
      </c>
      <c r="R129" s="140">
        <v>41.87</v>
      </c>
      <c r="S129" s="140">
        <v>41.87</v>
      </c>
      <c r="T129" s="140">
        <v>41.87</v>
      </c>
      <c r="U129" s="140">
        <v>41.87</v>
      </c>
      <c r="V129" s="133">
        <f t="shared" si="92"/>
        <v>0</v>
      </c>
      <c r="W129" s="133">
        <f t="shared" si="93"/>
        <v>0</v>
      </c>
      <c r="X129" s="133">
        <f t="shared" si="94"/>
        <v>0</v>
      </c>
      <c r="Y129" s="133">
        <f t="shared" si="95"/>
        <v>125.61</v>
      </c>
      <c r="Z129" s="133">
        <f t="shared" si="96"/>
        <v>0</v>
      </c>
      <c r="AA129" s="133">
        <f t="shared" si="97"/>
        <v>125.61</v>
      </c>
      <c r="AB129" s="157"/>
      <c r="AC129" s="166" t="s">
        <v>1000</v>
      </c>
      <c r="AD129" s="167" t="s">
        <v>0</v>
      </c>
      <c r="AE129" s="168" t="s">
        <v>11</v>
      </c>
      <c r="AF129" s="169"/>
      <c r="AG129" s="170">
        <f t="shared" si="98"/>
        <v>0</v>
      </c>
      <c r="AH129" s="170">
        <v>0</v>
      </c>
      <c r="AI129" s="170">
        <f t="shared" si="99"/>
        <v>0</v>
      </c>
      <c r="AJ129" s="170">
        <v>0</v>
      </c>
      <c r="AK129" s="171">
        <f t="shared" si="100"/>
        <v>0</v>
      </c>
      <c r="AM129" s="166" t="s">
        <v>1014</v>
      </c>
      <c r="AO129" s="158">
        <v>46.87</v>
      </c>
      <c r="BB129" s="172" t="s">
        <v>165</v>
      </c>
      <c r="BD129" s="172" t="s">
        <v>171</v>
      </c>
      <c r="BE129" s="172" t="s">
        <v>42</v>
      </c>
      <c r="BI129" s="172" t="s">
        <v>148</v>
      </c>
      <c r="BO129" s="173">
        <f t="shared" si="101"/>
        <v>0</v>
      </c>
      <c r="BP129" s="173">
        <f t="shared" si="102"/>
        <v>0</v>
      </c>
      <c r="BQ129" s="173">
        <f t="shared" si="103"/>
        <v>0</v>
      </c>
      <c r="BR129" s="173">
        <f t="shared" si="104"/>
        <v>0</v>
      </c>
      <c r="BS129" s="173">
        <f t="shared" si="105"/>
        <v>0</v>
      </c>
      <c r="BT129" s="172" t="s">
        <v>42</v>
      </c>
      <c r="BU129" s="174">
        <f t="shared" si="106"/>
        <v>0</v>
      </c>
      <c r="BV129" s="172" t="s">
        <v>153</v>
      </c>
      <c r="BW129" s="172" t="s">
        <v>647</v>
      </c>
    </row>
    <row r="130" spans="2:75" s="158" customFormat="1" ht="31.5" customHeight="1">
      <c r="B130" s="156"/>
      <c r="C130" s="102">
        <v>12</v>
      </c>
      <c r="D130" s="102" t="s">
        <v>171</v>
      </c>
      <c r="E130" s="103" t="s">
        <v>657</v>
      </c>
      <c r="F130" s="499" t="s">
        <v>658</v>
      </c>
      <c r="G130" s="499"/>
      <c r="H130" s="499"/>
      <c r="I130" s="499"/>
      <c r="J130" s="104" t="s">
        <v>184</v>
      </c>
      <c r="K130" s="133">
        <v>-15</v>
      </c>
      <c r="L130" s="133">
        <v>-15</v>
      </c>
      <c r="M130" s="133">
        <v>-13</v>
      </c>
      <c r="N130" s="133">
        <v>-8</v>
      </c>
      <c r="O130" s="133">
        <v>0</v>
      </c>
      <c r="P130" s="177">
        <f t="shared" si="91"/>
        <v>-51</v>
      </c>
      <c r="Q130" s="140">
        <v>66.53</v>
      </c>
      <c r="R130" s="140">
        <v>66.53</v>
      </c>
      <c r="S130" s="140">
        <v>66.53</v>
      </c>
      <c r="T130" s="140">
        <v>66.53</v>
      </c>
      <c r="U130" s="140">
        <v>66.53</v>
      </c>
      <c r="V130" s="133">
        <f t="shared" si="92"/>
        <v>-997.95</v>
      </c>
      <c r="W130" s="133">
        <f t="shared" si="93"/>
        <v>-997.95</v>
      </c>
      <c r="X130" s="133">
        <f t="shared" si="94"/>
        <v>-864.89</v>
      </c>
      <c r="Y130" s="133">
        <f t="shared" si="95"/>
        <v>-532.24</v>
      </c>
      <c r="Z130" s="133">
        <f t="shared" si="96"/>
        <v>0</v>
      </c>
      <c r="AA130" s="133">
        <f t="shared" si="97"/>
        <v>-3393.0299999999997</v>
      </c>
      <c r="AB130" s="157"/>
      <c r="AC130" s="166" t="s">
        <v>1000</v>
      </c>
      <c r="AD130" s="167" t="s">
        <v>0</v>
      </c>
      <c r="AE130" s="168" t="s">
        <v>11</v>
      </c>
      <c r="AF130" s="169"/>
      <c r="AG130" s="170">
        <f t="shared" si="98"/>
        <v>0</v>
      </c>
      <c r="AH130" s="170">
        <v>0</v>
      </c>
      <c r="AI130" s="170">
        <f t="shared" si="99"/>
        <v>0</v>
      </c>
      <c r="AJ130" s="170">
        <v>0</v>
      </c>
      <c r="AK130" s="171">
        <f t="shared" si="100"/>
        <v>0</v>
      </c>
      <c r="AM130" s="166" t="s">
        <v>1016</v>
      </c>
      <c r="AO130" s="158">
        <v>74.48</v>
      </c>
      <c r="BB130" s="172" t="s">
        <v>165</v>
      </c>
      <c r="BD130" s="172" t="s">
        <v>171</v>
      </c>
      <c r="BE130" s="172" t="s">
        <v>42</v>
      </c>
      <c r="BI130" s="172" t="s">
        <v>148</v>
      </c>
      <c r="BO130" s="173">
        <f t="shared" si="101"/>
        <v>0</v>
      </c>
      <c r="BP130" s="173">
        <f t="shared" si="102"/>
        <v>-997.95</v>
      </c>
      <c r="BQ130" s="173">
        <f t="shared" si="103"/>
        <v>0</v>
      </c>
      <c r="BR130" s="173">
        <f t="shared" si="104"/>
        <v>0</v>
      </c>
      <c r="BS130" s="173">
        <f t="shared" si="105"/>
        <v>0</v>
      </c>
      <c r="BT130" s="172" t="s">
        <v>42</v>
      </c>
      <c r="BU130" s="174">
        <f t="shared" si="106"/>
        <v>-997.95</v>
      </c>
      <c r="BV130" s="172" t="s">
        <v>153</v>
      </c>
      <c r="BW130" s="172" t="s">
        <v>659</v>
      </c>
    </row>
    <row r="131" spans="2:75" s="1" customFormat="1" ht="31.5" customHeight="1">
      <c r="B131" s="73"/>
      <c r="C131" s="93">
        <v>13</v>
      </c>
      <c r="D131" s="93" t="s">
        <v>149</v>
      </c>
      <c r="E131" s="94" t="s">
        <v>633</v>
      </c>
      <c r="F131" s="498" t="s">
        <v>634</v>
      </c>
      <c r="G131" s="498"/>
      <c r="H131" s="498"/>
      <c r="I131" s="498"/>
      <c r="J131" s="95" t="s">
        <v>184</v>
      </c>
      <c r="K131" s="128">
        <v>-8</v>
      </c>
      <c r="L131" s="128">
        <v>-8</v>
      </c>
      <c r="M131" s="128">
        <v>-8</v>
      </c>
      <c r="N131" s="128">
        <v>-10</v>
      </c>
      <c r="O131" s="128">
        <v>-4</v>
      </c>
      <c r="P131" s="165">
        <f t="shared" ref="P131:P132" si="107">SUM(K131:O131)</f>
        <v>-38</v>
      </c>
      <c r="Q131" s="249">
        <v>11.16</v>
      </c>
      <c r="R131" s="249">
        <v>11.16</v>
      </c>
      <c r="S131" s="249">
        <v>11.16</v>
      </c>
      <c r="T131" s="249">
        <v>11.16</v>
      </c>
      <c r="U131" s="249">
        <v>11.16</v>
      </c>
      <c r="V131" s="128">
        <f t="shared" si="92"/>
        <v>-89.28</v>
      </c>
      <c r="W131" s="128">
        <f t="shared" si="93"/>
        <v>-89.28</v>
      </c>
      <c r="X131" s="128">
        <f t="shared" si="94"/>
        <v>-89.28</v>
      </c>
      <c r="Y131" s="128">
        <f t="shared" si="95"/>
        <v>-111.6</v>
      </c>
      <c r="Z131" s="128">
        <f t="shared" si="96"/>
        <v>-44.64</v>
      </c>
      <c r="AA131" s="128">
        <f t="shared" si="97"/>
        <v>-424.08000000000004</v>
      </c>
      <c r="AB131" s="74"/>
      <c r="AC131" s="113"/>
      <c r="AD131" s="98" t="s">
        <v>0</v>
      </c>
      <c r="AE131" s="18" t="s">
        <v>11</v>
      </c>
      <c r="AF131" s="248"/>
      <c r="AG131" s="99">
        <f t="shared" si="98"/>
        <v>0</v>
      </c>
      <c r="AH131" s="99">
        <v>0</v>
      </c>
      <c r="AI131" s="99">
        <f t="shared" si="99"/>
        <v>0</v>
      </c>
      <c r="AJ131" s="99">
        <v>0</v>
      </c>
      <c r="AK131" s="100">
        <f t="shared" si="100"/>
        <v>0</v>
      </c>
      <c r="AM131" s="113"/>
      <c r="AO131" s="1">
        <v>12.5</v>
      </c>
      <c r="BB131" s="9" t="s">
        <v>153</v>
      </c>
      <c r="BD131" s="9" t="s">
        <v>149</v>
      </c>
      <c r="BE131" s="9" t="s">
        <v>42</v>
      </c>
      <c r="BI131" s="9" t="s">
        <v>148</v>
      </c>
      <c r="BO131" s="72">
        <f t="shared" si="101"/>
        <v>0</v>
      </c>
      <c r="BP131" s="72">
        <f t="shared" si="102"/>
        <v>-89.28</v>
      </c>
      <c r="BQ131" s="72">
        <f t="shared" si="103"/>
        <v>0</v>
      </c>
      <c r="BR131" s="72">
        <f t="shared" si="104"/>
        <v>0</v>
      </c>
      <c r="BS131" s="72">
        <f t="shared" si="105"/>
        <v>0</v>
      </c>
      <c r="BT131" s="9" t="s">
        <v>42</v>
      </c>
      <c r="BU131" s="101">
        <f t="shared" si="106"/>
        <v>-89.28</v>
      </c>
      <c r="BV131" s="9" t="s">
        <v>153</v>
      </c>
      <c r="BW131" s="9" t="s">
        <v>635</v>
      </c>
    </row>
    <row r="132" spans="2:75" s="158" customFormat="1" ht="31.5" customHeight="1">
      <c r="B132" s="156"/>
      <c r="C132" s="102">
        <v>14</v>
      </c>
      <c r="D132" s="102" t="s">
        <v>171</v>
      </c>
      <c r="E132" s="103" t="s">
        <v>636</v>
      </c>
      <c r="F132" s="499" t="s">
        <v>637</v>
      </c>
      <c r="G132" s="499"/>
      <c r="H132" s="499"/>
      <c r="I132" s="499"/>
      <c r="J132" s="104" t="s">
        <v>184</v>
      </c>
      <c r="K132" s="133">
        <v>-8</v>
      </c>
      <c r="L132" s="133">
        <v>-8</v>
      </c>
      <c r="M132" s="133">
        <v>-8</v>
      </c>
      <c r="N132" s="133">
        <v>-12</v>
      </c>
      <c r="O132" s="133">
        <v>-4</v>
      </c>
      <c r="P132" s="177">
        <f t="shared" si="107"/>
        <v>-40</v>
      </c>
      <c r="Q132" s="140">
        <v>37.92</v>
      </c>
      <c r="R132" s="140">
        <v>37.92</v>
      </c>
      <c r="S132" s="140">
        <v>37.92</v>
      </c>
      <c r="T132" s="140">
        <v>37.92</v>
      </c>
      <c r="U132" s="140">
        <v>37.92</v>
      </c>
      <c r="V132" s="133">
        <f t="shared" si="92"/>
        <v>-303.36</v>
      </c>
      <c r="W132" s="133">
        <f t="shared" si="93"/>
        <v>-303.36</v>
      </c>
      <c r="X132" s="133">
        <f t="shared" si="94"/>
        <v>-303.36</v>
      </c>
      <c r="Y132" s="133">
        <f t="shared" si="95"/>
        <v>-455.04</v>
      </c>
      <c r="Z132" s="133">
        <f t="shared" si="96"/>
        <v>-151.68</v>
      </c>
      <c r="AA132" s="133">
        <f t="shared" si="97"/>
        <v>-1516.8000000000002</v>
      </c>
      <c r="AB132" s="157"/>
      <c r="AC132" s="166" t="s">
        <v>1011</v>
      </c>
      <c r="AD132" s="167" t="s">
        <v>0</v>
      </c>
      <c r="AE132" s="168" t="s">
        <v>11</v>
      </c>
      <c r="AF132" s="169"/>
      <c r="AG132" s="170">
        <f t="shared" si="98"/>
        <v>0</v>
      </c>
      <c r="AH132" s="170">
        <v>0</v>
      </c>
      <c r="AI132" s="170">
        <f t="shared" si="99"/>
        <v>0</v>
      </c>
      <c r="AJ132" s="170">
        <v>0</v>
      </c>
      <c r="AK132" s="171">
        <f t="shared" si="100"/>
        <v>0</v>
      </c>
      <c r="AM132" s="166" t="s">
        <v>1012</v>
      </c>
      <c r="AO132" s="158">
        <v>42.45</v>
      </c>
      <c r="BB132" s="172" t="s">
        <v>165</v>
      </c>
      <c r="BD132" s="172" t="s">
        <v>171</v>
      </c>
      <c r="BE132" s="172" t="s">
        <v>42</v>
      </c>
      <c r="BI132" s="172" t="s">
        <v>148</v>
      </c>
      <c r="BO132" s="173">
        <f t="shared" si="101"/>
        <v>0</v>
      </c>
      <c r="BP132" s="173">
        <f t="shared" si="102"/>
        <v>-303.36</v>
      </c>
      <c r="BQ132" s="173">
        <f t="shared" si="103"/>
        <v>0</v>
      </c>
      <c r="BR132" s="173">
        <f t="shared" si="104"/>
        <v>0</v>
      </c>
      <c r="BS132" s="173">
        <f t="shared" si="105"/>
        <v>0</v>
      </c>
      <c r="BT132" s="172" t="s">
        <v>42</v>
      </c>
      <c r="BU132" s="174">
        <f t="shared" si="106"/>
        <v>-303.36</v>
      </c>
      <c r="BV132" s="172" t="s">
        <v>153</v>
      </c>
      <c r="BW132" s="172" t="s">
        <v>638</v>
      </c>
    </row>
    <row r="133" spans="2:75" s="7" customFormat="1" ht="15">
      <c r="B133" s="82"/>
      <c r="C133" s="83"/>
      <c r="D133" s="92" t="s">
        <v>1156</v>
      </c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176"/>
      <c r="Q133" s="92"/>
      <c r="R133" s="92"/>
      <c r="S133" s="92"/>
      <c r="T133" s="92"/>
      <c r="U133" s="92"/>
      <c r="V133" s="163">
        <f t="shared" ref="V133:AA133" si="108">SUM(V134:V136)</f>
        <v>3699.643</v>
      </c>
      <c r="W133" s="163">
        <f t="shared" si="108"/>
        <v>3663.2829999999999</v>
      </c>
      <c r="X133" s="163">
        <f t="shared" si="108"/>
        <v>3760.5879999999997</v>
      </c>
      <c r="Y133" s="163">
        <f t="shared" si="108"/>
        <v>5694.8180000000002</v>
      </c>
      <c r="Z133" s="163">
        <f t="shared" si="108"/>
        <v>381.15</v>
      </c>
      <c r="AA133" s="163">
        <f t="shared" si="108"/>
        <v>17199.482</v>
      </c>
      <c r="AB133" s="85"/>
      <c r="AD133" s="86"/>
      <c r="AE133" s="83"/>
      <c r="AF133" s="83"/>
      <c r="AG133" s="87">
        <v>0</v>
      </c>
      <c r="AH133" s="83"/>
      <c r="AI133" s="87">
        <v>0</v>
      </c>
      <c r="AJ133" s="83"/>
      <c r="AK133" s="88">
        <v>0</v>
      </c>
      <c r="BB133" s="89" t="s">
        <v>156</v>
      </c>
      <c r="BD133" s="90" t="s">
        <v>30</v>
      </c>
      <c r="BE133" s="90" t="s">
        <v>38</v>
      </c>
      <c r="BI133" s="89" t="s">
        <v>148</v>
      </c>
      <c r="BU133" s="91">
        <v>0</v>
      </c>
    </row>
    <row r="134" spans="2:75" s="1" customFormat="1" ht="31.5" customHeight="1">
      <c r="B134" s="73"/>
      <c r="C134" s="93">
        <v>15</v>
      </c>
      <c r="D134" s="93" t="s">
        <v>149</v>
      </c>
      <c r="E134" s="94" t="s">
        <v>1157</v>
      </c>
      <c r="F134" s="498" t="s">
        <v>1158</v>
      </c>
      <c r="G134" s="498"/>
      <c r="H134" s="498"/>
      <c r="I134" s="498"/>
      <c r="J134" s="95" t="s">
        <v>168</v>
      </c>
      <c r="K134" s="128">
        <f>K135+K136</f>
        <v>1291.57</v>
      </c>
      <c r="L134" s="128">
        <f>L135+L136</f>
        <v>1275.4100000000001</v>
      </c>
      <c r="M134" s="128">
        <f>M135+M136</f>
        <v>1463.4299999999998</v>
      </c>
      <c r="N134" s="128">
        <f>N135+N136</f>
        <v>1815.5</v>
      </c>
      <c r="O134" s="128">
        <f>O135+O136</f>
        <v>169.4</v>
      </c>
      <c r="P134" s="165">
        <f>SUM(K134:O134)</f>
        <v>6015.3099999999995</v>
      </c>
      <c r="Q134" s="193">
        <v>0.4</v>
      </c>
      <c r="R134" s="193">
        <v>0.4</v>
      </c>
      <c r="S134" s="193">
        <v>0.4</v>
      </c>
      <c r="T134" s="193">
        <v>0.4</v>
      </c>
      <c r="U134" s="193">
        <v>0.4</v>
      </c>
      <c r="V134" s="128">
        <f t="shared" ref="V134:Z136" si="109">ROUND(Q134*K134,3)</f>
        <v>516.62800000000004</v>
      </c>
      <c r="W134" s="128">
        <f t="shared" si="109"/>
        <v>510.16399999999999</v>
      </c>
      <c r="X134" s="128">
        <f t="shared" si="109"/>
        <v>585.37199999999996</v>
      </c>
      <c r="Y134" s="128">
        <f t="shared" si="109"/>
        <v>726.2</v>
      </c>
      <c r="Z134" s="128">
        <f t="shared" si="109"/>
        <v>67.760000000000005</v>
      </c>
      <c r="AA134" s="128">
        <f>SUM(V134:Z134)</f>
        <v>2406.1239999999998</v>
      </c>
      <c r="AB134" s="74"/>
      <c r="AD134" s="98" t="s">
        <v>0</v>
      </c>
      <c r="AE134" s="18" t="s">
        <v>11</v>
      </c>
      <c r="AF134" s="192"/>
      <c r="AG134" s="99">
        <f>AF134*K134</f>
        <v>0</v>
      </c>
      <c r="AH134" s="99">
        <v>0</v>
      </c>
      <c r="AI134" s="99">
        <f>AH134*K134</f>
        <v>0</v>
      </c>
      <c r="AJ134" s="99">
        <v>0</v>
      </c>
      <c r="AK134" s="100">
        <f>AJ134*K134</f>
        <v>0</v>
      </c>
      <c r="AO134" s="1">
        <v>150</v>
      </c>
      <c r="BB134" s="9" t="s">
        <v>153</v>
      </c>
      <c r="BD134" s="9" t="s">
        <v>149</v>
      </c>
      <c r="BE134" s="9" t="s">
        <v>42</v>
      </c>
      <c r="BI134" s="9" t="s">
        <v>148</v>
      </c>
      <c r="BO134" s="72">
        <f>IF(AE134="základná",V134,0)</f>
        <v>0</v>
      </c>
      <c r="BP134" s="72">
        <f>IF(AE134="znížená",V134,0)</f>
        <v>516.62800000000004</v>
      </c>
      <c r="BQ134" s="72">
        <f>IF(AE134="zákl. prenesená",V134,0)</f>
        <v>0</v>
      </c>
      <c r="BR134" s="72">
        <f>IF(AE134="zníž. prenesená",V134,0)</f>
        <v>0</v>
      </c>
      <c r="BS134" s="72">
        <f>IF(AE134="nulová",V134,0)</f>
        <v>0</v>
      </c>
      <c r="BT134" s="9" t="s">
        <v>42</v>
      </c>
      <c r="BU134" s="101">
        <f>ROUND(Q134*K134,3)</f>
        <v>516.62800000000004</v>
      </c>
      <c r="BV134" s="9" t="s">
        <v>153</v>
      </c>
      <c r="BW134" s="9" t="s">
        <v>804</v>
      </c>
    </row>
    <row r="135" spans="2:75" s="1" customFormat="1" ht="40.5" customHeight="1">
      <c r="B135" s="73"/>
      <c r="C135" s="93">
        <v>16</v>
      </c>
      <c r="D135" s="93" t="s">
        <v>149</v>
      </c>
      <c r="E135" s="94" t="s">
        <v>1159</v>
      </c>
      <c r="F135" s="498" t="s">
        <v>1160</v>
      </c>
      <c r="G135" s="498"/>
      <c r="H135" s="498"/>
      <c r="I135" s="498"/>
      <c r="J135" s="95" t="s">
        <v>168</v>
      </c>
      <c r="K135" s="128">
        <v>1031.3699999999999</v>
      </c>
      <c r="L135" s="128">
        <v>1015.21</v>
      </c>
      <c r="M135" s="128">
        <v>1310.03</v>
      </c>
      <c r="N135" s="128">
        <v>1287.6500000000001</v>
      </c>
      <c r="O135" s="128">
        <v>169.4</v>
      </c>
      <c r="P135" s="165">
        <f>SUM(K135:O135)</f>
        <v>4813.66</v>
      </c>
      <c r="Q135" s="193">
        <v>1.85</v>
      </c>
      <c r="R135" s="460">
        <v>1.85</v>
      </c>
      <c r="S135" s="460">
        <v>1.85</v>
      </c>
      <c r="T135" s="460">
        <v>1.85</v>
      </c>
      <c r="U135" s="460">
        <v>1.85</v>
      </c>
      <c r="V135" s="128">
        <f t="shared" si="109"/>
        <v>1908.0350000000001</v>
      </c>
      <c r="W135" s="128">
        <f t="shared" si="109"/>
        <v>1878.1389999999999</v>
      </c>
      <c r="X135" s="128">
        <f t="shared" si="109"/>
        <v>2423.556</v>
      </c>
      <c r="Y135" s="128">
        <f t="shared" si="109"/>
        <v>2382.1529999999998</v>
      </c>
      <c r="Z135" s="128">
        <f t="shared" si="109"/>
        <v>313.39</v>
      </c>
      <c r="AA135" s="128">
        <f>SUM(V135:Z135)</f>
        <v>8905.2729999999992</v>
      </c>
      <c r="AB135" s="74"/>
      <c r="AD135" s="98" t="s">
        <v>0</v>
      </c>
      <c r="AE135" s="18" t="s">
        <v>11</v>
      </c>
      <c r="AF135" s="192"/>
      <c r="AG135" s="99">
        <f>AF135*K135</f>
        <v>0</v>
      </c>
      <c r="AH135" s="99">
        <v>0</v>
      </c>
      <c r="AI135" s="99">
        <f>AH135*K135</f>
        <v>0</v>
      </c>
      <c r="AJ135" s="99">
        <v>0</v>
      </c>
      <c r="AK135" s="100">
        <f>AJ135*K135</f>
        <v>0</v>
      </c>
      <c r="AO135" s="1">
        <v>150</v>
      </c>
      <c r="BB135" s="9" t="s">
        <v>153</v>
      </c>
      <c r="BD135" s="9" t="s">
        <v>149</v>
      </c>
      <c r="BE135" s="9" t="s">
        <v>42</v>
      </c>
      <c r="BI135" s="9" t="s">
        <v>148</v>
      </c>
      <c r="BO135" s="72">
        <f>IF(AE135="základná",V135,0)</f>
        <v>0</v>
      </c>
      <c r="BP135" s="72">
        <f>IF(AE135="znížená",V135,0)</f>
        <v>1908.0350000000001</v>
      </c>
      <c r="BQ135" s="72">
        <f>IF(AE135="zákl. prenesená",V135,0)</f>
        <v>0</v>
      </c>
      <c r="BR135" s="72">
        <f>IF(AE135="zníž. prenesená",V135,0)</f>
        <v>0</v>
      </c>
      <c r="BS135" s="72">
        <f>IF(AE135="nulová",V135,0)</f>
        <v>0</v>
      </c>
      <c r="BT135" s="9" t="s">
        <v>42</v>
      </c>
      <c r="BU135" s="101">
        <f>ROUND(Q135*K135,3)</f>
        <v>1908.0350000000001</v>
      </c>
      <c r="BV135" s="9" t="s">
        <v>153</v>
      </c>
      <c r="BW135" s="9" t="s">
        <v>807</v>
      </c>
    </row>
    <row r="136" spans="2:75" s="1" customFormat="1" ht="39.75" customHeight="1">
      <c r="B136" s="73"/>
      <c r="C136" s="93">
        <v>17</v>
      </c>
      <c r="D136" s="93" t="s">
        <v>149</v>
      </c>
      <c r="E136" s="94" t="s">
        <v>1161</v>
      </c>
      <c r="F136" s="498" t="s">
        <v>1162</v>
      </c>
      <c r="G136" s="498"/>
      <c r="H136" s="498"/>
      <c r="I136" s="498"/>
      <c r="J136" s="95" t="s">
        <v>168</v>
      </c>
      <c r="K136" s="128">
        <v>260.2</v>
      </c>
      <c r="L136" s="128">
        <v>260.2</v>
      </c>
      <c r="M136" s="128">
        <v>153.39999999999998</v>
      </c>
      <c r="N136" s="128">
        <v>527.85</v>
      </c>
      <c r="O136" s="128">
        <v>0</v>
      </c>
      <c r="P136" s="165">
        <f>SUM(K136:O136)</f>
        <v>1201.6500000000001</v>
      </c>
      <c r="Q136" s="193">
        <v>4.9000000000000004</v>
      </c>
      <c r="R136" s="460">
        <v>4.9000000000000004</v>
      </c>
      <c r="S136" s="460">
        <v>4.9000000000000004</v>
      </c>
      <c r="T136" s="460">
        <v>4.9000000000000004</v>
      </c>
      <c r="U136" s="460">
        <v>4.9000000000000004</v>
      </c>
      <c r="V136" s="128">
        <f t="shared" si="109"/>
        <v>1274.98</v>
      </c>
      <c r="W136" s="128">
        <f t="shared" si="109"/>
        <v>1274.98</v>
      </c>
      <c r="X136" s="128">
        <f t="shared" si="109"/>
        <v>751.66</v>
      </c>
      <c r="Y136" s="128">
        <f t="shared" si="109"/>
        <v>2586.4650000000001</v>
      </c>
      <c r="Z136" s="128">
        <f t="shared" si="109"/>
        <v>0</v>
      </c>
      <c r="AA136" s="128">
        <f>SUM(V136:Z136)</f>
        <v>5888.085</v>
      </c>
      <c r="AB136" s="74"/>
      <c r="AD136" s="98" t="s">
        <v>0</v>
      </c>
      <c r="AE136" s="18" t="s">
        <v>11</v>
      </c>
      <c r="AF136" s="192"/>
      <c r="AG136" s="99">
        <f>AF136*K136</f>
        <v>0</v>
      </c>
      <c r="AH136" s="99">
        <v>0</v>
      </c>
      <c r="AI136" s="99">
        <f>AH136*K136</f>
        <v>0</v>
      </c>
      <c r="AJ136" s="99">
        <v>0</v>
      </c>
      <c r="AK136" s="100">
        <f>AJ136*K136</f>
        <v>0</v>
      </c>
      <c r="AO136" s="1">
        <v>150</v>
      </c>
      <c r="BB136" s="9" t="s">
        <v>153</v>
      </c>
      <c r="BD136" s="9" t="s">
        <v>149</v>
      </c>
      <c r="BE136" s="9" t="s">
        <v>42</v>
      </c>
      <c r="BI136" s="9" t="s">
        <v>148</v>
      </c>
      <c r="BO136" s="72">
        <f>IF(AE136="základná",V136,0)</f>
        <v>0</v>
      </c>
      <c r="BP136" s="72">
        <f>IF(AE136="znížená",V136,0)</f>
        <v>1274.98</v>
      </c>
      <c r="BQ136" s="72">
        <f>IF(AE136="zákl. prenesená",V136,0)</f>
        <v>0</v>
      </c>
      <c r="BR136" s="72">
        <f>IF(AE136="zníž. prenesená",V136,0)</f>
        <v>0</v>
      </c>
      <c r="BS136" s="72">
        <f>IF(AE136="nulová",V136,0)</f>
        <v>0</v>
      </c>
      <c r="BT136" s="9" t="s">
        <v>42</v>
      </c>
      <c r="BU136" s="101">
        <f>ROUND(Q136*K136,3)</f>
        <v>1274.98</v>
      </c>
      <c r="BV136" s="9" t="s">
        <v>153</v>
      </c>
      <c r="BW136" s="9" t="s">
        <v>811</v>
      </c>
    </row>
    <row r="137" spans="2:75" s="1" customFormat="1" ht="6.95" customHeight="1">
      <c r="B137" s="23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5"/>
    </row>
  </sheetData>
  <autoFilter ref="C17:AA115">
    <filterColumn colId="3" showButton="0"/>
    <filterColumn colId="4" showButton="0"/>
    <filterColumn colId="5" showButton="0"/>
  </autoFilter>
  <mergeCells count="108">
    <mergeCell ref="C5:V5"/>
    <mergeCell ref="F7:V7"/>
    <mergeCell ref="F9:V9"/>
    <mergeCell ref="F8:V8"/>
    <mergeCell ref="F10:V10"/>
    <mergeCell ref="F26:I26"/>
    <mergeCell ref="F25:I25"/>
    <mergeCell ref="F27:I27"/>
    <mergeCell ref="F30:I30"/>
    <mergeCell ref="F31:I31"/>
    <mergeCell ref="F17:I17"/>
    <mergeCell ref="F21:I21"/>
    <mergeCell ref="F22:I22"/>
    <mergeCell ref="F23:I23"/>
    <mergeCell ref="F24:I24"/>
    <mergeCell ref="F37:I37"/>
    <mergeCell ref="F38:I38"/>
    <mergeCell ref="F39:I39"/>
    <mergeCell ref="F40:I40"/>
    <mergeCell ref="F41:I41"/>
    <mergeCell ref="F32:I32"/>
    <mergeCell ref="F33:I33"/>
    <mergeCell ref="F34:I34"/>
    <mergeCell ref="F35:I35"/>
    <mergeCell ref="F36:I36"/>
    <mergeCell ref="F47:I47"/>
    <mergeCell ref="F48:I48"/>
    <mergeCell ref="F49:I49"/>
    <mergeCell ref="F50:I50"/>
    <mergeCell ref="F51:I51"/>
    <mergeCell ref="F42:I42"/>
    <mergeCell ref="F43:I43"/>
    <mergeCell ref="F44:I44"/>
    <mergeCell ref="F45:I45"/>
    <mergeCell ref="F46:I46"/>
    <mergeCell ref="F57:I57"/>
    <mergeCell ref="F58:I58"/>
    <mergeCell ref="F59:I59"/>
    <mergeCell ref="F60:I60"/>
    <mergeCell ref="F61:I61"/>
    <mergeCell ref="F52:I52"/>
    <mergeCell ref="F53:I53"/>
    <mergeCell ref="F54:I54"/>
    <mergeCell ref="F55:I55"/>
    <mergeCell ref="F56:I56"/>
    <mergeCell ref="F67:I67"/>
    <mergeCell ref="F68:I68"/>
    <mergeCell ref="F69:I69"/>
    <mergeCell ref="F70:I70"/>
    <mergeCell ref="F71:I71"/>
    <mergeCell ref="F62:I62"/>
    <mergeCell ref="F63:I63"/>
    <mergeCell ref="F64:I64"/>
    <mergeCell ref="F65:I65"/>
    <mergeCell ref="F66:I66"/>
    <mergeCell ref="F77:I77"/>
    <mergeCell ref="F78:I78"/>
    <mergeCell ref="F79:I79"/>
    <mergeCell ref="F80:I80"/>
    <mergeCell ref="F81:I81"/>
    <mergeCell ref="F72:I72"/>
    <mergeCell ref="F73:I73"/>
    <mergeCell ref="F74:I74"/>
    <mergeCell ref="F75:I75"/>
    <mergeCell ref="F76:I76"/>
    <mergeCell ref="F87:I87"/>
    <mergeCell ref="F88:I88"/>
    <mergeCell ref="F89:I89"/>
    <mergeCell ref="F90:I90"/>
    <mergeCell ref="F91:I91"/>
    <mergeCell ref="F82:I82"/>
    <mergeCell ref="F83:I83"/>
    <mergeCell ref="F84:I84"/>
    <mergeCell ref="F85:I85"/>
    <mergeCell ref="F86:I86"/>
    <mergeCell ref="F112:I112"/>
    <mergeCell ref="F102:I102"/>
    <mergeCell ref="F105:I105"/>
    <mergeCell ref="F107:I107"/>
    <mergeCell ref="F92:I92"/>
    <mergeCell ref="F93:I93"/>
    <mergeCell ref="F94:I94"/>
    <mergeCell ref="F95:I95"/>
    <mergeCell ref="F96:I96"/>
    <mergeCell ref="F108:I108"/>
    <mergeCell ref="F98:I98"/>
    <mergeCell ref="F99:I99"/>
    <mergeCell ref="F100:I100"/>
    <mergeCell ref="F111:I111"/>
    <mergeCell ref="F134:I134"/>
    <mergeCell ref="F135:I135"/>
    <mergeCell ref="F136:I136"/>
    <mergeCell ref="F119:I119"/>
    <mergeCell ref="F113:I113"/>
    <mergeCell ref="F114:I114"/>
    <mergeCell ref="F120:I120"/>
    <mergeCell ref="F121:I121"/>
    <mergeCell ref="F122:I122"/>
    <mergeCell ref="F123:I123"/>
    <mergeCell ref="F124:I124"/>
    <mergeCell ref="F125:I125"/>
    <mergeCell ref="F126:I126"/>
    <mergeCell ref="F127:I127"/>
    <mergeCell ref="F128:I128"/>
    <mergeCell ref="F130:I130"/>
    <mergeCell ref="F129:I129"/>
    <mergeCell ref="F131:I131"/>
    <mergeCell ref="F132:I132"/>
  </mergeCells>
  <conditionalFormatting sqref="K21:AA115 K118:AA136 K116:U117 AA116:AA117">
    <cfRule type="cellIs" dxfId="10" priority="11" operator="lessThan">
      <formula>0</formula>
    </cfRule>
  </conditionalFormatting>
  <conditionalFormatting sqref="V116">
    <cfRule type="cellIs" dxfId="9" priority="10" operator="lessThan">
      <formula>0</formula>
    </cfRule>
  </conditionalFormatting>
  <conditionalFormatting sqref="W116">
    <cfRule type="cellIs" dxfId="8" priority="9" operator="lessThan">
      <formula>0</formula>
    </cfRule>
  </conditionalFormatting>
  <conditionalFormatting sqref="X116">
    <cfRule type="cellIs" dxfId="7" priority="8" operator="lessThan">
      <formula>0</formula>
    </cfRule>
  </conditionalFormatting>
  <conditionalFormatting sqref="Y116">
    <cfRule type="cellIs" dxfId="6" priority="7" operator="lessThan">
      <formula>0</formula>
    </cfRule>
  </conditionalFormatting>
  <conditionalFormatting sqref="Z116">
    <cfRule type="cellIs" dxfId="5" priority="6" operator="lessThan">
      <formula>0</formula>
    </cfRule>
  </conditionalFormatting>
  <conditionalFormatting sqref="V117">
    <cfRule type="cellIs" dxfId="4" priority="5" operator="lessThan">
      <formula>0</formula>
    </cfRule>
  </conditionalFormatting>
  <conditionalFormatting sqref="W117">
    <cfRule type="cellIs" dxfId="3" priority="4" operator="lessThan">
      <formula>0</formula>
    </cfRule>
  </conditionalFormatting>
  <conditionalFormatting sqref="X117">
    <cfRule type="cellIs" dxfId="2" priority="3" operator="lessThan">
      <formula>0</formula>
    </cfRule>
  </conditionalFormatting>
  <conditionalFormatting sqref="Y117">
    <cfRule type="cellIs" dxfId="1" priority="2" operator="lessThan">
      <formula>0</formula>
    </cfRule>
  </conditionalFormatting>
  <conditionalFormatting sqref="Z117">
    <cfRule type="cellIs" dxfId="0" priority="1" operator="lessThan">
      <formula>0</formula>
    </cfRule>
  </conditionalFormatting>
  <pageMargins left="0.58333330000000005" right="0.58333330000000005" top="0.5" bottom="0.46666669999999999" header="0" footer="0"/>
  <pageSetup paperSize="9" scale="36" fitToHeight="100" orientation="portrait" blackAndWhite="1" r:id="rId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BJ62"/>
  <sheetViews>
    <sheetView showGridLines="0" view="pageBreakPreview" zoomScale="130" zoomScaleNormal="70" zoomScaleSheetLayoutView="130" workbookViewId="0">
      <pane ySplit="1" topLeftCell="A35" activePane="bottomLeft" state="frozen"/>
      <selection pane="bottomLeft" activeCell="AG15" sqref="AG15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3" width="6" customWidth="1"/>
    <col min="14" max="14" width="18.6640625" bestFit="1" customWidth="1"/>
    <col min="15" max="15" width="1.6640625" customWidth="1"/>
    <col min="16" max="16" width="9.5" customWidth="1"/>
    <col min="17" max="17" width="29.6640625" hidden="1" customWidth="1"/>
    <col min="18" max="18" width="16.33203125" hidden="1" customWidth="1"/>
    <col min="19" max="19" width="12.33203125" hidden="1" customWidth="1"/>
    <col min="20" max="20" width="16.33203125" hidden="1" customWidth="1"/>
    <col min="21" max="21" width="12.1640625" hidden="1" customWidth="1"/>
    <col min="22" max="22" width="15" hidden="1" customWidth="1"/>
    <col min="23" max="23" width="11" hidden="1" customWidth="1"/>
    <col min="24" max="24" width="15" hidden="1" customWidth="1"/>
    <col min="25" max="25" width="16.33203125" hidden="1" customWidth="1"/>
    <col min="26" max="26" width="14.6640625" customWidth="1"/>
    <col min="27" max="27" width="7" hidden="1" customWidth="1"/>
    <col min="28" max="28" width="16.33203125" hidden="1" customWidth="1"/>
    <col min="41" max="62" width="9.33203125" hidden="1"/>
  </cols>
  <sheetData>
    <row r="4" spans="2:26" s="1" customFormat="1" ht="6.95" customHeight="1"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2:26" s="1" customFormat="1" ht="36.950000000000003" customHeight="1">
      <c r="B5" s="15"/>
      <c r="C5" s="485" t="s">
        <v>134</v>
      </c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17"/>
    </row>
    <row r="6" spans="2:26" s="1" customFormat="1" ht="6.95" customHeight="1"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</row>
    <row r="7" spans="2:26" s="1" customFormat="1" ht="30" customHeight="1">
      <c r="B7" s="15"/>
      <c r="C7" s="14" t="s">
        <v>3</v>
      </c>
      <c r="D7" s="16"/>
      <c r="E7" s="16"/>
      <c r="F7" s="513"/>
      <c r="G7" s="516"/>
      <c r="H7" s="516"/>
      <c r="I7" s="516"/>
      <c r="J7" s="516"/>
      <c r="K7" s="516"/>
      <c r="L7" s="516"/>
      <c r="M7" s="516"/>
      <c r="N7" s="516"/>
      <c r="O7" s="17"/>
    </row>
    <row r="8" spans="2:26" ht="30" customHeight="1">
      <c r="B8" s="10"/>
      <c r="C8" s="14" t="s">
        <v>121</v>
      </c>
      <c r="D8" s="12"/>
      <c r="E8" s="12"/>
      <c r="F8" s="513" t="s">
        <v>549</v>
      </c>
      <c r="G8" s="517"/>
      <c r="H8" s="517"/>
      <c r="I8" s="517"/>
      <c r="J8" s="517"/>
      <c r="K8" s="517"/>
      <c r="L8" s="517"/>
      <c r="M8" s="517"/>
      <c r="N8" s="517"/>
      <c r="O8" s="11"/>
    </row>
    <row r="9" spans="2:26" s="1" customFormat="1" ht="36.950000000000003" customHeight="1">
      <c r="B9" s="15"/>
      <c r="C9" s="33" t="s">
        <v>123</v>
      </c>
      <c r="D9" s="16"/>
      <c r="E9" s="16"/>
      <c r="F9" s="487"/>
      <c r="G9" s="515"/>
      <c r="H9" s="515"/>
      <c r="I9" s="515"/>
      <c r="J9" s="515"/>
      <c r="K9" s="515"/>
      <c r="L9" s="515"/>
      <c r="M9" s="515"/>
      <c r="N9" s="515"/>
      <c r="O9" s="17"/>
    </row>
    <row r="10" spans="2:26" s="1" customFormat="1" ht="6.95" customHeight="1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/>
    </row>
    <row r="11" spans="2:26" s="1" customFormat="1" ht="18" customHeight="1">
      <c r="B11" s="15"/>
      <c r="C11" s="14" t="s">
        <v>4</v>
      </c>
      <c r="D11" s="16"/>
      <c r="E11" s="16"/>
      <c r="F11" s="13"/>
      <c r="G11" s="16"/>
      <c r="H11" s="16"/>
      <c r="I11" s="16"/>
      <c r="J11" s="16"/>
      <c r="K11" s="14" t="s">
        <v>5</v>
      </c>
      <c r="L11" s="16"/>
      <c r="M11" s="514"/>
      <c r="N11" s="514"/>
      <c r="O11" s="17"/>
    </row>
    <row r="12" spans="2:26" s="1" customFormat="1" ht="6.95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</row>
    <row r="13" spans="2:26" s="1" customFormat="1" ht="15">
      <c r="B13" s="15"/>
      <c r="C13" s="14" t="s">
        <v>6</v>
      </c>
      <c r="D13" s="16"/>
      <c r="E13" s="16"/>
      <c r="F13" s="13"/>
      <c r="G13" s="16"/>
      <c r="H13" s="16"/>
      <c r="I13" s="16"/>
      <c r="J13" s="16"/>
      <c r="K13" s="14" t="s">
        <v>8</v>
      </c>
      <c r="L13" s="16"/>
      <c r="M13" s="510"/>
      <c r="N13" s="510"/>
      <c r="O13" s="17"/>
    </row>
    <row r="14" spans="2:26" s="1" customFormat="1" ht="14.45" customHeight="1">
      <c r="B14" s="15"/>
      <c r="C14" s="14" t="s">
        <v>7</v>
      </c>
      <c r="D14" s="16"/>
      <c r="E14" s="16"/>
      <c r="F14" s="13"/>
      <c r="G14" s="16"/>
      <c r="H14" s="16"/>
      <c r="I14" s="16"/>
      <c r="J14" s="16"/>
      <c r="K14" s="14" t="s">
        <v>9</v>
      </c>
      <c r="L14" s="16"/>
      <c r="M14" s="510"/>
      <c r="N14" s="510"/>
      <c r="O14" s="17"/>
    </row>
    <row r="15" spans="2:26" s="1" customFormat="1" ht="10.35" customHeight="1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</row>
    <row r="16" spans="2:26" s="6" customFormat="1" ht="29.25" customHeight="1">
      <c r="B16" s="75"/>
      <c r="C16" s="76" t="s">
        <v>135</v>
      </c>
      <c r="D16" s="77" t="s">
        <v>136</v>
      </c>
      <c r="E16" s="77" t="s">
        <v>14</v>
      </c>
      <c r="F16" s="511" t="s">
        <v>137</v>
      </c>
      <c r="G16" s="511"/>
      <c r="H16" s="511"/>
      <c r="I16" s="511"/>
      <c r="J16" s="77" t="s">
        <v>138</v>
      </c>
      <c r="K16" s="77" t="s">
        <v>139</v>
      </c>
      <c r="L16" s="521" t="s">
        <v>140</v>
      </c>
      <c r="M16" s="521"/>
      <c r="N16" s="125" t="s">
        <v>125</v>
      </c>
      <c r="O16" s="78"/>
      <c r="P16" s="6" t="s">
        <v>950</v>
      </c>
      <c r="Q16" s="39" t="s">
        <v>141</v>
      </c>
      <c r="R16" s="40" t="s">
        <v>10</v>
      </c>
      <c r="S16" s="40" t="s">
        <v>142</v>
      </c>
      <c r="T16" s="40" t="s">
        <v>143</v>
      </c>
      <c r="U16" s="40" t="s">
        <v>144</v>
      </c>
      <c r="V16" s="40" t="s">
        <v>145</v>
      </c>
      <c r="W16" s="40" t="s">
        <v>146</v>
      </c>
      <c r="X16" s="41" t="s">
        <v>147</v>
      </c>
      <c r="Z16" s="6" t="s">
        <v>136</v>
      </c>
    </row>
    <row r="17" spans="2:62" s="1" customFormat="1" ht="29.25" customHeight="1">
      <c r="B17" s="15"/>
      <c r="C17" s="43" t="s">
        <v>124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29">
        <f>BH17</f>
        <v>16866.813999999998</v>
      </c>
      <c r="O17" s="17"/>
      <c r="Q17" s="42"/>
      <c r="R17" s="19"/>
      <c r="S17" s="19"/>
      <c r="T17" s="79">
        <f>T18+T50+T53+T61</f>
        <v>0</v>
      </c>
      <c r="U17" s="19"/>
      <c r="V17" s="79">
        <f>V18+V50+V53+V61</f>
        <v>0</v>
      </c>
      <c r="W17" s="19"/>
      <c r="X17" s="80">
        <f>X18+X50+X53+X61</f>
        <v>0</v>
      </c>
      <c r="AA17" s="1">
        <v>1.02</v>
      </c>
      <c r="AQ17" s="9" t="s">
        <v>30</v>
      </c>
      <c r="AR17" s="9" t="s">
        <v>126</v>
      </c>
      <c r="BH17" s="81">
        <f>BH18+BH50+BH53+BH61</f>
        <v>16866.813999999998</v>
      </c>
    </row>
    <row r="18" spans="2:62" s="7" customFormat="1" ht="37.35" customHeight="1">
      <c r="B18" s="82"/>
      <c r="C18" s="83"/>
      <c r="D18" s="84" t="s">
        <v>552</v>
      </c>
      <c r="E18" s="84"/>
      <c r="F18" s="84"/>
      <c r="G18" s="84"/>
      <c r="H18" s="84"/>
      <c r="I18" s="84"/>
      <c r="J18" s="84"/>
      <c r="K18" s="84"/>
      <c r="L18" s="84"/>
      <c r="M18" s="84"/>
      <c r="N18" s="130">
        <f>BH18</f>
        <v>14301.46</v>
      </c>
      <c r="O18" s="85"/>
      <c r="Q18" s="86"/>
      <c r="R18" s="83"/>
      <c r="S18" s="83"/>
      <c r="T18" s="87">
        <f>T19</f>
        <v>0</v>
      </c>
      <c r="U18" s="83"/>
      <c r="V18" s="87">
        <f>V19</f>
        <v>0</v>
      </c>
      <c r="W18" s="83"/>
      <c r="X18" s="88">
        <f>X19</f>
        <v>0</v>
      </c>
      <c r="AO18" s="89" t="s">
        <v>105</v>
      </c>
      <c r="AQ18" s="90" t="s">
        <v>30</v>
      </c>
      <c r="AR18" s="90" t="s">
        <v>31</v>
      </c>
      <c r="AV18" s="89" t="s">
        <v>148</v>
      </c>
      <c r="BH18" s="91">
        <f>BH19</f>
        <v>14301.46</v>
      </c>
    </row>
    <row r="19" spans="2:62" s="7" customFormat="1" ht="19.899999999999999" customHeight="1">
      <c r="B19" s="82"/>
      <c r="C19" s="83"/>
      <c r="D19" s="92" t="s">
        <v>553</v>
      </c>
      <c r="E19" s="92"/>
      <c r="F19" s="92"/>
      <c r="G19" s="92"/>
      <c r="H19" s="92"/>
      <c r="I19" s="92"/>
      <c r="J19" s="92"/>
      <c r="K19" s="92"/>
      <c r="L19" s="92"/>
      <c r="M19" s="92"/>
      <c r="N19" s="131">
        <f>BH19</f>
        <v>14301.46</v>
      </c>
      <c r="O19" s="85"/>
      <c r="Q19" s="86"/>
      <c r="R19" s="83"/>
      <c r="S19" s="83"/>
      <c r="T19" s="87">
        <f>SUM(T20:T49)</f>
        <v>0</v>
      </c>
      <c r="U19" s="83"/>
      <c r="V19" s="87">
        <f>SUM(V20:V49)</f>
        <v>0</v>
      </c>
      <c r="W19" s="83"/>
      <c r="X19" s="88">
        <f>SUM(X20:X49)</f>
        <v>0</v>
      </c>
      <c r="AO19" s="89" t="s">
        <v>105</v>
      </c>
      <c r="AQ19" s="90" t="s">
        <v>30</v>
      </c>
      <c r="AR19" s="90" t="s">
        <v>38</v>
      </c>
      <c r="AV19" s="89" t="s">
        <v>148</v>
      </c>
      <c r="BH19" s="91">
        <f>SUM(BH20:BH49)</f>
        <v>14301.46</v>
      </c>
    </row>
    <row r="20" spans="2:62" s="1" customFormat="1" ht="44.25" customHeight="1">
      <c r="B20" s="73"/>
      <c r="C20" s="93" t="s">
        <v>38</v>
      </c>
      <c r="D20" s="93" t="s">
        <v>149</v>
      </c>
      <c r="E20" s="94" t="s">
        <v>820</v>
      </c>
      <c r="F20" s="498" t="s">
        <v>821</v>
      </c>
      <c r="G20" s="498"/>
      <c r="H20" s="498"/>
      <c r="I20" s="498"/>
      <c r="J20" s="95" t="s">
        <v>168</v>
      </c>
      <c r="K20" s="96">
        <v>1</v>
      </c>
      <c r="L20" s="519">
        <v>123.87</v>
      </c>
      <c r="M20" s="519"/>
      <c r="N20" s="128">
        <f t="shared" ref="N20:N49" si="0">ROUND(L20*K20,3)</f>
        <v>123.87</v>
      </c>
      <c r="O20" s="74"/>
      <c r="Q20" s="98" t="s">
        <v>0</v>
      </c>
      <c r="R20" s="18" t="s">
        <v>11</v>
      </c>
      <c r="S20" s="16"/>
      <c r="T20" s="99">
        <f t="shared" ref="T20:T49" si="1">S20*K20</f>
        <v>0</v>
      </c>
      <c r="U20" s="99">
        <v>0</v>
      </c>
      <c r="V20" s="99">
        <f t="shared" ref="V20:V49" si="2">U20*K20</f>
        <v>0</v>
      </c>
      <c r="W20" s="99">
        <v>0</v>
      </c>
      <c r="X20" s="100">
        <f t="shared" ref="X20:X49" si="3">W20*K20</f>
        <v>0</v>
      </c>
      <c r="AB20" s="1">
        <v>138.69</v>
      </c>
      <c r="AO20" s="9" t="s">
        <v>656</v>
      </c>
      <c r="AQ20" s="9" t="s">
        <v>149</v>
      </c>
      <c r="AR20" s="9" t="s">
        <v>42</v>
      </c>
      <c r="AV20" s="9" t="s">
        <v>148</v>
      </c>
      <c r="BB20" s="72">
        <f t="shared" ref="BB20:BB49" si="4">IF(R20="základná",N20,0)</f>
        <v>0</v>
      </c>
      <c r="BC20" s="72">
        <f t="shared" ref="BC20:BC49" si="5">IF(R20="znížená",N20,0)</f>
        <v>123.87</v>
      </c>
      <c r="BD20" s="72">
        <f t="shared" ref="BD20:BD49" si="6">IF(R20="zákl. prenesená",N20,0)</f>
        <v>0</v>
      </c>
      <c r="BE20" s="72">
        <f t="shared" ref="BE20:BE49" si="7">IF(R20="zníž. prenesená",N20,0)</f>
        <v>0</v>
      </c>
      <c r="BF20" s="72">
        <f t="shared" ref="BF20:BF49" si="8">IF(R20="nulová",N20,0)</f>
        <v>0</v>
      </c>
      <c r="BG20" s="9" t="s">
        <v>42</v>
      </c>
      <c r="BH20" s="101">
        <f t="shared" ref="BH20:BH49" si="9">ROUND(L20*K20,3)</f>
        <v>123.87</v>
      </c>
      <c r="BI20" s="9" t="s">
        <v>656</v>
      </c>
      <c r="BJ20" s="9" t="s">
        <v>42</v>
      </c>
    </row>
    <row r="21" spans="2:62" s="1" customFormat="1" ht="31.5" customHeight="1">
      <c r="B21" s="73"/>
      <c r="C21" s="93" t="s">
        <v>42</v>
      </c>
      <c r="D21" s="93" t="s">
        <v>149</v>
      </c>
      <c r="E21" s="94" t="s">
        <v>822</v>
      </c>
      <c r="F21" s="498" t="s">
        <v>823</v>
      </c>
      <c r="G21" s="498"/>
      <c r="H21" s="498"/>
      <c r="I21" s="498"/>
      <c r="J21" s="95" t="s">
        <v>184</v>
      </c>
      <c r="K21" s="96">
        <v>42</v>
      </c>
      <c r="L21" s="519">
        <v>0.57999999999999996</v>
      </c>
      <c r="M21" s="519"/>
      <c r="N21" s="128">
        <f t="shared" si="0"/>
        <v>24.36</v>
      </c>
      <c r="O21" s="74"/>
      <c r="Q21" s="98" t="s">
        <v>0</v>
      </c>
      <c r="R21" s="18" t="s">
        <v>11</v>
      </c>
      <c r="S21" s="16"/>
      <c r="T21" s="99">
        <f t="shared" si="1"/>
        <v>0</v>
      </c>
      <c r="U21" s="99">
        <v>0</v>
      </c>
      <c r="V21" s="99">
        <f t="shared" si="2"/>
        <v>0</v>
      </c>
      <c r="W21" s="99">
        <v>0</v>
      </c>
      <c r="X21" s="100">
        <f t="shared" si="3"/>
        <v>0</v>
      </c>
      <c r="AB21" s="1">
        <v>0.65</v>
      </c>
      <c r="AO21" s="9" t="s">
        <v>656</v>
      </c>
      <c r="AQ21" s="9" t="s">
        <v>149</v>
      </c>
      <c r="AR21" s="9" t="s">
        <v>42</v>
      </c>
      <c r="AV21" s="9" t="s">
        <v>148</v>
      </c>
      <c r="BB21" s="72">
        <f t="shared" si="4"/>
        <v>0</v>
      </c>
      <c r="BC21" s="72">
        <f t="shared" si="5"/>
        <v>24.36</v>
      </c>
      <c r="BD21" s="72">
        <f t="shared" si="6"/>
        <v>0</v>
      </c>
      <c r="BE21" s="72">
        <f t="shared" si="7"/>
        <v>0</v>
      </c>
      <c r="BF21" s="72">
        <f t="shared" si="8"/>
        <v>0</v>
      </c>
      <c r="BG21" s="9" t="s">
        <v>42</v>
      </c>
      <c r="BH21" s="101">
        <f t="shared" si="9"/>
        <v>24.36</v>
      </c>
      <c r="BI21" s="9" t="s">
        <v>656</v>
      </c>
      <c r="BJ21" s="9" t="s">
        <v>153</v>
      </c>
    </row>
    <row r="22" spans="2:62" s="1" customFormat="1" ht="22.5" customHeight="1">
      <c r="B22" s="73"/>
      <c r="C22" s="102" t="s">
        <v>105</v>
      </c>
      <c r="D22" s="102" t="s">
        <v>171</v>
      </c>
      <c r="E22" s="103" t="s">
        <v>824</v>
      </c>
      <c r="F22" s="499" t="s">
        <v>825</v>
      </c>
      <c r="G22" s="499"/>
      <c r="H22" s="499"/>
      <c r="I22" s="499"/>
      <c r="J22" s="104" t="s">
        <v>184</v>
      </c>
      <c r="K22" s="105">
        <v>42</v>
      </c>
      <c r="L22" s="520">
        <v>0.46</v>
      </c>
      <c r="M22" s="520"/>
      <c r="N22" s="133">
        <f t="shared" si="0"/>
        <v>19.32</v>
      </c>
      <c r="O22" s="74"/>
      <c r="P22" s="1" t="s">
        <v>1084</v>
      </c>
      <c r="Q22" s="98" t="s">
        <v>0</v>
      </c>
      <c r="R22" s="18" t="s">
        <v>11</v>
      </c>
      <c r="S22" s="16"/>
      <c r="T22" s="99">
        <f t="shared" si="1"/>
        <v>0</v>
      </c>
      <c r="U22" s="99">
        <v>0</v>
      </c>
      <c r="V22" s="99">
        <f t="shared" si="2"/>
        <v>0</v>
      </c>
      <c r="W22" s="99">
        <v>0</v>
      </c>
      <c r="X22" s="100">
        <f t="shared" si="3"/>
        <v>0</v>
      </c>
      <c r="Z22" s="1" t="s">
        <v>1064</v>
      </c>
      <c r="AB22" s="1">
        <v>0.52</v>
      </c>
      <c r="AO22" s="9" t="s">
        <v>815</v>
      </c>
      <c r="AQ22" s="9" t="s">
        <v>171</v>
      </c>
      <c r="AR22" s="9" t="s">
        <v>42</v>
      </c>
      <c r="AV22" s="9" t="s">
        <v>148</v>
      </c>
      <c r="BB22" s="72">
        <f t="shared" si="4"/>
        <v>0</v>
      </c>
      <c r="BC22" s="72">
        <f t="shared" si="5"/>
        <v>19.32</v>
      </c>
      <c r="BD22" s="72">
        <f t="shared" si="6"/>
        <v>0</v>
      </c>
      <c r="BE22" s="72">
        <f t="shared" si="7"/>
        <v>0</v>
      </c>
      <c r="BF22" s="72">
        <f t="shared" si="8"/>
        <v>0</v>
      </c>
      <c r="BG22" s="9" t="s">
        <v>42</v>
      </c>
      <c r="BH22" s="101">
        <f t="shared" si="9"/>
        <v>19.32</v>
      </c>
      <c r="BI22" s="9" t="s">
        <v>656</v>
      </c>
      <c r="BJ22" s="9" t="s">
        <v>159</v>
      </c>
    </row>
    <row r="23" spans="2:62" s="1" customFormat="1" ht="31.5" customHeight="1">
      <c r="B23" s="73"/>
      <c r="C23" s="93" t="s">
        <v>153</v>
      </c>
      <c r="D23" s="93" t="s">
        <v>149</v>
      </c>
      <c r="E23" s="94" t="s">
        <v>826</v>
      </c>
      <c r="F23" s="498" t="s">
        <v>827</v>
      </c>
      <c r="G23" s="498"/>
      <c r="H23" s="498"/>
      <c r="I23" s="498"/>
      <c r="J23" s="95" t="s">
        <v>184</v>
      </c>
      <c r="K23" s="96">
        <v>3</v>
      </c>
      <c r="L23" s="519">
        <v>2.87</v>
      </c>
      <c r="M23" s="519"/>
      <c r="N23" s="128">
        <f t="shared" si="0"/>
        <v>8.61</v>
      </c>
      <c r="O23" s="74"/>
      <c r="Q23" s="98" t="s">
        <v>0</v>
      </c>
      <c r="R23" s="18" t="s">
        <v>11</v>
      </c>
      <c r="S23" s="16"/>
      <c r="T23" s="99">
        <f t="shared" si="1"/>
        <v>0</v>
      </c>
      <c r="U23" s="99">
        <v>0</v>
      </c>
      <c r="V23" s="99">
        <f t="shared" si="2"/>
        <v>0</v>
      </c>
      <c r="W23" s="99">
        <v>0</v>
      </c>
      <c r="X23" s="100">
        <f t="shared" si="3"/>
        <v>0</v>
      </c>
      <c r="AB23" s="1">
        <v>3.22</v>
      </c>
      <c r="AO23" s="9" t="s">
        <v>656</v>
      </c>
      <c r="AQ23" s="9" t="s">
        <v>149</v>
      </c>
      <c r="AR23" s="9" t="s">
        <v>42</v>
      </c>
      <c r="AV23" s="9" t="s">
        <v>148</v>
      </c>
      <c r="BB23" s="72">
        <f t="shared" si="4"/>
        <v>0</v>
      </c>
      <c r="BC23" s="72">
        <f t="shared" si="5"/>
        <v>8.61</v>
      </c>
      <c r="BD23" s="72">
        <f t="shared" si="6"/>
        <v>0</v>
      </c>
      <c r="BE23" s="72">
        <f t="shared" si="7"/>
        <v>0</v>
      </c>
      <c r="BF23" s="72">
        <f t="shared" si="8"/>
        <v>0</v>
      </c>
      <c r="BG23" s="9" t="s">
        <v>42</v>
      </c>
      <c r="BH23" s="101">
        <f t="shared" si="9"/>
        <v>8.61</v>
      </c>
      <c r="BI23" s="9" t="s">
        <v>656</v>
      </c>
      <c r="BJ23" s="9" t="s">
        <v>165</v>
      </c>
    </row>
    <row r="24" spans="2:62" s="1" customFormat="1" ht="22.5" customHeight="1">
      <c r="B24" s="73"/>
      <c r="C24" s="102" t="s">
        <v>156</v>
      </c>
      <c r="D24" s="102" t="s">
        <v>171</v>
      </c>
      <c r="E24" s="103" t="s">
        <v>828</v>
      </c>
      <c r="F24" s="499" t="s">
        <v>829</v>
      </c>
      <c r="G24" s="499"/>
      <c r="H24" s="499"/>
      <c r="I24" s="499"/>
      <c r="J24" s="104" t="s">
        <v>184</v>
      </c>
      <c r="K24" s="105">
        <v>3</v>
      </c>
      <c r="L24" s="520">
        <v>0.68</v>
      </c>
      <c r="M24" s="520"/>
      <c r="N24" s="133">
        <f t="shared" si="0"/>
        <v>2.04</v>
      </c>
      <c r="O24" s="74"/>
      <c r="P24" s="1" t="s">
        <v>1068</v>
      </c>
      <c r="Q24" s="98" t="s">
        <v>0</v>
      </c>
      <c r="R24" s="18" t="s">
        <v>11</v>
      </c>
      <c r="S24" s="16"/>
      <c r="T24" s="99">
        <f t="shared" si="1"/>
        <v>0</v>
      </c>
      <c r="U24" s="99">
        <v>0</v>
      </c>
      <c r="V24" s="99">
        <f t="shared" si="2"/>
        <v>0</v>
      </c>
      <c r="W24" s="99">
        <v>0</v>
      </c>
      <c r="X24" s="100">
        <f t="shared" si="3"/>
        <v>0</v>
      </c>
      <c r="Z24" s="1" t="s">
        <v>1069</v>
      </c>
      <c r="AB24" s="1">
        <v>0.76</v>
      </c>
      <c r="AO24" s="9" t="s">
        <v>815</v>
      </c>
      <c r="AQ24" s="9" t="s">
        <v>171</v>
      </c>
      <c r="AR24" s="9" t="s">
        <v>42</v>
      </c>
      <c r="AV24" s="9" t="s">
        <v>148</v>
      </c>
      <c r="BB24" s="72">
        <f t="shared" si="4"/>
        <v>0</v>
      </c>
      <c r="BC24" s="72">
        <f t="shared" si="5"/>
        <v>2.04</v>
      </c>
      <c r="BD24" s="72">
        <f t="shared" si="6"/>
        <v>0</v>
      </c>
      <c r="BE24" s="72">
        <f t="shared" si="7"/>
        <v>0</v>
      </c>
      <c r="BF24" s="72">
        <f t="shared" si="8"/>
        <v>0</v>
      </c>
      <c r="BG24" s="9" t="s">
        <v>42</v>
      </c>
      <c r="BH24" s="101">
        <f t="shared" si="9"/>
        <v>2.04</v>
      </c>
      <c r="BI24" s="9" t="s">
        <v>656</v>
      </c>
      <c r="BJ24" s="9" t="s">
        <v>175</v>
      </c>
    </row>
    <row r="25" spans="2:62" s="1" customFormat="1" ht="31.5" customHeight="1">
      <c r="B25" s="73"/>
      <c r="C25" s="102" t="s">
        <v>159</v>
      </c>
      <c r="D25" s="102" t="s">
        <v>171</v>
      </c>
      <c r="E25" s="103" t="s">
        <v>830</v>
      </c>
      <c r="F25" s="499" t="s">
        <v>831</v>
      </c>
      <c r="G25" s="499"/>
      <c r="H25" s="499"/>
      <c r="I25" s="499"/>
      <c r="J25" s="104" t="s">
        <v>184</v>
      </c>
      <c r="K25" s="105">
        <v>1</v>
      </c>
      <c r="L25" s="520">
        <v>48.14</v>
      </c>
      <c r="M25" s="520"/>
      <c r="N25" s="133">
        <f t="shared" si="0"/>
        <v>48.14</v>
      </c>
      <c r="O25" s="74"/>
      <c r="P25" s="1" t="s">
        <v>1070</v>
      </c>
      <c r="Q25" s="98" t="s">
        <v>0</v>
      </c>
      <c r="R25" s="18" t="s">
        <v>11</v>
      </c>
      <c r="S25" s="16"/>
      <c r="T25" s="99">
        <f t="shared" si="1"/>
        <v>0</v>
      </c>
      <c r="U25" s="99">
        <v>0</v>
      </c>
      <c r="V25" s="99">
        <f t="shared" si="2"/>
        <v>0</v>
      </c>
      <c r="W25" s="99">
        <v>0</v>
      </c>
      <c r="X25" s="100">
        <f t="shared" si="3"/>
        <v>0</v>
      </c>
      <c r="Z25" s="1" t="s">
        <v>1071</v>
      </c>
      <c r="AB25" s="1">
        <v>53.9</v>
      </c>
      <c r="AO25" s="9" t="s">
        <v>815</v>
      </c>
      <c r="AQ25" s="9" t="s">
        <v>171</v>
      </c>
      <c r="AR25" s="9" t="s">
        <v>42</v>
      </c>
      <c r="AV25" s="9" t="s">
        <v>148</v>
      </c>
      <c r="BB25" s="72">
        <f t="shared" si="4"/>
        <v>0</v>
      </c>
      <c r="BC25" s="72">
        <f t="shared" si="5"/>
        <v>48.14</v>
      </c>
      <c r="BD25" s="72">
        <f t="shared" si="6"/>
        <v>0</v>
      </c>
      <c r="BE25" s="72">
        <f t="shared" si="7"/>
        <v>0</v>
      </c>
      <c r="BF25" s="72">
        <f t="shared" si="8"/>
        <v>0</v>
      </c>
      <c r="BG25" s="9" t="s">
        <v>42</v>
      </c>
      <c r="BH25" s="101">
        <f t="shared" si="9"/>
        <v>48.14</v>
      </c>
      <c r="BI25" s="9" t="s">
        <v>656</v>
      </c>
      <c r="BJ25" s="9" t="s">
        <v>181</v>
      </c>
    </row>
    <row r="26" spans="2:62" s="1" customFormat="1" ht="22.5" customHeight="1">
      <c r="B26" s="73"/>
      <c r="C26" s="102" t="s">
        <v>162</v>
      </c>
      <c r="D26" s="102" t="s">
        <v>171</v>
      </c>
      <c r="E26" s="103" t="s">
        <v>832</v>
      </c>
      <c r="F26" s="499" t="s">
        <v>833</v>
      </c>
      <c r="G26" s="499"/>
      <c r="H26" s="499"/>
      <c r="I26" s="499"/>
      <c r="J26" s="104" t="s">
        <v>184</v>
      </c>
      <c r="K26" s="105">
        <v>1</v>
      </c>
      <c r="L26" s="520">
        <v>53.06</v>
      </c>
      <c r="M26" s="520"/>
      <c r="N26" s="133">
        <f t="shared" si="0"/>
        <v>53.06</v>
      </c>
      <c r="O26" s="74"/>
      <c r="P26" s="1" t="s">
        <v>1068</v>
      </c>
      <c r="Q26" s="98" t="s">
        <v>0</v>
      </c>
      <c r="R26" s="18" t="s">
        <v>11</v>
      </c>
      <c r="S26" s="16"/>
      <c r="T26" s="99">
        <f t="shared" si="1"/>
        <v>0</v>
      </c>
      <c r="U26" s="99">
        <v>0</v>
      </c>
      <c r="V26" s="99">
        <f t="shared" si="2"/>
        <v>0</v>
      </c>
      <c r="W26" s="99">
        <v>0</v>
      </c>
      <c r="X26" s="100">
        <f t="shared" si="3"/>
        <v>0</v>
      </c>
      <c r="Z26" s="1" t="s">
        <v>1073</v>
      </c>
      <c r="AB26" s="1">
        <v>59.4</v>
      </c>
      <c r="AO26" s="9" t="s">
        <v>815</v>
      </c>
      <c r="AQ26" s="9" t="s">
        <v>171</v>
      </c>
      <c r="AR26" s="9" t="s">
        <v>42</v>
      </c>
      <c r="AV26" s="9" t="s">
        <v>148</v>
      </c>
      <c r="BB26" s="72">
        <f t="shared" si="4"/>
        <v>0</v>
      </c>
      <c r="BC26" s="72">
        <f t="shared" si="5"/>
        <v>53.06</v>
      </c>
      <c r="BD26" s="72">
        <f t="shared" si="6"/>
        <v>0</v>
      </c>
      <c r="BE26" s="72">
        <f t="shared" si="7"/>
        <v>0</v>
      </c>
      <c r="BF26" s="72">
        <f t="shared" si="8"/>
        <v>0</v>
      </c>
      <c r="BG26" s="9" t="s">
        <v>42</v>
      </c>
      <c r="BH26" s="101">
        <f t="shared" si="9"/>
        <v>53.06</v>
      </c>
      <c r="BI26" s="9" t="s">
        <v>656</v>
      </c>
      <c r="BJ26" s="9" t="s">
        <v>188</v>
      </c>
    </row>
    <row r="27" spans="2:62" s="1" customFormat="1" ht="22.5" customHeight="1">
      <c r="B27" s="73"/>
      <c r="C27" s="102" t="s">
        <v>165</v>
      </c>
      <c r="D27" s="102" t="s">
        <v>171</v>
      </c>
      <c r="E27" s="103" t="s">
        <v>834</v>
      </c>
      <c r="F27" s="499" t="s">
        <v>835</v>
      </c>
      <c r="G27" s="499"/>
      <c r="H27" s="499"/>
      <c r="I27" s="499"/>
      <c r="J27" s="104" t="s">
        <v>184</v>
      </c>
      <c r="K27" s="105">
        <v>3</v>
      </c>
      <c r="L27" s="520">
        <v>2.91</v>
      </c>
      <c r="M27" s="520"/>
      <c r="N27" s="133">
        <f t="shared" si="0"/>
        <v>8.73</v>
      </c>
      <c r="O27" s="74"/>
      <c r="P27" s="1" t="s">
        <v>1068</v>
      </c>
      <c r="Q27" s="98" t="s">
        <v>0</v>
      </c>
      <c r="R27" s="18" t="s">
        <v>11</v>
      </c>
      <c r="S27" s="16"/>
      <c r="T27" s="99">
        <f t="shared" si="1"/>
        <v>0</v>
      </c>
      <c r="U27" s="99">
        <v>0</v>
      </c>
      <c r="V27" s="99">
        <f t="shared" si="2"/>
        <v>0</v>
      </c>
      <c r="W27" s="99">
        <v>0</v>
      </c>
      <c r="X27" s="100">
        <f t="shared" si="3"/>
        <v>0</v>
      </c>
      <c r="Z27" s="1" t="s">
        <v>1072</v>
      </c>
      <c r="AB27" s="1">
        <v>3.25</v>
      </c>
      <c r="AO27" s="9" t="s">
        <v>815</v>
      </c>
      <c r="AQ27" s="9" t="s">
        <v>171</v>
      </c>
      <c r="AR27" s="9" t="s">
        <v>42</v>
      </c>
      <c r="AV27" s="9" t="s">
        <v>148</v>
      </c>
      <c r="BB27" s="72">
        <f t="shared" si="4"/>
        <v>0</v>
      </c>
      <c r="BC27" s="72">
        <f t="shared" si="5"/>
        <v>8.73</v>
      </c>
      <c r="BD27" s="72">
        <f t="shared" si="6"/>
        <v>0</v>
      </c>
      <c r="BE27" s="72">
        <f t="shared" si="7"/>
        <v>0</v>
      </c>
      <c r="BF27" s="72">
        <f t="shared" si="8"/>
        <v>0</v>
      </c>
      <c r="BG27" s="9" t="s">
        <v>42</v>
      </c>
      <c r="BH27" s="101">
        <f t="shared" si="9"/>
        <v>8.73</v>
      </c>
      <c r="BI27" s="9" t="s">
        <v>656</v>
      </c>
      <c r="BJ27" s="9" t="s">
        <v>169</v>
      </c>
    </row>
    <row r="28" spans="2:62" s="1" customFormat="1" ht="22.5" customHeight="1">
      <c r="B28" s="73"/>
      <c r="C28" s="93" t="s">
        <v>170</v>
      </c>
      <c r="D28" s="93" t="s">
        <v>149</v>
      </c>
      <c r="E28" s="94" t="s">
        <v>836</v>
      </c>
      <c r="F28" s="498" t="s">
        <v>837</v>
      </c>
      <c r="G28" s="498"/>
      <c r="H28" s="498"/>
      <c r="I28" s="498"/>
      <c r="J28" s="95" t="s">
        <v>184</v>
      </c>
      <c r="K28" s="96">
        <v>2</v>
      </c>
      <c r="L28" s="519">
        <v>14.87</v>
      </c>
      <c r="M28" s="519"/>
      <c r="N28" s="128">
        <f t="shared" si="0"/>
        <v>29.74</v>
      </c>
      <c r="O28" s="74"/>
      <c r="Q28" s="98" t="s">
        <v>0</v>
      </c>
      <c r="R28" s="18" t="s">
        <v>11</v>
      </c>
      <c r="S28" s="16"/>
      <c r="T28" s="99">
        <f t="shared" si="1"/>
        <v>0</v>
      </c>
      <c r="U28" s="99">
        <v>0</v>
      </c>
      <c r="V28" s="99">
        <f t="shared" si="2"/>
        <v>0</v>
      </c>
      <c r="W28" s="99">
        <v>0</v>
      </c>
      <c r="X28" s="100">
        <f t="shared" si="3"/>
        <v>0</v>
      </c>
      <c r="AB28" s="1">
        <v>16.649999999999999</v>
      </c>
      <c r="AO28" s="9" t="s">
        <v>656</v>
      </c>
      <c r="AQ28" s="9" t="s">
        <v>149</v>
      </c>
      <c r="AR28" s="9" t="s">
        <v>42</v>
      </c>
      <c r="AV28" s="9" t="s">
        <v>148</v>
      </c>
      <c r="BB28" s="72">
        <f t="shared" si="4"/>
        <v>0</v>
      </c>
      <c r="BC28" s="72">
        <f t="shared" si="5"/>
        <v>29.74</v>
      </c>
      <c r="BD28" s="72">
        <f t="shared" si="6"/>
        <v>0</v>
      </c>
      <c r="BE28" s="72">
        <f t="shared" si="7"/>
        <v>0</v>
      </c>
      <c r="BF28" s="72">
        <f t="shared" si="8"/>
        <v>0</v>
      </c>
      <c r="BG28" s="9" t="s">
        <v>42</v>
      </c>
      <c r="BH28" s="101">
        <f t="shared" si="9"/>
        <v>29.74</v>
      </c>
      <c r="BI28" s="9" t="s">
        <v>656</v>
      </c>
      <c r="BJ28" s="9" t="s">
        <v>199</v>
      </c>
    </row>
    <row r="29" spans="2:62" s="1" customFormat="1" ht="22.5" customHeight="1">
      <c r="B29" s="73"/>
      <c r="C29" s="93" t="s">
        <v>175</v>
      </c>
      <c r="D29" s="93" t="s">
        <v>149</v>
      </c>
      <c r="E29" s="94" t="s">
        <v>838</v>
      </c>
      <c r="F29" s="498" t="s">
        <v>839</v>
      </c>
      <c r="G29" s="498"/>
      <c r="H29" s="498"/>
      <c r="I29" s="498"/>
      <c r="J29" s="95" t="s">
        <v>184</v>
      </c>
      <c r="K29" s="96">
        <v>1</v>
      </c>
      <c r="L29" s="519">
        <v>15.72</v>
      </c>
      <c r="M29" s="519"/>
      <c r="N29" s="128">
        <f t="shared" si="0"/>
        <v>15.72</v>
      </c>
      <c r="O29" s="74"/>
      <c r="Q29" s="98" t="s">
        <v>0</v>
      </c>
      <c r="R29" s="18" t="s">
        <v>11</v>
      </c>
      <c r="S29" s="16"/>
      <c r="T29" s="99">
        <f t="shared" si="1"/>
        <v>0</v>
      </c>
      <c r="U29" s="99">
        <v>0</v>
      </c>
      <c r="V29" s="99">
        <f t="shared" si="2"/>
        <v>0</v>
      </c>
      <c r="W29" s="99">
        <v>0</v>
      </c>
      <c r="X29" s="100">
        <f t="shared" si="3"/>
        <v>0</v>
      </c>
      <c r="AB29" s="1">
        <v>17.600000000000001</v>
      </c>
      <c r="AO29" s="9" t="s">
        <v>656</v>
      </c>
      <c r="AQ29" s="9" t="s">
        <v>149</v>
      </c>
      <c r="AR29" s="9" t="s">
        <v>42</v>
      </c>
      <c r="AV29" s="9" t="s">
        <v>148</v>
      </c>
      <c r="BB29" s="72">
        <f t="shared" si="4"/>
        <v>0</v>
      </c>
      <c r="BC29" s="72">
        <f t="shared" si="5"/>
        <v>15.72</v>
      </c>
      <c r="BD29" s="72">
        <f t="shared" si="6"/>
        <v>0</v>
      </c>
      <c r="BE29" s="72">
        <f t="shared" si="7"/>
        <v>0</v>
      </c>
      <c r="BF29" s="72">
        <f t="shared" si="8"/>
        <v>0</v>
      </c>
      <c r="BG29" s="9" t="s">
        <v>42</v>
      </c>
      <c r="BH29" s="101">
        <f t="shared" si="9"/>
        <v>15.72</v>
      </c>
      <c r="BI29" s="9" t="s">
        <v>656</v>
      </c>
      <c r="BJ29" s="9" t="s">
        <v>1</v>
      </c>
    </row>
    <row r="30" spans="2:62" s="1" customFormat="1" ht="22.5" customHeight="1">
      <c r="B30" s="73"/>
      <c r="C30" s="102" t="s">
        <v>178</v>
      </c>
      <c r="D30" s="102" t="s">
        <v>171</v>
      </c>
      <c r="E30" s="103" t="s">
        <v>840</v>
      </c>
      <c r="F30" s="499" t="s">
        <v>841</v>
      </c>
      <c r="G30" s="499"/>
      <c r="H30" s="499"/>
      <c r="I30" s="499"/>
      <c r="J30" s="104" t="s">
        <v>184</v>
      </c>
      <c r="K30" s="105">
        <v>1</v>
      </c>
      <c r="L30" s="520">
        <v>40.82</v>
      </c>
      <c r="M30" s="520"/>
      <c r="N30" s="133">
        <f t="shared" si="0"/>
        <v>40.82</v>
      </c>
      <c r="O30" s="74"/>
      <c r="P30" s="1" t="s">
        <v>1074</v>
      </c>
      <c r="Q30" s="98" t="s">
        <v>0</v>
      </c>
      <c r="R30" s="18" t="s">
        <v>11</v>
      </c>
      <c r="S30" s="16"/>
      <c r="T30" s="99">
        <f t="shared" si="1"/>
        <v>0</v>
      </c>
      <c r="U30" s="99">
        <v>0</v>
      </c>
      <c r="V30" s="99">
        <f t="shared" si="2"/>
        <v>0</v>
      </c>
      <c r="W30" s="99">
        <v>0</v>
      </c>
      <c r="X30" s="100">
        <f t="shared" si="3"/>
        <v>0</v>
      </c>
      <c r="Z30" s="1" t="s">
        <v>1075</v>
      </c>
      <c r="AB30" s="1">
        <v>45.7</v>
      </c>
      <c r="AO30" s="9" t="s">
        <v>815</v>
      </c>
      <c r="AQ30" s="9" t="s">
        <v>171</v>
      </c>
      <c r="AR30" s="9" t="s">
        <v>42</v>
      </c>
      <c r="AV30" s="9" t="s">
        <v>148</v>
      </c>
      <c r="BB30" s="72">
        <f t="shared" si="4"/>
        <v>0</v>
      </c>
      <c r="BC30" s="72">
        <f t="shared" si="5"/>
        <v>40.82</v>
      </c>
      <c r="BD30" s="72">
        <f t="shared" si="6"/>
        <v>0</v>
      </c>
      <c r="BE30" s="72">
        <f t="shared" si="7"/>
        <v>0</v>
      </c>
      <c r="BF30" s="72">
        <f t="shared" si="8"/>
        <v>0</v>
      </c>
      <c r="BG30" s="9" t="s">
        <v>42</v>
      </c>
      <c r="BH30" s="101">
        <f t="shared" si="9"/>
        <v>40.82</v>
      </c>
      <c r="BI30" s="9" t="s">
        <v>656</v>
      </c>
      <c r="BJ30" s="9" t="s">
        <v>208</v>
      </c>
    </row>
    <row r="31" spans="2:62" s="1" customFormat="1" ht="22.5" customHeight="1">
      <c r="B31" s="73"/>
      <c r="C31" s="102" t="s">
        <v>181</v>
      </c>
      <c r="D31" s="102" t="s">
        <v>171</v>
      </c>
      <c r="E31" s="103" t="s">
        <v>842</v>
      </c>
      <c r="F31" s="499" t="s">
        <v>843</v>
      </c>
      <c r="G31" s="499"/>
      <c r="H31" s="499"/>
      <c r="I31" s="499"/>
      <c r="J31" s="104" t="s">
        <v>184</v>
      </c>
      <c r="K31" s="105">
        <v>1</v>
      </c>
      <c r="L31" s="520">
        <v>30.46</v>
      </c>
      <c r="M31" s="520"/>
      <c r="N31" s="133">
        <f t="shared" si="0"/>
        <v>30.46</v>
      </c>
      <c r="O31" s="74"/>
      <c r="P31" s="1" t="s">
        <v>1076</v>
      </c>
      <c r="Q31" s="98" t="s">
        <v>0</v>
      </c>
      <c r="R31" s="18" t="s">
        <v>11</v>
      </c>
      <c r="S31" s="16"/>
      <c r="T31" s="99">
        <f t="shared" si="1"/>
        <v>0</v>
      </c>
      <c r="U31" s="99">
        <v>0</v>
      </c>
      <c r="V31" s="99">
        <f t="shared" si="2"/>
        <v>0</v>
      </c>
      <c r="W31" s="99">
        <v>0</v>
      </c>
      <c r="X31" s="100">
        <f t="shared" si="3"/>
        <v>0</v>
      </c>
      <c r="Z31" s="1" t="s">
        <v>1077</v>
      </c>
      <c r="AB31" s="1">
        <v>34.1</v>
      </c>
      <c r="AO31" s="9" t="s">
        <v>815</v>
      </c>
      <c r="AQ31" s="9" t="s">
        <v>171</v>
      </c>
      <c r="AR31" s="9" t="s">
        <v>42</v>
      </c>
      <c r="AV31" s="9" t="s">
        <v>148</v>
      </c>
      <c r="BB31" s="72">
        <f t="shared" si="4"/>
        <v>0</v>
      </c>
      <c r="BC31" s="72">
        <f t="shared" si="5"/>
        <v>30.46</v>
      </c>
      <c r="BD31" s="72">
        <f t="shared" si="6"/>
        <v>0</v>
      </c>
      <c r="BE31" s="72">
        <f t="shared" si="7"/>
        <v>0</v>
      </c>
      <c r="BF31" s="72">
        <f t="shared" si="8"/>
        <v>0</v>
      </c>
      <c r="BG31" s="9" t="s">
        <v>42</v>
      </c>
      <c r="BH31" s="101">
        <f t="shared" si="9"/>
        <v>30.46</v>
      </c>
      <c r="BI31" s="9" t="s">
        <v>656</v>
      </c>
      <c r="BJ31" s="9" t="s">
        <v>214</v>
      </c>
    </row>
    <row r="32" spans="2:62" s="1" customFormat="1" ht="22.5" customHeight="1">
      <c r="B32" s="73"/>
      <c r="C32" s="102" t="s">
        <v>185</v>
      </c>
      <c r="D32" s="102" t="s">
        <v>171</v>
      </c>
      <c r="E32" s="103" t="s">
        <v>844</v>
      </c>
      <c r="F32" s="499" t="s">
        <v>845</v>
      </c>
      <c r="G32" s="499"/>
      <c r="H32" s="499"/>
      <c r="I32" s="499"/>
      <c r="J32" s="104" t="s">
        <v>184</v>
      </c>
      <c r="K32" s="105">
        <v>280</v>
      </c>
      <c r="L32" s="520">
        <v>0.19</v>
      </c>
      <c r="M32" s="520"/>
      <c r="N32" s="133">
        <f t="shared" si="0"/>
        <v>53.2</v>
      </c>
      <c r="O32" s="74"/>
      <c r="P32" s="113" t="s">
        <v>1036</v>
      </c>
      <c r="Q32" s="98" t="s">
        <v>0</v>
      </c>
      <c r="R32" s="18" t="s">
        <v>11</v>
      </c>
      <c r="S32" s="16"/>
      <c r="T32" s="99">
        <f t="shared" si="1"/>
        <v>0</v>
      </c>
      <c r="U32" s="99">
        <v>0</v>
      </c>
      <c r="V32" s="99">
        <f t="shared" si="2"/>
        <v>0</v>
      </c>
      <c r="W32" s="99">
        <v>0</v>
      </c>
      <c r="X32" s="100">
        <f t="shared" si="3"/>
        <v>0</v>
      </c>
      <c r="Z32" s="1" t="s">
        <v>1085</v>
      </c>
      <c r="AB32" s="1">
        <v>0.22</v>
      </c>
      <c r="AO32" s="9" t="s">
        <v>815</v>
      </c>
      <c r="AQ32" s="9" t="s">
        <v>171</v>
      </c>
      <c r="AR32" s="9" t="s">
        <v>42</v>
      </c>
      <c r="AV32" s="9" t="s">
        <v>148</v>
      </c>
      <c r="BB32" s="72">
        <f t="shared" si="4"/>
        <v>0</v>
      </c>
      <c r="BC32" s="72">
        <f t="shared" si="5"/>
        <v>53.2</v>
      </c>
      <c r="BD32" s="72">
        <f t="shared" si="6"/>
        <v>0</v>
      </c>
      <c r="BE32" s="72">
        <f t="shared" si="7"/>
        <v>0</v>
      </c>
      <c r="BF32" s="72">
        <f t="shared" si="8"/>
        <v>0</v>
      </c>
      <c r="BG32" s="9" t="s">
        <v>42</v>
      </c>
      <c r="BH32" s="101">
        <f t="shared" si="9"/>
        <v>53.2</v>
      </c>
      <c r="BI32" s="9" t="s">
        <v>656</v>
      </c>
      <c r="BJ32" s="9" t="s">
        <v>220</v>
      </c>
    </row>
    <row r="33" spans="2:62" s="1" customFormat="1" ht="31.5" customHeight="1">
      <c r="B33" s="73"/>
      <c r="C33" s="102" t="s">
        <v>188</v>
      </c>
      <c r="D33" s="102" t="s">
        <v>171</v>
      </c>
      <c r="E33" s="103" t="s">
        <v>846</v>
      </c>
      <c r="F33" s="499" t="s">
        <v>847</v>
      </c>
      <c r="G33" s="499"/>
      <c r="H33" s="499"/>
      <c r="I33" s="499"/>
      <c r="J33" s="104" t="s">
        <v>184</v>
      </c>
      <c r="K33" s="105">
        <v>2</v>
      </c>
      <c r="L33" s="520">
        <v>35.369999999999997</v>
      </c>
      <c r="M33" s="520"/>
      <c r="N33" s="133">
        <f t="shared" si="0"/>
        <v>70.739999999999995</v>
      </c>
      <c r="O33" s="74"/>
      <c r="P33" s="1" t="s">
        <v>1004</v>
      </c>
      <c r="Q33" s="98" t="s">
        <v>0</v>
      </c>
      <c r="R33" s="18" t="s">
        <v>11</v>
      </c>
      <c r="S33" s="16"/>
      <c r="T33" s="99">
        <f t="shared" si="1"/>
        <v>0</v>
      </c>
      <c r="U33" s="99">
        <v>0</v>
      </c>
      <c r="V33" s="99">
        <f t="shared" si="2"/>
        <v>0</v>
      </c>
      <c r="W33" s="99">
        <v>0</v>
      </c>
      <c r="X33" s="100">
        <f t="shared" si="3"/>
        <v>0</v>
      </c>
      <c r="Z33" s="1" t="s">
        <v>1086</v>
      </c>
      <c r="AB33" s="1">
        <v>39.6</v>
      </c>
      <c r="AO33" s="9" t="s">
        <v>815</v>
      </c>
      <c r="AQ33" s="9" t="s">
        <v>171</v>
      </c>
      <c r="AR33" s="9" t="s">
        <v>42</v>
      </c>
      <c r="AV33" s="9" t="s">
        <v>148</v>
      </c>
      <c r="BB33" s="72">
        <f t="shared" si="4"/>
        <v>0</v>
      </c>
      <c r="BC33" s="72">
        <f t="shared" si="5"/>
        <v>70.739999999999995</v>
      </c>
      <c r="BD33" s="72">
        <f t="shared" si="6"/>
        <v>0</v>
      </c>
      <c r="BE33" s="72">
        <f t="shared" si="7"/>
        <v>0</v>
      </c>
      <c r="BF33" s="72">
        <f t="shared" si="8"/>
        <v>0</v>
      </c>
      <c r="BG33" s="9" t="s">
        <v>42</v>
      </c>
      <c r="BH33" s="101">
        <f t="shared" si="9"/>
        <v>70.739999999999995</v>
      </c>
      <c r="BI33" s="9" t="s">
        <v>656</v>
      </c>
      <c r="BJ33" s="9" t="s">
        <v>226</v>
      </c>
    </row>
    <row r="34" spans="2:62" s="1" customFormat="1" ht="22.5" customHeight="1">
      <c r="B34" s="73"/>
      <c r="C34" s="93" t="s">
        <v>191</v>
      </c>
      <c r="D34" s="93" t="s">
        <v>149</v>
      </c>
      <c r="E34" s="94" t="s">
        <v>848</v>
      </c>
      <c r="F34" s="498" t="s">
        <v>849</v>
      </c>
      <c r="G34" s="498"/>
      <c r="H34" s="498"/>
      <c r="I34" s="498"/>
      <c r="J34" s="95" t="s">
        <v>184</v>
      </c>
      <c r="K34" s="96">
        <v>3</v>
      </c>
      <c r="L34" s="519">
        <v>5.39</v>
      </c>
      <c r="M34" s="519"/>
      <c r="N34" s="128">
        <f t="shared" si="0"/>
        <v>16.170000000000002</v>
      </c>
      <c r="O34" s="74"/>
      <c r="Q34" s="98" t="s">
        <v>0</v>
      </c>
      <c r="R34" s="18" t="s">
        <v>11</v>
      </c>
      <c r="S34" s="16"/>
      <c r="T34" s="99">
        <f t="shared" si="1"/>
        <v>0</v>
      </c>
      <c r="U34" s="99">
        <v>0</v>
      </c>
      <c r="V34" s="99">
        <f t="shared" si="2"/>
        <v>0</v>
      </c>
      <c r="W34" s="99">
        <v>0</v>
      </c>
      <c r="X34" s="100">
        <f t="shared" si="3"/>
        <v>0</v>
      </c>
      <c r="AB34" s="1">
        <v>6.04</v>
      </c>
      <c r="AO34" s="9" t="s">
        <v>656</v>
      </c>
      <c r="AQ34" s="9" t="s">
        <v>149</v>
      </c>
      <c r="AR34" s="9" t="s">
        <v>42</v>
      </c>
      <c r="AV34" s="9" t="s">
        <v>148</v>
      </c>
      <c r="BB34" s="72">
        <f t="shared" si="4"/>
        <v>0</v>
      </c>
      <c r="BC34" s="72">
        <f t="shared" si="5"/>
        <v>16.170000000000002</v>
      </c>
      <c r="BD34" s="72">
        <f t="shared" si="6"/>
        <v>0</v>
      </c>
      <c r="BE34" s="72">
        <f t="shared" si="7"/>
        <v>0</v>
      </c>
      <c r="BF34" s="72">
        <f t="shared" si="8"/>
        <v>0</v>
      </c>
      <c r="BG34" s="9" t="s">
        <v>42</v>
      </c>
      <c r="BH34" s="101">
        <f t="shared" si="9"/>
        <v>16.170000000000002</v>
      </c>
      <c r="BI34" s="9" t="s">
        <v>656</v>
      </c>
      <c r="BJ34" s="9" t="s">
        <v>232</v>
      </c>
    </row>
    <row r="35" spans="2:62" s="1" customFormat="1" ht="31.5" customHeight="1">
      <c r="B35" s="73"/>
      <c r="C35" s="93" t="s">
        <v>169</v>
      </c>
      <c r="D35" s="93" t="s">
        <v>149</v>
      </c>
      <c r="E35" s="94" t="s">
        <v>850</v>
      </c>
      <c r="F35" s="498" t="s">
        <v>851</v>
      </c>
      <c r="G35" s="498"/>
      <c r="H35" s="498"/>
      <c r="I35" s="498"/>
      <c r="J35" s="95" t="s">
        <v>852</v>
      </c>
      <c r="K35" s="96">
        <v>54</v>
      </c>
      <c r="L35" s="519">
        <v>2.46</v>
      </c>
      <c r="M35" s="519"/>
      <c r="N35" s="128">
        <f t="shared" si="0"/>
        <v>132.84</v>
      </c>
      <c r="O35" s="74"/>
      <c r="Q35" s="98" t="s">
        <v>0</v>
      </c>
      <c r="R35" s="18" t="s">
        <v>11</v>
      </c>
      <c r="S35" s="16"/>
      <c r="T35" s="99">
        <f t="shared" si="1"/>
        <v>0</v>
      </c>
      <c r="U35" s="99">
        <v>0</v>
      </c>
      <c r="V35" s="99">
        <f t="shared" si="2"/>
        <v>0</v>
      </c>
      <c r="W35" s="99">
        <v>0</v>
      </c>
      <c r="X35" s="100">
        <f t="shared" si="3"/>
        <v>0</v>
      </c>
      <c r="AB35" s="1">
        <v>2.75</v>
      </c>
      <c r="AO35" s="9" t="s">
        <v>656</v>
      </c>
      <c r="AQ35" s="9" t="s">
        <v>149</v>
      </c>
      <c r="AR35" s="9" t="s">
        <v>42</v>
      </c>
      <c r="AV35" s="9" t="s">
        <v>148</v>
      </c>
      <c r="BB35" s="72">
        <f t="shared" si="4"/>
        <v>0</v>
      </c>
      <c r="BC35" s="72">
        <f t="shared" si="5"/>
        <v>132.84</v>
      </c>
      <c r="BD35" s="72">
        <f t="shared" si="6"/>
        <v>0</v>
      </c>
      <c r="BE35" s="72">
        <f t="shared" si="7"/>
        <v>0</v>
      </c>
      <c r="BF35" s="72">
        <f t="shared" si="8"/>
        <v>0</v>
      </c>
      <c r="BG35" s="9" t="s">
        <v>42</v>
      </c>
      <c r="BH35" s="101">
        <f t="shared" si="9"/>
        <v>132.84</v>
      </c>
      <c r="BI35" s="9" t="s">
        <v>656</v>
      </c>
      <c r="BJ35" s="9" t="s">
        <v>174</v>
      </c>
    </row>
    <row r="36" spans="2:62" s="1" customFormat="1" ht="31.5" customHeight="1">
      <c r="B36" s="73"/>
      <c r="C36" s="102" t="s">
        <v>195</v>
      </c>
      <c r="D36" s="102" t="s">
        <v>171</v>
      </c>
      <c r="E36" s="103" t="s">
        <v>853</v>
      </c>
      <c r="F36" s="499" t="s">
        <v>854</v>
      </c>
      <c r="G36" s="499"/>
      <c r="H36" s="499"/>
      <c r="I36" s="499"/>
      <c r="J36" s="104" t="s">
        <v>184</v>
      </c>
      <c r="K36" s="105">
        <v>54</v>
      </c>
      <c r="L36" s="520">
        <v>49.81</v>
      </c>
      <c r="M36" s="520"/>
      <c r="N36" s="133">
        <f t="shared" si="0"/>
        <v>2689.74</v>
      </c>
      <c r="O36" s="74"/>
      <c r="P36" s="1" t="s">
        <v>1087</v>
      </c>
      <c r="Q36" s="98" t="s">
        <v>0</v>
      </c>
      <c r="R36" s="18" t="s">
        <v>11</v>
      </c>
      <c r="S36" s="16"/>
      <c r="T36" s="99">
        <f t="shared" si="1"/>
        <v>0</v>
      </c>
      <c r="U36" s="99">
        <v>0</v>
      </c>
      <c r="V36" s="99">
        <f t="shared" si="2"/>
        <v>0</v>
      </c>
      <c r="W36" s="99">
        <v>0</v>
      </c>
      <c r="X36" s="100">
        <f t="shared" si="3"/>
        <v>0</v>
      </c>
      <c r="Z36" s="1" t="s">
        <v>1088</v>
      </c>
      <c r="AB36" s="1">
        <v>55.76</v>
      </c>
      <c r="AO36" s="9" t="s">
        <v>815</v>
      </c>
      <c r="AQ36" s="9" t="s">
        <v>171</v>
      </c>
      <c r="AR36" s="9" t="s">
        <v>42</v>
      </c>
      <c r="AV36" s="9" t="s">
        <v>148</v>
      </c>
      <c r="BB36" s="72">
        <f t="shared" si="4"/>
        <v>0</v>
      </c>
      <c r="BC36" s="72">
        <f t="shared" si="5"/>
        <v>2689.74</v>
      </c>
      <c r="BD36" s="72">
        <f t="shared" si="6"/>
        <v>0</v>
      </c>
      <c r="BE36" s="72">
        <f t="shared" si="7"/>
        <v>0</v>
      </c>
      <c r="BF36" s="72">
        <f t="shared" si="8"/>
        <v>0</v>
      </c>
      <c r="BG36" s="9" t="s">
        <v>42</v>
      </c>
      <c r="BH36" s="101">
        <f t="shared" si="9"/>
        <v>2689.74</v>
      </c>
      <c r="BI36" s="9" t="s">
        <v>656</v>
      </c>
      <c r="BJ36" s="9" t="s">
        <v>478</v>
      </c>
    </row>
    <row r="37" spans="2:62" s="1" customFormat="1" ht="31.5" customHeight="1">
      <c r="B37" s="73"/>
      <c r="C37" s="102" t="s">
        <v>199</v>
      </c>
      <c r="D37" s="102" t="s">
        <v>171</v>
      </c>
      <c r="E37" s="103" t="s">
        <v>855</v>
      </c>
      <c r="F37" s="499" t="s">
        <v>856</v>
      </c>
      <c r="G37" s="499"/>
      <c r="H37" s="499"/>
      <c r="I37" s="499"/>
      <c r="J37" s="104" t="s">
        <v>184</v>
      </c>
      <c r="K37" s="105">
        <v>54</v>
      </c>
      <c r="L37" s="520">
        <v>5.81</v>
      </c>
      <c r="M37" s="520"/>
      <c r="N37" s="133">
        <f t="shared" si="0"/>
        <v>313.74</v>
      </c>
      <c r="O37" s="74"/>
      <c r="P37" s="117" t="s">
        <v>955</v>
      </c>
      <c r="Q37" s="98" t="s">
        <v>0</v>
      </c>
      <c r="R37" s="18" t="s">
        <v>11</v>
      </c>
      <c r="S37" s="16"/>
      <c r="T37" s="99">
        <f t="shared" si="1"/>
        <v>0</v>
      </c>
      <c r="U37" s="99">
        <v>0</v>
      </c>
      <c r="V37" s="99">
        <f t="shared" si="2"/>
        <v>0</v>
      </c>
      <c r="W37" s="99">
        <v>0</v>
      </c>
      <c r="X37" s="100">
        <f t="shared" si="3"/>
        <v>0</v>
      </c>
      <c r="Z37" s="117" t="s">
        <v>1061</v>
      </c>
      <c r="AB37" s="1">
        <v>6.5</v>
      </c>
      <c r="AO37" s="9" t="s">
        <v>815</v>
      </c>
      <c r="AQ37" s="9" t="s">
        <v>171</v>
      </c>
      <c r="AR37" s="9" t="s">
        <v>42</v>
      </c>
      <c r="AV37" s="9" t="s">
        <v>148</v>
      </c>
      <c r="BB37" s="72">
        <f t="shared" si="4"/>
        <v>0</v>
      </c>
      <c r="BC37" s="72">
        <f t="shared" si="5"/>
        <v>313.74</v>
      </c>
      <c r="BD37" s="72">
        <f t="shared" si="6"/>
        <v>0</v>
      </c>
      <c r="BE37" s="72">
        <f t="shared" si="7"/>
        <v>0</v>
      </c>
      <c r="BF37" s="72">
        <f t="shared" si="8"/>
        <v>0</v>
      </c>
      <c r="BG37" s="9" t="s">
        <v>42</v>
      </c>
      <c r="BH37" s="101">
        <f t="shared" si="9"/>
        <v>313.74</v>
      </c>
      <c r="BI37" s="9" t="s">
        <v>656</v>
      </c>
      <c r="BJ37" s="9" t="s">
        <v>480</v>
      </c>
    </row>
    <row r="38" spans="2:62" s="1" customFormat="1" ht="22.5" customHeight="1">
      <c r="B38" s="73"/>
      <c r="C38" s="93" t="s">
        <v>200</v>
      </c>
      <c r="D38" s="93" t="s">
        <v>149</v>
      </c>
      <c r="E38" s="94" t="s">
        <v>857</v>
      </c>
      <c r="F38" s="498" t="s">
        <v>858</v>
      </c>
      <c r="G38" s="498"/>
      <c r="H38" s="498"/>
      <c r="I38" s="498"/>
      <c r="J38" s="95" t="s">
        <v>184</v>
      </c>
      <c r="K38" s="96">
        <v>54</v>
      </c>
      <c r="L38" s="519">
        <v>1.36</v>
      </c>
      <c r="M38" s="519"/>
      <c r="N38" s="128">
        <f t="shared" si="0"/>
        <v>73.44</v>
      </c>
      <c r="O38" s="74"/>
      <c r="Q38" s="98" t="s">
        <v>0</v>
      </c>
      <c r="R38" s="18" t="s">
        <v>11</v>
      </c>
      <c r="S38" s="16"/>
      <c r="T38" s="99">
        <f t="shared" si="1"/>
        <v>0</v>
      </c>
      <c r="U38" s="99">
        <v>0</v>
      </c>
      <c r="V38" s="99">
        <f t="shared" si="2"/>
        <v>0</v>
      </c>
      <c r="W38" s="99">
        <v>0</v>
      </c>
      <c r="X38" s="100">
        <f t="shared" si="3"/>
        <v>0</v>
      </c>
      <c r="AB38" s="1">
        <v>1.52</v>
      </c>
      <c r="AO38" s="9" t="s">
        <v>656</v>
      </c>
      <c r="AQ38" s="9" t="s">
        <v>149</v>
      </c>
      <c r="AR38" s="9" t="s">
        <v>42</v>
      </c>
      <c r="AV38" s="9" t="s">
        <v>148</v>
      </c>
      <c r="BB38" s="72">
        <f t="shared" si="4"/>
        <v>0</v>
      </c>
      <c r="BC38" s="72">
        <f t="shared" si="5"/>
        <v>73.44</v>
      </c>
      <c r="BD38" s="72">
        <f t="shared" si="6"/>
        <v>0</v>
      </c>
      <c r="BE38" s="72">
        <f t="shared" si="7"/>
        <v>0</v>
      </c>
      <c r="BF38" s="72">
        <f t="shared" si="8"/>
        <v>0</v>
      </c>
      <c r="BG38" s="9" t="s">
        <v>42</v>
      </c>
      <c r="BH38" s="101">
        <f t="shared" si="9"/>
        <v>73.44</v>
      </c>
      <c r="BI38" s="9" t="s">
        <v>656</v>
      </c>
      <c r="BJ38" s="9" t="s">
        <v>617</v>
      </c>
    </row>
    <row r="39" spans="2:62" s="1" customFormat="1" ht="41.25" customHeight="1">
      <c r="B39" s="73"/>
      <c r="C39" s="102" t="s">
        <v>1</v>
      </c>
      <c r="D39" s="102" t="s">
        <v>171</v>
      </c>
      <c r="E39" s="103" t="s">
        <v>859</v>
      </c>
      <c r="F39" s="499" t="s">
        <v>860</v>
      </c>
      <c r="G39" s="499"/>
      <c r="H39" s="499"/>
      <c r="I39" s="499"/>
      <c r="J39" s="104" t="s">
        <v>184</v>
      </c>
      <c r="K39" s="105">
        <v>27</v>
      </c>
      <c r="L39" s="520">
        <v>176.84</v>
      </c>
      <c r="M39" s="520"/>
      <c r="N39" s="133">
        <f t="shared" si="0"/>
        <v>4774.68</v>
      </c>
      <c r="O39" s="74"/>
      <c r="P39" s="118" t="s">
        <v>1062</v>
      </c>
      <c r="Q39" s="98" t="s">
        <v>0</v>
      </c>
      <c r="R39" s="18" t="s">
        <v>11</v>
      </c>
      <c r="S39" s="16"/>
      <c r="T39" s="99">
        <f t="shared" si="1"/>
        <v>0</v>
      </c>
      <c r="U39" s="99">
        <v>0</v>
      </c>
      <c r="V39" s="99">
        <f t="shared" si="2"/>
        <v>0</v>
      </c>
      <c r="W39" s="99">
        <v>0</v>
      </c>
      <c r="X39" s="100">
        <f t="shared" si="3"/>
        <v>0</v>
      </c>
      <c r="Z39" s="113" t="s">
        <v>1079</v>
      </c>
      <c r="AB39" s="1">
        <v>198</v>
      </c>
      <c r="AO39" s="9" t="s">
        <v>815</v>
      </c>
      <c r="AQ39" s="9" t="s">
        <v>171</v>
      </c>
      <c r="AR39" s="9" t="s">
        <v>42</v>
      </c>
      <c r="AV39" s="9" t="s">
        <v>148</v>
      </c>
      <c r="BB39" s="72">
        <f t="shared" si="4"/>
        <v>0</v>
      </c>
      <c r="BC39" s="72">
        <f t="shared" si="5"/>
        <v>4774.68</v>
      </c>
      <c r="BD39" s="72">
        <f t="shared" si="6"/>
        <v>0</v>
      </c>
      <c r="BE39" s="72">
        <f t="shared" si="7"/>
        <v>0</v>
      </c>
      <c r="BF39" s="72">
        <f t="shared" si="8"/>
        <v>0</v>
      </c>
      <c r="BG39" s="9" t="s">
        <v>42</v>
      </c>
      <c r="BH39" s="101">
        <f t="shared" si="9"/>
        <v>4774.68</v>
      </c>
      <c r="BI39" s="9" t="s">
        <v>656</v>
      </c>
      <c r="BJ39" s="9" t="s">
        <v>620</v>
      </c>
    </row>
    <row r="40" spans="2:62" s="1" customFormat="1" ht="22.5" customHeight="1">
      <c r="B40" s="73"/>
      <c r="C40" s="93" t="s">
        <v>205</v>
      </c>
      <c r="D40" s="93" t="s">
        <v>149</v>
      </c>
      <c r="E40" s="94" t="s">
        <v>861</v>
      </c>
      <c r="F40" s="498" t="s">
        <v>862</v>
      </c>
      <c r="G40" s="498"/>
      <c r="H40" s="498"/>
      <c r="I40" s="498"/>
      <c r="J40" s="95" t="s">
        <v>852</v>
      </c>
      <c r="K40" s="96">
        <v>3</v>
      </c>
      <c r="L40" s="519">
        <v>14.74</v>
      </c>
      <c r="M40" s="519"/>
      <c r="N40" s="128">
        <f t="shared" si="0"/>
        <v>44.22</v>
      </c>
      <c r="O40" s="74"/>
      <c r="Q40" s="98" t="s">
        <v>0</v>
      </c>
      <c r="R40" s="18" t="s">
        <v>11</v>
      </c>
      <c r="S40" s="16"/>
      <c r="T40" s="99">
        <f t="shared" si="1"/>
        <v>0</v>
      </c>
      <c r="U40" s="99">
        <v>0</v>
      </c>
      <c r="V40" s="99">
        <f t="shared" si="2"/>
        <v>0</v>
      </c>
      <c r="W40" s="99">
        <v>0</v>
      </c>
      <c r="X40" s="100">
        <f t="shared" si="3"/>
        <v>0</v>
      </c>
      <c r="AB40" s="1">
        <v>16.5</v>
      </c>
      <c r="AO40" s="9" t="s">
        <v>656</v>
      </c>
      <c r="AQ40" s="9" t="s">
        <v>149</v>
      </c>
      <c r="AR40" s="9" t="s">
        <v>42</v>
      </c>
      <c r="AV40" s="9" t="s">
        <v>148</v>
      </c>
      <c r="BB40" s="72">
        <f t="shared" si="4"/>
        <v>0</v>
      </c>
      <c r="BC40" s="72">
        <f t="shared" si="5"/>
        <v>44.22</v>
      </c>
      <c r="BD40" s="72">
        <f t="shared" si="6"/>
        <v>0</v>
      </c>
      <c r="BE40" s="72">
        <f t="shared" si="7"/>
        <v>0</v>
      </c>
      <c r="BF40" s="72">
        <f t="shared" si="8"/>
        <v>0</v>
      </c>
      <c r="BG40" s="9" t="s">
        <v>42</v>
      </c>
      <c r="BH40" s="101">
        <f t="shared" si="9"/>
        <v>44.22</v>
      </c>
      <c r="BI40" s="9" t="s">
        <v>656</v>
      </c>
      <c r="BJ40" s="9" t="s">
        <v>623</v>
      </c>
    </row>
    <row r="41" spans="2:62" s="1" customFormat="1" ht="31.5" customHeight="1">
      <c r="B41" s="73"/>
      <c r="C41" s="102" t="s">
        <v>208</v>
      </c>
      <c r="D41" s="102" t="s">
        <v>171</v>
      </c>
      <c r="E41" s="103" t="s">
        <v>863</v>
      </c>
      <c r="F41" s="499" t="s">
        <v>864</v>
      </c>
      <c r="G41" s="499"/>
      <c r="H41" s="499"/>
      <c r="I41" s="499"/>
      <c r="J41" s="104" t="s">
        <v>184</v>
      </c>
      <c r="K41" s="105">
        <v>3</v>
      </c>
      <c r="L41" s="520">
        <v>34.39</v>
      </c>
      <c r="M41" s="520"/>
      <c r="N41" s="133">
        <f t="shared" si="0"/>
        <v>103.17</v>
      </c>
      <c r="O41" s="74"/>
      <c r="P41" s="1" t="s">
        <v>1067</v>
      </c>
      <c r="Q41" s="98" t="s">
        <v>0</v>
      </c>
      <c r="R41" s="18" t="s">
        <v>11</v>
      </c>
      <c r="S41" s="16"/>
      <c r="T41" s="99">
        <f t="shared" si="1"/>
        <v>0</v>
      </c>
      <c r="U41" s="99">
        <v>0</v>
      </c>
      <c r="V41" s="99">
        <f t="shared" si="2"/>
        <v>0</v>
      </c>
      <c r="W41" s="99">
        <v>0</v>
      </c>
      <c r="X41" s="100">
        <f t="shared" si="3"/>
        <v>0</v>
      </c>
      <c r="Z41" s="113" t="s">
        <v>1078</v>
      </c>
      <c r="AB41" s="1">
        <v>38.5</v>
      </c>
      <c r="AO41" s="9" t="s">
        <v>815</v>
      </c>
      <c r="AQ41" s="9" t="s">
        <v>171</v>
      </c>
      <c r="AR41" s="9" t="s">
        <v>42</v>
      </c>
      <c r="AV41" s="9" t="s">
        <v>148</v>
      </c>
      <c r="BB41" s="72">
        <f t="shared" si="4"/>
        <v>0</v>
      </c>
      <c r="BC41" s="72">
        <f t="shared" si="5"/>
        <v>103.17</v>
      </c>
      <c r="BD41" s="72">
        <f t="shared" si="6"/>
        <v>0</v>
      </c>
      <c r="BE41" s="72">
        <f t="shared" si="7"/>
        <v>0</v>
      </c>
      <c r="BF41" s="72">
        <f t="shared" si="8"/>
        <v>0</v>
      </c>
      <c r="BG41" s="9" t="s">
        <v>42</v>
      </c>
      <c r="BH41" s="101">
        <f t="shared" si="9"/>
        <v>103.17</v>
      </c>
      <c r="BI41" s="9" t="s">
        <v>656</v>
      </c>
      <c r="BJ41" s="9" t="s">
        <v>626</v>
      </c>
    </row>
    <row r="42" spans="2:62" s="1" customFormat="1" ht="31.5" customHeight="1">
      <c r="B42" s="73"/>
      <c r="C42" s="93" t="s">
        <v>211</v>
      </c>
      <c r="D42" s="93" t="s">
        <v>149</v>
      </c>
      <c r="E42" s="94" t="s">
        <v>865</v>
      </c>
      <c r="F42" s="498" t="s">
        <v>866</v>
      </c>
      <c r="G42" s="498"/>
      <c r="H42" s="498"/>
      <c r="I42" s="498"/>
      <c r="J42" s="95" t="s">
        <v>852</v>
      </c>
      <c r="K42" s="96">
        <v>1</v>
      </c>
      <c r="L42" s="519">
        <v>14.74</v>
      </c>
      <c r="M42" s="519"/>
      <c r="N42" s="128">
        <f t="shared" si="0"/>
        <v>14.74</v>
      </c>
      <c r="O42" s="74"/>
      <c r="Q42" s="98" t="s">
        <v>0</v>
      </c>
      <c r="R42" s="18" t="s">
        <v>11</v>
      </c>
      <c r="S42" s="16"/>
      <c r="T42" s="99">
        <f t="shared" si="1"/>
        <v>0</v>
      </c>
      <c r="U42" s="99">
        <v>0</v>
      </c>
      <c r="V42" s="99">
        <f t="shared" si="2"/>
        <v>0</v>
      </c>
      <c r="W42" s="99">
        <v>0</v>
      </c>
      <c r="X42" s="100">
        <f t="shared" si="3"/>
        <v>0</v>
      </c>
      <c r="AB42" s="1">
        <v>16.5</v>
      </c>
      <c r="AO42" s="9" t="s">
        <v>656</v>
      </c>
      <c r="AQ42" s="9" t="s">
        <v>149</v>
      </c>
      <c r="AR42" s="9" t="s">
        <v>42</v>
      </c>
      <c r="AV42" s="9" t="s">
        <v>148</v>
      </c>
      <c r="BB42" s="72">
        <f t="shared" si="4"/>
        <v>0</v>
      </c>
      <c r="BC42" s="72">
        <f t="shared" si="5"/>
        <v>14.74</v>
      </c>
      <c r="BD42" s="72">
        <f t="shared" si="6"/>
        <v>0</v>
      </c>
      <c r="BE42" s="72">
        <f t="shared" si="7"/>
        <v>0</v>
      </c>
      <c r="BF42" s="72">
        <f t="shared" si="8"/>
        <v>0</v>
      </c>
      <c r="BG42" s="9" t="s">
        <v>42</v>
      </c>
      <c r="BH42" s="101">
        <f t="shared" si="9"/>
        <v>14.74</v>
      </c>
      <c r="BI42" s="9" t="s">
        <v>656</v>
      </c>
      <c r="BJ42" s="9" t="s">
        <v>629</v>
      </c>
    </row>
    <row r="43" spans="2:62" s="1" customFormat="1" ht="22.5" customHeight="1">
      <c r="B43" s="73"/>
      <c r="C43" s="102" t="s">
        <v>214</v>
      </c>
      <c r="D43" s="102" t="s">
        <v>171</v>
      </c>
      <c r="E43" s="103" t="s">
        <v>867</v>
      </c>
      <c r="F43" s="499" t="s">
        <v>868</v>
      </c>
      <c r="G43" s="499"/>
      <c r="H43" s="499"/>
      <c r="I43" s="499"/>
      <c r="J43" s="104" t="s">
        <v>184</v>
      </c>
      <c r="K43" s="105">
        <v>1</v>
      </c>
      <c r="L43" s="520">
        <v>2904.31</v>
      </c>
      <c r="M43" s="520"/>
      <c r="N43" s="133">
        <f t="shared" si="0"/>
        <v>2904.31</v>
      </c>
      <c r="O43" s="74"/>
      <c r="P43" s="1" t="s">
        <v>1065</v>
      </c>
      <c r="Q43" s="98" t="s">
        <v>0</v>
      </c>
      <c r="R43" s="18" t="s">
        <v>11</v>
      </c>
      <c r="S43" s="16"/>
      <c r="T43" s="99">
        <f t="shared" si="1"/>
        <v>0</v>
      </c>
      <c r="U43" s="99">
        <v>0</v>
      </c>
      <c r="V43" s="99">
        <f t="shared" si="2"/>
        <v>0</v>
      </c>
      <c r="W43" s="99">
        <v>0</v>
      </c>
      <c r="X43" s="100">
        <f t="shared" si="3"/>
        <v>0</v>
      </c>
      <c r="Z43" s="1" t="s">
        <v>1066</v>
      </c>
      <c r="AB43" s="1">
        <v>3251.6</v>
      </c>
      <c r="AO43" s="9" t="s">
        <v>815</v>
      </c>
      <c r="AQ43" s="9" t="s">
        <v>171</v>
      </c>
      <c r="AR43" s="9" t="s">
        <v>42</v>
      </c>
      <c r="AV43" s="9" t="s">
        <v>148</v>
      </c>
      <c r="BB43" s="72">
        <f t="shared" si="4"/>
        <v>0</v>
      </c>
      <c r="BC43" s="72">
        <f t="shared" si="5"/>
        <v>2904.31</v>
      </c>
      <c r="BD43" s="72">
        <f t="shared" si="6"/>
        <v>0</v>
      </c>
      <c r="BE43" s="72">
        <f t="shared" si="7"/>
        <v>0</v>
      </c>
      <c r="BF43" s="72">
        <f t="shared" si="8"/>
        <v>0</v>
      </c>
      <c r="BG43" s="9" t="s">
        <v>42</v>
      </c>
      <c r="BH43" s="101">
        <f t="shared" si="9"/>
        <v>2904.31</v>
      </c>
      <c r="BI43" s="9" t="s">
        <v>656</v>
      </c>
      <c r="BJ43" s="9" t="s">
        <v>632</v>
      </c>
    </row>
    <row r="44" spans="2:62" s="1" customFormat="1" ht="22.5" customHeight="1">
      <c r="B44" s="73"/>
      <c r="C44" s="93" t="s">
        <v>217</v>
      </c>
      <c r="D44" s="93" t="s">
        <v>149</v>
      </c>
      <c r="E44" s="94" t="s">
        <v>869</v>
      </c>
      <c r="F44" s="498" t="s">
        <v>870</v>
      </c>
      <c r="G44" s="498"/>
      <c r="H44" s="498"/>
      <c r="I44" s="498"/>
      <c r="J44" s="95" t="s">
        <v>198</v>
      </c>
      <c r="K44" s="96">
        <v>80</v>
      </c>
      <c r="L44" s="519">
        <v>6.83</v>
      </c>
      <c r="M44" s="519"/>
      <c r="N44" s="128">
        <f t="shared" si="0"/>
        <v>546.4</v>
      </c>
      <c r="O44" s="74"/>
      <c r="Q44" s="98" t="s">
        <v>0</v>
      </c>
      <c r="R44" s="18" t="s">
        <v>11</v>
      </c>
      <c r="S44" s="16"/>
      <c r="T44" s="99">
        <f t="shared" si="1"/>
        <v>0</v>
      </c>
      <c r="U44" s="99">
        <v>0</v>
      </c>
      <c r="V44" s="99">
        <f t="shared" si="2"/>
        <v>0</v>
      </c>
      <c r="W44" s="99">
        <v>0</v>
      </c>
      <c r="X44" s="100">
        <f t="shared" si="3"/>
        <v>0</v>
      </c>
      <c r="AB44" s="1">
        <v>7.65</v>
      </c>
      <c r="AO44" s="9" t="s">
        <v>656</v>
      </c>
      <c r="AQ44" s="9" t="s">
        <v>149</v>
      </c>
      <c r="AR44" s="9" t="s">
        <v>42</v>
      </c>
      <c r="AV44" s="9" t="s">
        <v>148</v>
      </c>
      <c r="BB44" s="72">
        <f t="shared" si="4"/>
        <v>0</v>
      </c>
      <c r="BC44" s="72">
        <f t="shared" si="5"/>
        <v>546.4</v>
      </c>
      <c r="BD44" s="72">
        <f t="shared" si="6"/>
        <v>0</v>
      </c>
      <c r="BE44" s="72">
        <f t="shared" si="7"/>
        <v>0</v>
      </c>
      <c r="BF44" s="72">
        <f t="shared" si="8"/>
        <v>0</v>
      </c>
      <c r="BG44" s="9" t="s">
        <v>42</v>
      </c>
      <c r="BH44" s="101">
        <f t="shared" si="9"/>
        <v>546.4</v>
      </c>
      <c r="BI44" s="9" t="s">
        <v>656</v>
      </c>
      <c r="BJ44" s="9" t="s">
        <v>635</v>
      </c>
    </row>
    <row r="45" spans="2:62" s="1" customFormat="1" ht="31.5" customHeight="1">
      <c r="B45" s="73"/>
      <c r="C45" s="102" t="s">
        <v>220</v>
      </c>
      <c r="D45" s="102" t="s">
        <v>171</v>
      </c>
      <c r="E45" s="103" t="s">
        <v>871</v>
      </c>
      <c r="F45" s="499" t="s">
        <v>872</v>
      </c>
      <c r="G45" s="499"/>
      <c r="H45" s="499"/>
      <c r="I45" s="499"/>
      <c r="J45" s="104" t="s">
        <v>198</v>
      </c>
      <c r="K45" s="105">
        <v>80</v>
      </c>
      <c r="L45" s="520">
        <v>3.89</v>
      </c>
      <c r="M45" s="520"/>
      <c r="N45" s="133">
        <f t="shared" si="0"/>
        <v>311.2</v>
      </c>
      <c r="O45" s="74"/>
      <c r="P45" s="117" t="s">
        <v>1034</v>
      </c>
      <c r="Q45" s="98" t="s">
        <v>0</v>
      </c>
      <c r="R45" s="18" t="s">
        <v>11</v>
      </c>
      <c r="S45" s="16"/>
      <c r="T45" s="99">
        <f t="shared" si="1"/>
        <v>0</v>
      </c>
      <c r="U45" s="99">
        <v>0</v>
      </c>
      <c r="V45" s="99">
        <f t="shared" si="2"/>
        <v>0</v>
      </c>
      <c r="W45" s="99">
        <v>0</v>
      </c>
      <c r="X45" s="100">
        <f t="shared" si="3"/>
        <v>0</v>
      </c>
      <c r="Z45" s="117" t="s">
        <v>1035</v>
      </c>
      <c r="AB45" s="1">
        <v>4.3499999999999996</v>
      </c>
      <c r="AO45" s="9" t="s">
        <v>815</v>
      </c>
      <c r="AQ45" s="9" t="s">
        <v>171</v>
      </c>
      <c r="AR45" s="9" t="s">
        <v>42</v>
      </c>
      <c r="AV45" s="9" t="s">
        <v>148</v>
      </c>
      <c r="BB45" s="72">
        <f t="shared" si="4"/>
        <v>0</v>
      </c>
      <c r="BC45" s="72">
        <f t="shared" si="5"/>
        <v>311.2</v>
      </c>
      <c r="BD45" s="72">
        <f t="shared" si="6"/>
        <v>0</v>
      </c>
      <c r="BE45" s="72">
        <f t="shared" si="7"/>
        <v>0</v>
      </c>
      <c r="BF45" s="72">
        <f t="shared" si="8"/>
        <v>0</v>
      </c>
      <c r="BG45" s="9" t="s">
        <v>42</v>
      </c>
      <c r="BH45" s="101">
        <f t="shared" si="9"/>
        <v>311.2</v>
      </c>
      <c r="BI45" s="9" t="s">
        <v>656</v>
      </c>
      <c r="BJ45" s="9" t="s">
        <v>638</v>
      </c>
    </row>
    <row r="46" spans="2:62" s="1" customFormat="1" ht="22.5" customHeight="1">
      <c r="B46" s="73"/>
      <c r="C46" s="102" t="s">
        <v>223</v>
      </c>
      <c r="D46" s="102" t="s">
        <v>171</v>
      </c>
      <c r="E46" s="103" t="s">
        <v>873</v>
      </c>
      <c r="F46" s="499" t="s">
        <v>874</v>
      </c>
      <c r="G46" s="499"/>
      <c r="H46" s="499"/>
      <c r="I46" s="499"/>
      <c r="J46" s="104" t="s">
        <v>198</v>
      </c>
      <c r="K46" s="105">
        <v>200</v>
      </c>
      <c r="L46" s="520">
        <v>7.08</v>
      </c>
      <c r="M46" s="520"/>
      <c r="N46" s="133">
        <f t="shared" si="0"/>
        <v>1416</v>
      </c>
      <c r="O46" s="74"/>
      <c r="P46" s="117" t="s">
        <v>1082</v>
      </c>
      <c r="Q46" s="98" t="s">
        <v>0</v>
      </c>
      <c r="R46" s="18" t="s">
        <v>11</v>
      </c>
      <c r="S46" s="116"/>
      <c r="T46" s="99">
        <f t="shared" si="1"/>
        <v>0</v>
      </c>
      <c r="U46" s="99">
        <v>0</v>
      </c>
      <c r="V46" s="99">
        <f t="shared" si="2"/>
        <v>0</v>
      </c>
      <c r="W46" s="99">
        <v>0</v>
      </c>
      <c r="X46" s="100">
        <f t="shared" si="3"/>
        <v>0</v>
      </c>
      <c r="Z46" s="117" t="s">
        <v>1083</v>
      </c>
      <c r="AB46" s="1">
        <v>7.92</v>
      </c>
      <c r="AO46" s="9" t="s">
        <v>815</v>
      </c>
      <c r="AQ46" s="9" t="s">
        <v>171</v>
      </c>
      <c r="AR46" s="9" t="s">
        <v>42</v>
      </c>
      <c r="AV46" s="9" t="s">
        <v>148</v>
      </c>
      <c r="BB46" s="72">
        <f t="shared" si="4"/>
        <v>0</v>
      </c>
      <c r="BC46" s="72">
        <f t="shared" si="5"/>
        <v>1416</v>
      </c>
      <c r="BD46" s="72">
        <f t="shared" si="6"/>
        <v>0</v>
      </c>
      <c r="BE46" s="72">
        <f t="shared" si="7"/>
        <v>0</v>
      </c>
      <c r="BF46" s="72">
        <f t="shared" si="8"/>
        <v>0</v>
      </c>
      <c r="BG46" s="9" t="s">
        <v>42</v>
      </c>
      <c r="BH46" s="101">
        <f t="shared" si="9"/>
        <v>1416</v>
      </c>
      <c r="BI46" s="9" t="s">
        <v>656</v>
      </c>
      <c r="BJ46" s="9" t="s">
        <v>641</v>
      </c>
    </row>
    <row r="47" spans="2:62" s="1" customFormat="1" ht="31.5" customHeight="1">
      <c r="B47" s="73"/>
      <c r="C47" s="93" t="s">
        <v>226</v>
      </c>
      <c r="D47" s="93" t="s">
        <v>149</v>
      </c>
      <c r="E47" s="94" t="s">
        <v>875</v>
      </c>
      <c r="F47" s="498" t="s">
        <v>876</v>
      </c>
      <c r="G47" s="498"/>
      <c r="H47" s="498"/>
      <c r="I47" s="498"/>
      <c r="J47" s="95" t="s">
        <v>198</v>
      </c>
      <c r="K47" s="96">
        <v>200</v>
      </c>
      <c r="L47" s="519">
        <v>0.61</v>
      </c>
      <c r="M47" s="519"/>
      <c r="N47" s="128">
        <f t="shared" si="0"/>
        <v>122</v>
      </c>
      <c r="O47" s="74"/>
      <c r="Q47" s="98" t="s">
        <v>0</v>
      </c>
      <c r="R47" s="18" t="s">
        <v>11</v>
      </c>
      <c r="S47" s="16"/>
      <c r="T47" s="99">
        <f t="shared" si="1"/>
        <v>0</v>
      </c>
      <c r="U47" s="99">
        <v>0</v>
      </c>
      <c r="V47" s="99">
        <f t="shared" si="2"/>
        <v>0</v>
      </c>
      <c r="W47" s="99">
        <v>0</v>
      </c>
      <c r="X47" s="100">
        <f t="shared" si="3"/>
        <v>0</v>
      </c>
      <c r="AB47" s="1">
        <v>0.69</v>
      </c>
      <c r="AO47" s="9" t="s">
        <v>656</v>
      </c>
      <c r="AQ47" s="9" t="s">
        <v>149</v>
      </c>
      <c r="AR47" s="9" t="s">
        <v>42</v>
      </c>
      <c r="AV47" s="9" t="s">
        <v>148</v>
      </c>
      <c r="BB47" s="72">
        <f t="shared" si="4"/>
        <v>0</v>
      </c>
      <c r="BC47" s="72">
        <f t="shared" si="5"/>
        <v>122</v>
      </c>
      <c r="BD47" s="72">
        <f t="shared" si="6"/>
        <v>0</v>
      </c>
      <c r="BE47" s="72">
        <f t="shared" si="7"/>
        <v>0</v>
      </c>
      <c r="BF47" s="72">
        <f t="shared" si="8"/>
        <v>0</v>
      </c>
      <c r="BG47" s="9" t="s">
        <v>42</v>
      </c>
      <c r="BH47" s="101">
        <f t="shared" si="9"/>
        <v>122</v>
      </c>
      <c r="BI47" s="9" t="s">
        <v>656</v>
      </c>
      <c r="BJ47" s="9" t="s">
        <v>644</v>
      </c>
    </row>
    <row r="48" spans="2:62" s="1" customFormat="1" ht="22.5" customHeight="1">
      <c r="B48" s="73"/>
      <c r="C48" s="102" t="s">
        <v>229</v>
      </c>
      <c r="D48" s="102" t="s">
        <v>171</v>
      </c>
      <c r="E48" s="103" t="s">
        <v>877</v>
      </c>
      <c r="F48" s="499" t="s">
        <v>878</v>
      </c>
      <c r="G48" s="499"/>
      <c r="H48" s="499"/>
      <c r="I48" s="499"/>
      <c r="J48" s="104" t="s">
        <v>198</v>
      </c>
      <c r="K48" s="105">
        <v>200</v>
      </c>
      <c r="L48" s="520">
        <v>0.61</v>
      </c>
      <c r="M48" s="520"/>
      <c r="N48" s="133">
        <f t="shared" si="0"/>
        <v>122</v>
      </c>
      <c r="O48" s="74"/>
      <c r="P48" s="117" t="s">
        <v>1080</v>
      </c>
      <c r="Q48" s="98" t="s">
        <v>0</v>
      </c>
      <c r="R48" s="18" t="s">
        <v>11</v>
      </c>
      <c r="S48" s="116"/>
      <c r="T48" s="99">
        <f t="shared" si="1"/>
        <v>0</v>
      </c>
      <c r="U48" s="99">
        <v>0</v>
      </c>
      <c r="V48" s="99">
        <f t="shared" si="2"/>
        <v>0</v>
      </c>
      <c r="W48" s="99">
        <v>0</v>
      </c>
      <c r="X48" s="100">
        <f t="shared" si="3"/>
        <v>0</v>
      </c>
      <c r="Z48" s="117" t="s">
        <v>1081</v>
      </c>
      <c r="AB48" s="1">
        <v>0.69</v>
      </c>
      <c r="AO48" s="9" t="s">
        <v>815</v>
      </c>
      <c r="AQ48" s="9" t="s">
        <v>171</v>
      </c>
      <c r="AR48" s="9" t="s">
        <v>42</v>
      </c>
      <c r="AV48" s="9" t="s">
        <v>148</v>
      </c>
      <c r="BB48" s="72">
        <f t="shared" si="4"/>
        <v>0</v>
      </c>
      <c r="BC48" s="72">
        <f t="shared" si="5"/>
        <v>122</v>
      </c>
      <c r="BD48" s="72">
        <f t="shared" si="6"/>
        <v>0</v>
      </c>
      <c r="BE48" s="72">
        <f t="shared" si="7"/>
        <v>0</v>
      </c>
      <c r="BF48" s="72">
        <f t="shared" si="8"/>
        <v>0</v>
      </c>
      <c r="BG48" s="9" t="s">
        <v>42</v>
      </c>
      <c r="BH48" s="101">
        <f t="shared" si="9"/>
        <v>122</v>
      </c>
      <c r="BI48" s="9" t="s">
        <v>656</v>
      </c>
      <c r="BJ48" s="9" t="s">
        <v>647</v>
      </c>
    </row>
    <row r="49" spans="2:62" s="1" customFormat="1" ht="22.5" customHeight="1">
      <c r="B49" s="73"/>
      <c r="C49" s="93" t="s">
        <v>232</v>
      </c>
      <c r="D49" s="93" t="s">
        <v>149</v>
      </c>
      <c r="E49" s="94" t="s">
        <v>879</v>
      </c>
      <c r="F49" s="498" t="s">
        <v>880</v>
      </c>
      <c r="G49" s="498"/>
      <c r="H49" s="498"/>
      <c r="I49" s="498"/>
      <c r="J49" s="95" t="s">
        <v>198</v>
      </c>
      <c r="K49" s="96">
        <v>200</v>
      </c>
      <c r="L49" s="519">
        <v>0.94</v>
      </c>
      <c r="M49" s="519"/>
      <c r="N49" s="128">
        <f t="shared" si="0"/>
        <v>188</v>
      </c>
      <c r="O49" s="74"/>
      <c r="Q49" s="98" t="s">
        <v>0</v>
      </c>
      <c r="R49" s="18" t="s">
        <v>11</v>
      </c>
      <c r="S49" s="16"/>
      <c r="T49" s="99">
        <f t="shared" si="1"/>
        <v>0</v>
      </c>
      <c r="U49" s="99">
        <v>0</v>
      </c>
      <c r="V49" s="99">
        <f t="shared" si="2"/>
        <v>0</v>
      </c>
      <c r="W49" s="99">
        <v>0</v>
      </c>
      <c r="X49" s="100">
        <f t="shared" si="3"/>
        <v>0</v>
      </c>
      <c r="AB49" s="1">
        <v>1.05</v>
      </c>
      <c r="AO49" s="9" t="s">
        <v>656</v>
      </c>
      <c r="AQ49" s="9" t="s">
        <v>149</v>
      </c>
      <c r="AR49" s="9" t="s">
        <v>42</v>
      </c>
      <c r="AV49" s="9" t="s">
        <v>148</v>
      </c>
      <c r="BB49" s="72">
        <f t="shared" si="4"/>
        <v>0</v>
      </c>
      <c r="BC49" s="72">
        <f t="shared" si="5"/>
        <v>188</v>
      </c>
      <c r="BD49" s="72">
        <f t="shared" si="6"/>
        <v>0</v>
      </c>
      <c r="BE49" s="72">
        <f t="shared" si="7"/>
        <v>0</v>
      </c>
      <c r="BF49" s="72">
        <f t="shared" si="8"/>
        <v>0</v>
      </c>
      <c r="BG49" s="9" t="s">
        <v>42</v>
      </c>
      <c r="BH49" s="101">
        <f t="shared" si="9"/>
        <v>188</v>
      </c>
      <c r="BI49" s="9" t="s">
        <v>656</v>
      </c>
      <c r="BJ49" s="9" t="s">
        <v>650</v>
      </c>
    </row>
    <row r="50" spans="2:62" s="7" customFormat="1" ht="37.35" customHeight="1">
      <c r="B50" s="82"/>
      <c r="C50" s="83"/>
      <c r="D50" s="84" t="s">
        <v>816</v>
      </c>
      <c r="E50" s="84"/>
      <c r="F50" s="84"/>
      <c r="G50" s="84"/>
      <c r="H50" s="84"/>
      <c r="I50" s="84"/>
      <c r="J50" s="84"/>
      <c r="K50" s="84"/>
      <c r="L50" s="84"/>
      <c r="M50" s="84"/>
      <c r="N50" s="135">
        <f>BH50</f>
        <v>1539.0139999999999</v>
      </c>
      <c r="O50" s="85"/>
      <c r="Q50" s="86"/>
      <c r="R50" s="83"/>
      <c r="S50" s="83"/>
      <c r="T50" s="87">
        <f>T51</f>
        <v>0</v>
      </c>
      <c r="U50" s="83"/>
      <c r="V50" s="87">
        <f>V51</f>
        <v>0</v>
      </c>
      <c r="W50" s="83"/>
      <c r="X50" s="88">
        <f>X51</f>
        <v>0</v>
      </c>
      <c r="AO50" s="89" t="s">
        <v>153</v>
      </c>
      <c r="AQ50" s="90" t="s">
        <v>30</v>
      </c>
      <c r="AR50" s="90" t="s">
        <v>31</v>
      </c>
      <c r="AV50" s="89" t="s">
        <v>148</v>
      </c>
      <c r="BH50" s="91">
        <f>BH51</f>
        <v>1539.0139999999999</v>
      </c>
    </row>
    <row r="51" spans="2:62" s="7" customFormat="1" ht="19.899999999999999" customHeight="1">
      <c r="B51" s="82"/>
      <c r="C51" s="83"/>
      <c r="D51" s="92" t="s">
        <v>817</v>
      </c>
      <c r="E51" s="92"/>
      <c r="F51" s="92"/>
      <c r="G51" s="92"/>
      <c r="H51" s="92"/>
      <c r="I51" s="92"/>
      <c r="J51" s="92"/>
      <c r="K51" s="92"/>
      <c r="L51" s="92"/>
      <c r="M51" s="92"/>
      <c r="N51" s="131">
        <f>BH51</f>
        <v>1539.0139999999999</v>
      </c>
      <c r="O51" s="85"/>
      <c r="Q51" s="86"/>
      <c r="R51" s="83"/>
      <c r="S51" s="83"/>
      <c r="T51" s="87">
        <f>T52</f>
        <v>0</v>
      </c>
      <c r="U51" s="83"/>
      <c r="V51" s="87">
        <f>V52</f>
        <v>0</v>
      </c>
      <c r="W51" s="83"/>
      <c r="X51" s="88">
        <f>X52</f>
        <v>0</v>
      </c>
      <c r="AO51" s="89" t="s">
        <v>153</v>
      </c>
      <c r="AQ51" s="90" t="s">
        <v>30</v>
      </c>
      <c r="AR51" s="90" t="s">
        <v>38</v>
      </c>
      <c r="AV51" s="89" t="s">
        <v>148</v>
      </c>
      <c r="BH51" s="91">
        <f>BH52</f>
        <v>1539.0139999999999</v>
      </c>
    </row>
    <row r="52" spans="2:62" s="1" customFormat="1" ht="44.25" customHeight="1">
      <c r="B52" s="73"/>
      <c r="C52" s="93" t="s">
        <v>240</v>
      </c>
      <c r="D52" s="93" t="s">
        <v>149</v>
      </c>
      <c r="E52" s="94" t="s">
        <v>881</v>
      </c>
      <c r="F52" s="498" t="s">
        <v>882</v>
      </c>
      <c r="G52" s="498"/>
      <c r="H52" s="498"/>
      <c r="I52" s="498"/>
      <c r="J52" s="95" t="s">
        <v>883</v>
      </c>
      <c r="K52" s="97">
        <v>172.34200000000001</v>
      </c>
      <c r="L52" s="519">
        <v>8.93</v>
      </c>
      <c r="M52" s="519"/>
      <c r="N52" s="128">
        <f>ROUND(L52*K52,3)</f>
        <v>1539.0139999999999</v>
      </c>
      <c r="O52" s="74"/>
      <c r="Q52" s="98" t="s">
        <v>0</v>
      </c>
      <c r="R52" s="18" t="s">
        <v>11</v>
      </c>
      <c r="S52" s="16"/>
      <c r="T52" s="99">
        <f>S52*K52</f>
        <v>0</v>
      </c>
      <c r="U52" s="99">
        <v>0</v>
      </c>
      <c r="V52" s="99">
        <f>U52*K52</f>
        <v>0</v>
      </c>
      <c r="W52" s="99">
        <v>0</v>
      </c>
      <c r="X52" s="100">
        <f>W52*K52</f>
        <v>0</v>
      </c>
      <c r="AB52" s="1">
        <v>10</v>
      </c>
      <c r="AO52" s="9" t="s">
        <v>884</v>
      </c>
      <c r="AQ52" s="9" t="s">
        <v>149</v>
      </c>
      <c r="AR52" s="9" t="s">
        <v>42</v>
      </c>
      <c r="AV52" s="9" t="s">
        <v>148</v>
      </c>
      <c r="BB52" s="72">
        <f>IF(R52="základná",N52,0)</f>
        <v>0</v>
      </c>
      <c r="BC52" s="72">
        <f>IF(R52="znížená",N52,0)</f>
        <v>1539.0139999999999</v>
      </c>
      <c r="BD52" s="72">
        <f>IF(R52="zákl. prenesená",N52,0)</f>
        <v>0</v>
      </c>
      <c r="BE52" s="72">
        <f>IF(R52="zníž. prenesená",N52,0)</f>
        <v>0</v>
      </c>
      <c r="BF52" s="72">
        <f>IF(R52="nulová",N52,0)</f>
        <v>0</v>
      </c>
      <c r="BG52" s="9" t="s">
        <v>42</v>
      </c>
      <c r="BH52" s="101">
        <f>ROUND(L52*K52,3)</f>
        <v>1539.0139999999999</v>
      </c>
      <c r="BI52" s="9" t="s">
        <v>884</v>
      </c>
      <c r="BJ52" s="9" t="s">
        <v>653</v>
      </c>
    </row>
    <row r="53" spans="2:62" s="7" customFormat="1" ht="37.35" customHeight="1">
      <c r="B53" s="82"/>
      <c r="C53" s="83"/>
      <c r="D53" s="84" t="s">
        <v>556</v>
      </c>
      <c r="E53" s="84"/>
      <c r="F53" s="84"/>
      <c r="G53" s="84"/>
      <c r="H53" s="84"/>
      <c r="I53" s="84"/>
      <c r="J53" s="84"/>
      <c r="K53" s="84"/>
      <c r="L53" s="84"/>
      <c r="M53" s="84"/>
      <c r="N53" s="135">
        <f>BH53</f>
        <v>1026.3400000000001</v>
      </c>
      <c r="O53" s="85"/>
      <c r="Q53" s="86"/>
      <c r="R53" s="83"/>
      <c r="S53" s="83"/>
      <c r="T53" s="87">
        <f>T54+T57+T59</f>
        <v>0</v>
      </c>
      <c r="U53" s="83"/>
      <c r="V53" s="87">
        <f>V54+V57+V59</f>
        <v>0</v>
      </c>
      <c r="W53" s="83"/>
      <c r="X53" s="88">
        <f>X54+X57+X59</f>
        <v>0</v>
      </c>
      <c r="AO53" s="89" t="s">
        <v>156</v>
      </c>
      <c r="AQ53" s="90" t="s">
        <v>30</v>
      </c>
      <c r="AR53" s="90" t="s">
        <v>31</v>
      </c>
      <c r="AV53" s="89" t="s">
        <v>148</v>
      </c>
      <c r="BH53" s="91">
        <f>BH54+BH57+BH59</f>
        <v>1026.3400000000001</v>
      </c>
    </row>
    <row r="54" spans="2:62" s="7" customFormat="1" ht="19.899999999999999" customHeight="1">
      <c r="B54" s="82"/>
      <c r="C54" s="83"/>
      <c r="D54" s="92" t="s">
        <v>557</v>
      </c>
      <c r="E54" s="92"/>
      <c r="F54" s="92"/>
      <c r="G54" s="92"/>
      <c r="H54" s="92"/>
      <c r="I54" s="92"/>
      <c r="J54" s="92"/>
      <c r="K54" s="92"/>
      <c r="L54" s="92"/>
      <c r="M54" s="92"/>
      <c r="N54" s="131">
        <f>BH54</f>
        <v>567.18000000000006</v>
      </c>
      <c r="O54" s="85"/>
      <c r="Q54" s="86"/>
      <c r="R54" s="83"/>
      <c r="S54" s="83"/>
      <c r="T54" s="87">
        <f>SUM(T55:T56)</f>
        <v>0</v>
      </c>
      <c r="U54" s="83"/>
      <c r="V54" s="87">
        <f>SUM(V55:V56)</f>
        <v>0</v>
      </c>
      <c r="W54" s="83"/>
      <c r="X54" s="88">
        <f>SUM(X55:X56)</f>
        <v>0</v>
      </c>
      <c r="AO54" s="89" t="s">
        <v>156</v>
      </c>
      <c r="AQ54" s="90" t="s">
        <v>30</v>
      </c>
      <c r="AR54" s="90" t="s">
        <v>38</v>
      </c>
      <c r="AV54" s="89" t="s">
        <v>148</v>
      </c>
      <c r="BH54" s="91">
        <f>SUM(BH55:BH56)</f>
        <v>567.18000000000006</v>
      </c>
    </row>
    <row r="55" spans="2:62" s="1" customFormat="1" ht="31.5" customHeight="1">
      <c r="B55" s="73"/>
      <c r="C55" s="93" t="s">
        <v>480</v>
      </c>
      <c r="D55" s="93" t="s">
        <v>149</v>
      </c>
      <c r="E55" s="94" t="s">
        <v>885</v>
      </c>
      <c r="F55" s="498" t="s">
        <v>886</v>
      </c>
      <c r="G55" s="498"/>
      <c r="H55" s="498"/>
      <c r="I55" s="498"/>
      <c r="J55" s="95" t="s">
        <v>792</v>
      </c>
      <c r="K55" s="96">
        <v>1</v>
      </c>
      <c r="L55" s="519">
        <v>446.6</v>
      </c>
      <c r="M55" s="519"/>
      <c r="N55" s="128">
        <f>ROUND(L55*K55,3)</f>
        <v>446.6</v>
      </c>
      <c r="O55" s="74"/>
      <c r="Q55" s="98" t="s">
        <v>0</v>
      </c>
      <c r="R55" s="18" t="s">
        <v>11</v>
      </c>
      <c r="S55" s="16"/>
      <c r="T55" s="99">
        <f>S55*K55</f>
        <v>0</v>
      </c>
      <c r="U55" s="99">
        <v>0</v>
      </c>
      <c r="V55" s="99">
        <f>U55*K55</f>
        <v>0</v>
      </c>
      <c r="W55" s="99">
        <v>0</v>
      </c>
      <c r="X55" s="100">
        <f>W55*K55</f>
        <v>0</v>
      </c>
      <c r="AB55" s="1">
        <v>500</v>
      </c>
      <c r="AO55" s="9" t="s">
        <v>153</v>
      </c>
      <c r="AQ55" s="9" t="s">
        <v>149</v>
      </c>
      <c r="AR55" s="9" t="s">
        <v>42</v>
      </c>
      <c r="AV55" s="9" t="s">
        <v>148</v>
      </c>
      <c r="BB55" s="72">
        <f>IF(R55="základná",N55,0)</f>
        <v>0</v>
      </c>
      <c r="BC55" s="72">
        <f>IF(R55="znížená",N55,0)</f>
        <v>446.6</v>
      </c>
      <c r="BD55" s="72">
        <f>IF(R55="zákl. prenesená",N55,0)</f>
        <v>0</v>
      </c>
      <c r="BE55" s="72">
        <f>IF(R55="zníž. prenesená",N55,0)</f>
        <v>0</v>
      </c>
      <c r="BF55" s="72">
        <f>IF(R55="nulová",N55,0)</f>
        <v>0</v>
      </c>
      <c r="BG55" s="9" t="s">
        <v>42</v>
      </c>
      <c r="BH55" s="101">
        <f>ROUND(L55*K55,3)</f>
        <v>446.6</v>
      </c>
      <c r="BI55" s="9" t="s">
        <v>153</v>
      </c>
      <c r="BJ55" s="9" t="s">
        <v>656</v>
      </c>
    </row>
    <row r="56" spans="2:62" s="1" customFormat="1" ht="31.5" customHeight="1">
      <c r="B56" s="73"/>
      <c r="C56" s="93" t="s">
        <v>544</v>
      </c>
      <c r="D56" s="93" t="s">
        <v>149</v>
      </c>
      <c r="E56" s="94" t="s">
        <v>887</v>
      </c>
      <c r="F56" s="498" t="s">
        <v>888</v>
      </c>
      <c r="G56" s="498"/>
      <c r="H56" s="498"/>
      <c r="I56" s="498"/>
      <c r="J56" s="95" t="s">
        <v>792</v>
      </c>
      <c r="K56" s="96">
        <v>1</v>
      </c>
      <c r="L56" s="519">
        <v>120.58</v>
      </c>
      <c r="M56" s="519"/>
      <c r="N56" s="128">
        <f>ROUND(L56*K56,3)</f>
        <v>120.58</v>
      </c>
      <c r="O56" s="74"/>
      <c r="Q56" s="98" t="s">
        <v>0</v>
      </c>
      <c r="R56" s="18" t="s">
        <v>11</v>
      </c>
      <c r="S56" s="16"/>
      <c r="T56" s="99">
        <f>S56*K56</f>
        <v>0</v>
      </c>
      <c r="U56" s="99">
        <v>0</v>
      </c>
      <c r="V56" s="99">
        <f>U56*K56</f>
        <v>0</v>
      </c>
      <c r="W56" s="99">
        <v>0</v>
      </c>
      <c r="X56" s="100">
        <f>W56*K56</f>
        <v>0</v>
      </c>
      <c r="AB56" s="1">
        <v>135</v>
      </c>
      <c r="AO56" s="9" t="s">
        <v>153</v>
      </c>
      <c r="AQ56" s="9" t="s">
        <v>149</v>
      </c>
      <c r="AR56" s="9" t="s">
        <v>42</v>
      </c>
      <c r="AV56" s="9" t="s">
        <v>148</v>
      </c>
      <c r="BB56" s="72">
        <f>IF(R56="základná",N56,0)</f>
        <v>0</v>
      </c>
      <c r="BC56" s="72">
        <f>IF(R56="znížená",N56,0)</f>
        <v>120.58</v>
      </c>
      <c r="BD56" s="72">
        <f>IF(R56="zákl. prenesená",N56,0)</f>
        <v>0</v>
      </c>
      <c r="BE56" s="72">
        <f>IF(R56="zníž. prenesená",N56,0)</f>
        <v>0</v>
      </c>
      <c r="BF56" s="72">
        <f>IF(R56="nulová",N56,0)</f>
        <v>0</v>
      </c>
      <c r="BG56" s="9" t="s">
        <v>42</v>
      </c>
      <c r="BH56" s="101">
        <f>ROUND(L56*K56,3)</f>
        <v>120.58</v>
      </c>
      <c r="BI56" s="9" t="s">
        <v>153</v>
      </c>
      <c r="BJ56" s="9" t="s">
        <v>659</v>
      </c>
    </row>
    <row r="57" spans="2:62" s="7" customFormat="1" ht="29.85" customHeight="1">
      <c r="B57" s="82"/>
      <c r="C57" s="83"/>
      <c r="D57" s="92" t="s">
        <v>818</v>
      </c>
      <c r="E57" s="92"/>
      <c r="F57" s="92"/>
      <c r="G57" s="92"/>
      <c r="H57" s="92"/>
      <c r="I57" s="92"/>
      <c r="J57" s="92"/>
      <c r="K57" s="92"/>
      <c r="L57" s="92"/>
      <c r="M57" s="92"/>
      <c r="N57" s="134">
        <f>BH57</f>
        <v>137.59</v>
      </c>
      <c r="O57" s="85"/>
      <c r="Q57" s="86"/>
      <c r="R57" s="83"/>
      <c r="S57" s="83"/>
      <c r="T57" s="87">
        <f>T58</f>
        <v>0</v>
      </c>
      <c r="U57" s="83"/>
      <c r="V57" s="87">
        <f>V58</f>
        <v>0</v>
      </c>
      <c r="W57" s="83"/>
      <c r="X57" s="88">
        <f>X58</f>
        <v>0</v>
      </c>
      <c r="AO57" s="89" t="s">
        <v>156</v>
      </c>
      <c r="AQ57" s="90" t="s">
        <v>30</v>
      </c>
      <c r="AR57" s="90" t="s">
        <v>38</v>
      </c>
      <c r="AV57" s="89" t="s">
        <v>148</v>
      </c>
      <c r="BH57" s="91">
        <f>BH58</f>
        <v>137.59</v>
      </c>
    </row>
    <row r="58" spans="2:62" s="1" customFormat="1" ht="44.25" customHeight="1">
      <c r="B58" s="73"/>
      <c r="C58" s="93" t="s">
        <v>674</v>
      </c>
      <c r="D58" s="93" t="s">
        <v>149</v>
      </c>
      <c r="E58" s="94" t="s">
        <v>889</v>
      </c>
      <c r="F58" s="498" t="s">
        <v>890</v>
      </c>
      <c r="G58" s="498"/>
      <c r="H58" s="498"/>
      <c r="I58" s="498"/>
      <c r="J58" s="95" t="s">
        <v>792</v>
      </c>
      <c r="K58" s="96">
        <v>1</v>
      </c>
      <c r="L58" s="519">
        <v>137.59</v>
      </c>
      <c r="M58" s="519"/>
      <c r="N58" s="128">
        <f>ROUND(L58*K58,3)</f>
        <v>137.59</v>
      </c>
      <c r="O58" s="74"/>
      <c r="Q58" s="98" t="s">
        <v>0</v>
      </c>
      <c r="R58" s="18" t="s">
        <v>11</v>
      </c>
      <c r="S58" s="16"/>
      <c r="T58" s="99">
        <f>S58*K58</f>
        <v>0</v>
      </c>
      <c r="U58" s="99">
        <v>0</v>
      </c>
      <c r="V58" s="99">
        <f>U58*K58</f>
        <v>0</v>
      </c>
      <c r="W58" s="99">
        <v>0</v>
      </c>
      <c r="X58" s="100">
        <f>W58*K58</f>
        <v>0</v>
      </c>
      <c r="AB58" s="1">
        <v>225</v>
      </c>
      <c r="AO58" s="9" t="s">
        <v>153</v>
      </c>
      <c r="AQ58" s="9" t="s">
        <v>149</v>
      </c>
      <c r="AR58" s="9" t="s">
        <v>42</v>
      </c>
      <c r="AV58" s="9" t="s">
        <v>148</v>
      </c>
      <c r="BB58" s="72">
        <f>IF(R58="základná",N58,0)</f>
        <v>0</v>
      </c>
      <c r="BC58" s="72">
        <f>IF(R58="znížená",N58,0)</f>
        <v>137.59</v>
      </c>
      <c r="BD58" s="72">
        <f>IF(R58="zákl. prenesená",N58,0)</f>
        <v>0</v>
      </c>
      <c r="BE58" s="72">
        <f>IF(R58="zníž. prenesená",N58,0)</f>
        <v>0</v>
      </c>
      <c r="BF58" s="72">
        <f>IF(R58="nulová",N58,0)</f>
        <v>0</v>
      </c>
      <c r="BG58" s="9" t="s">
        <v>42</v>
      </c>
      <c r="BH58" s="101">
        <f>ROUND(L58*K58,3)</f>
        <v>137.59</v>
      </c>
      <c r="BI58" s="9" t="s">
        <v>153</v>
      </c>
      <c r="BJ58" s="9" t="s">
        <v>662</v>
      </c>
    </row>
    <row r="59" spans="2:62" s="7" customFormat="1" ht="29.85" customHeight="1">
      <c r="B59" s="82"/>
      <c r="C59" s="83"/>
      <c r="D59" s="92" t="s">
        <v>819</v>
      </c>
      <c r="E59" s="92"/>
      <c r="F59" s="92"/>
      <c r="G59" s="92"/>
      <c r="H59" s="92"/>
      <c r="I59" s="92"/>
      <c r="J59" s="92"/>
      <c r="K59" s="92"/>
      <c r="L59" s="92"/>
      <c r="M59" s="92"/>
      <c r="N59" s="134">
        <f>BH59</f>
        <v>321.57</v>
      </c>
      <c r="O59" s="85"/>
      <c r="Q59" s="86"/>
      <c r="R59" s="83"/>
      <c r="S59" s="83"/>
      <c r="T59" s="87">
        <f>T60</f>
        <v>0</v>
      </c>
      <c r="U59" s="83"/>
      <c r="V59" s="87">
        <f>V60</f>
        <v>0</v>
      </c>
      <c r="W59" s="83"/>
      <c r="X59" s="88">
        <f>X60</f>
        <v>0</v>
      </c>
      <c r="AO59" s="89" t="s">
        <v>156</v>
      </c>
      <c r="AQ59" s="90" t="s">
        <v>30</v>
      </c>
      <c r="AR59" s="90" t="s">
        <v>38</v>
      </c>
      <c r="AV59" s="89" t="s">
        <v>148</v>
      </c>
      <c r="BH59" s="91">
        <f>BH60</f>
        <v>321.57</v>
      </c>
    </row>
    <row r="60" spans="2:62" s="1" customFormat="1" ht="22.5" customHeight="1">
      <c r="B60" s="73"/>
      <c r="C60" s="93" t="s">
        <v>681</v>
      </c>
      <c r="D60" s="93" t="s">
        <v>149</v>
      </c>
      <c r="E60" s="94" t="s">
        <v>891</v>
      </c>
      <c r="F60" s="498" t="s">
        <v>892</v>
      </c>
      <c r="G60" s="498"/>
      <c r="H60" s="498"/>
      <c r="I60" s="498"/>
      <c r="J60" s="95" t="s">
        <v>792</v>
      </c>
      <c r="K60" s="96">
        <v>1</v>
      </c>
      <c r="L60" s="519">
        <v>321.57</v>
      </c>
      <c r="M60" s="519"/>
      <c r="N60" s="128">
        <f>ROUND(L60*K60,3)</f>
        <v>321.57</v>
      </c>
      <c r="O60" s="74"/>
      <c r="Q60" s="98" t="s">
        <v>0</v>
      </c>
      <c r="R60" s="18" t="s">
        <v>11</v>
      </c>
      <c r="S60" s="16"/>
      <c r="T60" s="99">
        <f>S60*K60</f>
        <v>0</v>
      </c>
      <c r="U60" s="99">
        <v>0</v>
      </c>
      <c r="V60" s="99">
        <f>U60*K60</f>
        <v>0</v>
      </c>
      <c r="W60" s="99">
        <v>0</v>
      </c>
      <c r="X60" s="100">
        <f>W60*K60</f>
        <v>0</v>
      </c>
      <c r="AB60" s="1">
        <v>360</v>
      </c>
      <c r="AO60" s="9" t="s">
        <v>153</v>
      </c>
      <c r="AQ60" s="9" t="s">
        <v>149</v>
      </c>
      <c r="AR60" s="9" t="s">
        <v>42</v>
      </c>
      <c r="AV60" s="9" t="s">
        <v>148</v>
      </c>
      <c r="BB60" s="72">
        <f>IF(R60="základná",N60,0)</f>
        <v>0</v>
      </c>
      <c r="BC60" s="72">
        <f>IF(R60="znížená",N60,0)</f>
        <v>321.57</v>
      </c>
      <c r="BD60" s="72">
        <f>IF(R60="zákl. prenesená",N60,0)</f>
        <v>0</v>
      </c>
      <c r="BE60" s="72">
        <f>IF(R60="zníž. prenesená",N60,0)</f>
        <v>0</v>
      </c>
      <c r="BF60" s="72">
        <f>IF(R60="nulová",N60,0)</f>
        <v>0</v>
      </c>
      <c r="BG60" s="9" t="s">
        <v>42</v>
      </c>
      <c r="BH60" s="101">
        <f>ROUND(L60*K60,3)</f>
        <v>321.57</v>
      </c>
      <c r="BI60" s="9" t="s">
        <v>153</v>
      </c>
      <c r="BJ60" s="9" t="s">
        <v>281</v>
      </c>
    </row>
    <row r="61" spans="2:62" s="1" customFormat="1" ht="49.9" customHeight="1">
      <c r="B61" s="15"/>
      <c r="C61" s="16"/>
      <c r="D61" s="84" t="s">
        <v>243</v>
      </c>
      <c r="E61" s="16"/>
      <c r="F61" s="16"/>
      <c r="G61" s="16"/>
      <c r="H61" s="16"/>
      <c r="I61" s="16"/>
      <c r="J61" s="16"/>
      <c r="K61" s="16"/>
      <c r="L61" s="16"/>
      <c r="M61" s="16"/>
      <c r="N61" s="135">
        <f>BH61</f>
        <v>0</v>
      </c>
      <c r="O61" s="17"/>
      <c r="Q61" s="106"/>
      <c r="R61" s="21"/>
      <c r="S61" s="21"/>
      <c r="T61" s="21"/>
      <c r="U61" s="21"/>
      <c r="V61" s="21"/>
      <c r="W61" s="21"/>
      <c r="X61" s="22"/>
      <c r="AQ61" s="9" t="s">
        <v>30</v>
      </c>
      <c r="AR61" s="9" t="s">
        <v>31</v>
      </c>
      <c r="AV61" s="9" t="s">
        <v>244</v>
      </c>
      <c r="BH61" s="101">
        <v>0</v>
      </c>
    </row>
    <row r="62" spans="2:62" s="1" customFormat="1" ht="6.95" customHeight="1"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5"/>
    </row>
  </sheetData>
  <mergeCells count="79">
    <mergeCell ref="C5:N5"/>
    <mergeCell ref="F7:N7"/>
    <mergeCell ref="F8:N8"/>
    <mergeCell ref="F9:N9"/>
    <mergeCell ref="M11:N11"/>
    <mergeCell ref="M13:N13"/>
    <mergeCell ref="M14:N14"/>
    <mergeCell ref="F16:I16"/>
    <mergeCell ref="L16:M16"/>
    <mergeCell ref="F20:I20"/>
    <mergeCell ref="L20:M20"/>
    <mergeCell ref="F21:I21"/>
    <mergeCell ref="L21:M21"/>
    <mergeCell ref="F22:I22"/>
    <mergeCell ref="L22:M22"/>
    <mergeCell ref="F23:I23"/>
    <mergeCell ref="L23:M23"/>
    <mergeCell ref="F24:I24"/>
    <mergeCell ref="L24:M24"/>
    <mergeCell ref="F25:I25"/>
    <mergeCell ref="L25:M25"/>
    <mergeCell ref="F26:I26"/>
    <mergeCell ref="L26:M26"/>
    <mergeCell ref="F27:I27"/>
    <mergeCell ref="L27:M27"/>
    <mergeCell ref="F28:I28"/>
    <mergeCell ref="L28:M28"/>
    <mergeCell ref="F29:I29"/>
    <mergeCell ref="L29:M29"/>
    <mergeCell ref="F30:I30"/>
    <mergeCell ref="L30:M30"/>
    <mergeCell ref="F31:I31"/>
    <mergeCell ref="L31:M31"/>
    <mergeCell ref="F32:I32"/>
    <mergeCell ref="L32:M32"/>
    <mergeCell ref="F33:I33"/>
    <mergeCell ref="L33:M33"/>
    <mergeCell ref="F34:I34"/>
    <mergeCell ref="L34:M34"/>
    <mergeCell ref="F35:I35"/>
    <mergeCell ref="L35:M35"/>
    <mergeCell ref="F36:I36"/>
    <mergeCell ref="L36:M36"/>
    <mergeCell ref="F37:I37"/>
    <mergeCell ref="L37:M37"/>
    <mergeCell ref="F38:I38"/>
    <mergeCell ref="L38:M38"/>
    <mergeCell ref="F39:I39"/>
    <mergeCell ref="L39:M39"/>
    <mergeCell ref="F40:I40"/>
    <mergeCell ref="L40:M40"/>
    <mergeCell ref="F41:I41"/>
    <mergeCell ref="L41:M41"/>
    <mergeCell ref="F42:I42"/>
    <mergeCell ref="L42:M42"/>
    <mergeCell ref="F43:I43"/>
    <mergeCell ref="L43:M43"/>
    <mergeCell ref="F44:I44"/>
    <mergeCell ref="L44:M44"/>
    <mergeCell ref="F45:I45"/>
    <mergeCell ref="L45:M45"/>
    <mergeCell ref="F46:I46"/>
    <mergeCell ref="L46:M46"/>
    <mergeCell ref="F47:I47"/>
    <mergeCell ref="L47:M47"/>
    <mergeCell ref="F48:I48"/>
    <mergeCell ref="L48:M48"/>
    <mergeCell ref="F49:I49"/>
    <mergeCell ref="L49:M49"/>
    <mergeCell ref="F52:I52"/>
    <mergeCell ref="L52:M52"/>
    <mergeCell ref="F60:I60"/>
    <mergeCell ref="L60:M60"/>
    <mergeCell ref="F55:I55"/>
    <mergeCell ref="L55:M55"/>
    <mergeCell ref="F56:I56"/>
    <mergeCell ref="L56:M56"/>
    <mergeCell ref="F58:I58"/>
    <mergeCell ref="L58:M58"/>
  </mergeCells>
  <pageMargins left="0.58333330000000005" right="0.58333330000000005" top="0.5" bottom="0.46666669999999999" header="0" footer="0"/>
  <pageSetup paperSize="9" scale="91" fitToHeight="100" orientation="portrait" blackAndWhite="1" r:id="rId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BJ84"/>
  <sheetViews>
    <sheetView showGridLines="0" view="pageBreakPreview" zoomScale="60" zoomScaleNormal="70" workbookViewId="0">
      <pane ySplit="1" topLeftCell="A2" activePane="bottomLeft" state="frozen"/>
      <selection pane="bottomLeft" activeCell="N16" sqref="N1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3" width="6" customWidth="1"/>
    <col min="14" max="14" width="19.5" customWidth="1"/>
    <col min="15" max="15" width="1.6640625" customWidth="1"/>
    <col min="16" max="16" width="12" customWidth="1"/>
    <col min="17" max="17" width="29.6640625" hidden="1" customWidth="1"/>
    <col min="18" max="18" width="16.33203125" hidden="1" customWidth="1"/>
    <col min="19" max="19" width="12.33203125" hidden="1" customWidth="1"/>
    <col min="20" max="20" width="16.33203125" hidden="1" customWidth="1"/>
    <col min="21" max="21" width="12.1640625" hidden="1" customWidth="1"/>
    <col min="22" max="22" width="15" hidden="1" customWidth="1"/>
    <col min="23" max="23" width="11" hidden="1" customWidth="1"/>
    <col min="24" max="24" width="15" hidden="1" customWidth="1"/>
    <col min="25" max="25" width="16.33203125" hidden="1" customWidth="1"/>
    <col min="26" max="26" width="13.6640625" customWidth="1"/>
    <col min="27" max="27" width="7.6640625" hidden="1" customWidth="1"/>
    <col min="28" max="28" width="16.33203125" hidden="1" customWidth="1"/>
    <col min="41" max="62" width="9.33203125" hidden="1"/>
  </cols>
  <sheetData>
    <row r="4" spans="2:60" s="1" customFormat="1" ht="6.95" customHeight="1"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2:60" s="1" customFormat="1" ht="36.950000000000003" customHeight="1">
      <c r="B5" s="15"/>
      <c r="C5" s="485" t="s">
        <v>134</v>
      </c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17"/>
    </row>
    <row r="6" spans="2:60" s="1" customFormat="1" ht="6.95" customHeight="1"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</row>
    <row r="7" spans="2:60" s="1" customFormat="1" ht="30" customHeight="1">
      <c r="B7" s="15"/>
      <c r="C7" s="14" t="s">
        <v>3</v>
      </c>
      <c r="D7" s="16"/>
      <c r="E7" s="16"/>
      <c r="F7" s="513"/>
      <c r="G7" s="516"/>
      <c r="H7" s="516"/>
      <c r="I7" s="516"/>
      <c r="J7" s="516"/>
      <c r="K7" s="516"/>
      <c r="L7" s="516"/>
      <c r="M7" s="516"/>
      <c r="N7" s="516"/>
      <c r="O7" s="17"/>
    </row>
    <row r="8" spans="2:60" s="1" customFormat="1" ht="36.950000000000003" customHeight="1">
      <c r="B8" s="15"/>
      <c r="C8" s="33" t="s">
        <v>121</v>
      </c>
      <c r="D8" s="16"/>
      <c r="E8" s="16"/>
      <c r="F8" s="487"/>
      <c r="G8" s="515"/>
      <c r="H8" s="515"/>
      <c r="I8" s="515"/>
      <c r="J8" s="515"/>
      <c r="K8" s="515"/>
      <c r="L8" s="515"/>
      <c r="M8" s="515"/>
      <c r="N8" s="515"/>
      <c r="O8" s="17"/>
    </row>
    <row r="9" spans="2:60" s="1" customFormat="1" ht="6.95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</row>
    <row r="10" spans="2:60" s="1" customFormat="1" ht="18" customHeight="1">
      <c r="B10" s="15"/>
      <c r="C10" s="14" t="s">
        <v>4</v>
      </c>
      <c r="D10" s="16"/>
      <c r="E10" s="16"/>
      <c r="F10" s="13"/>
      <c r="G10" s="16"/>
      <c r="H10" s="16"/>
      <c r="I10" s="16"/>
      <c r="J10" s="16"/>
      <c r="K10" s="14" t="s">
        <v>5</v>
      </c>
      <c r="L10" s="16"/>
      <c r="M10" s="514"/>
      <c r="N10" s="514"/>
      <c r="O10" s="17"/>
    </row>
    <row r="11" spans="2:60" s="1" customFormat="1" ht="6.95" customHeigh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</row>
    <row r="12" spans="2:60" s="1" customFormat="1" ht="15">
      <c r="B12" s="15"/>
      <c r="C12" s="14" t="s">
        <v>6</v>
      </c>
      <c r="D12" s="16"/>
      <c r="E12" s="16"/>
      <c r="F12" s="13"/>
      <c r="G12" s="16"/>
      <c r="H12" s="16"/>
      <c r="I12" s="16"/>
      <c r="J12" s="16"/>
      <c r="K12" s="14" t="s">
        <v>8</v>
      </c>
      <c r="L12" s="16"/>
      <c r="M12" s="510"/>
      <c r="N12" s="510"/>
      <c r="O12" s="17"/>
    </row>
    <row r="13" spans="2:60" s="1" customFormat="1" ht="14.45" customHeight="1">
      <c r="B13" s="15"/>
      <c r="C13" s="14" t="s">
        <v>7</v>
      </c>
      <c r="D13" s="16"/>
      <c r="E13" s="16"/>
      <c r="F13" s="13"/>
      <c r="G13" s="16"/>
      <c r="H13" s="16"/>
      <c r="I13" s="16"/>
      <c r="J13" s="16"/>
      <c r="K13" s="14" t="s">
        <v>9</v>
      </c>
      <c r="L13" s="16"/>
      <c r="M13" s="510"/>
      <c r="N13" s="510"/>
      <c r="O13" s="17"/>
    </row>
    <row r="14" spans="2:60" s="1" customFormat="1" ht="10.35" customHeight="1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</row>
    <row r="15" spans="2:60" s="6" customFormat="1" ht="29.25" customHeight="1">
      <c r="B15" s="75"/>
      <c r="C15" s="76" t="s">
        <v>135</v>
      </c>
      <c r="D15" s="77" t="s">
        <v>136</v>
      </c>
      <c r="E15" s="77" t="s">
        <v>14</v>
      </c>
      <c r="F15" s="511" t="s">
        <v>137</v>
      </c>
      <c r="G15" s="511"/>
      <c r="H15" s="511"/>
      <c r="I15" s="511"/>
      <c r="J15" s="77" t="s">
        <v>138</v>
      </c>
      <c r="K15" s="77" t="s">
        <v>139</v>
      </c>
      <c r="L15" s="521" t="s">
        <v>140</v>
      </c>
      <c r="M15" s="521"/>
      <c r="N15" s="125" t="s">
        <v>125</v>
      </c>
      <c r="O15" s="78"/>
      <c r="P15" s="6" t="s">
        <v>950</v>
      </c>
      <c r="Q15" s="39" t="s">
        <v>141</v>
      </c>
      <c r="R15" s="40" t="s">
        <v>10</v>
      </c>
      <c r="S15" s="40" t="s">
        <v>142</v>
      </c>
      <c r="T15" s="40" t="s">
        <v>143</v>
      </c>
      <c r="U15" s="40" t="s">
        <v>144</v>
      </c>
      <c r="V15" s="40" t="s">
        <v>145</v>
      </c>
      <c r="W15" s="40" t="s">
        <v>146</v>
      </c>
      <c r="X15" s="41" t="s">
        <v>147</v>
      </c>
      <c r="Z15" s="6" t="s">
        <v>136</v>
      </c>
    </row>
    <row r="16" spans="2:60" s="1" customFormat="1" ht="29.25" customHeight="1">
      <c r="B16" s="15"/>
      <c r="C16" s="43" t="s">
        <v>124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29">
        <f>BH16</f>
        <v>49101.179999999993</v>
      </c>
      <c r="O16" s="17"/>
      <c r="Q16" s="42"/>
      <c r="R16" s="19"/>
      <c r="S16" s="19"/>
      <c r="T16" s="79">
        <f>T17+T18+T35+T47+T65+T83</f>
        <v>0</v>
      </c>
      <c r="U16" s="19"/>
      <c r="V16" s="79">
        <f>V17+V18+V35+V47+V65+V83</f>
        <v>0</v>
      </c>
      <c r="W16" s="19"/>
      <c r="X16" s="80">
        <f>X17+X18+X35+X47+X65+X83</f>
        <v>0</v>
      </c>
      <c r="AA16" s="1">
        <v>1</v>
      </c>
      <c r="AQ16" s="9" t="s">
        <v>30</v>
      </c>
      <c r="AR16" s="9" t="s">
        <v>126</v>
      </c>
      <c r="BH16" s="81">
        <f>BH17+BH18+BH35+BH47+BH65+BH83</f>
        <v>49101.179999999993</v>
      </c>
    </row>
    <row r="17" spans="2:62" s="7" customFormat="1" ht="37.35" customHeight="1">
      <c r="B17" s="82"/>
      <c r="C17" s="83"/>
      <c r="D17" s="84" t="s">
        <v>130</v>
      </c>
      <c r="E17" s="84"/>
      <c r="F17" s="84"/>
      <c r="G17" s="84"/>
      <c r="H17" s="84"/>
      <c r="I17" s="84"/>
      <c r="J17" s="84"/>
      <c r="K17" s="84"/>
      <c r="L17" s="84"/>
      <c r="M17" s="84"/>
      <c r="N17" s="130">
        <f>BH17</f>
        <v>0</v>
      </c>
      <c r="O17" s="85"/>
      <c r="Q17" s="86"/>
      <c r="R17" s="83"/>
      <c r="S17" s="83"/>
      <c r="T17" s="87">
        <v>0</v>
      </c>
      <c r="U17" s="83"/>
      <c r="V17" s="87">
        <v>0</v>
      </c>
      <c r="W17" s="83"/>
      <c r="X17" s="88">
        <v>0</v>
      </c>
      <c r="AO17" s="89" t="s">
        <v>42</v>
      </c>
      <c r="AQ17" s="90" t="s">
        <v>30</v>
      </c>
      <c r="AR17" s="90" t="s">
        <v>31</v>
      </c>
      <c r="AV17" s="89" t="s">
        <v>148</v>
      </c>
      <c r="BH17" s="91">
        <v>0</v>
      </c>
    </row>
    <row r="18" spans="2:62" s="7" customFormat="1" ht="24.95" customHeight="1">
      <c r="B18" s="82"/>
      <c r="C18" s="83"/>
      <c r="D18" s="84" t="s">
        <v>893</v>
      </c>
      <c r="E18" s="84"/>
      <c r="F18" s="84"/>
      <c r="G18" s="84"/>
      <c r="H18" s="84"/>
      <c r="I18" s="84"/>
      <c r="J18" s="84"/>
      <c r="K18" s="84"/>
      <c r="L18" s="84"/>
      <c r="M18" s="84"/>
      <c r="N18" s="138">
        <f>BH18</f>
        <v>14581.9</v>
      </c>
      <c r="O18" s="85"/>
      <c r="Q18" s="86"/>
      <c r="R18" s="83"/>
      <c r="S18" s="83"/>
      <c r="T18" s="87">
        <f>SUM(T19:T34)</f>
        <v>0</v>
      </c>
      <c r="U18" s="83"/>
      <c r="V18" s="87">
        <f>SUM(V19:V34)</f>
        <v>0</v>
      </c>
      <c r="W18" s="83"/>
      <c r="X18" s="88">
        <f>SUM(X19:X34)</f>
        <v>0</v>
      </c>
      <c r="AO18" s="89" t="s">
        <v>38</v>
      </c>
      <c r="AQ18" s="90" t="s">
        <v>30</v>
      </c>
      <c r="AR18" s="90" t="s">
        <v>31</v>
      </c>
      <c r="AV18" s="89" t="s">
        <v>148</v>
      </c>
      <c r="BH18" s="91">
        <f>SUM(BH19:BH34)</f>
        <v>14581.9</v>
      </c>
    </row>
    <row r="19" spans="2:62" s="1" customFormat="1" ht="22.5" customHeight="1">
      <c r="B19" s="73"/>
      <c r="C19" s="93" t="s">
        <v>195</v>
      </c>
      <c r="D19" s="93" t="s">
        <v>149</v>
      </c>
      <c r="E19" s="94" t="s">
        <v>897</v>
      </c>
      <c r="F19" s="498" t="s">
        <v>898</v>
      </c>
      <c r="G19" s="498"/>
      <c r="H19" s="498"/>
      <c r="I19" s="498"/>
      <c r="J19" s="95" t="s">
        <v>0</v>
      </c>
      <c r="K19" s="96">
        <v>1</v>
      </c>
      <c r="L19" s="519">
        <v>40.25</v>
      </c>
      <c r="M19" s="519"/>
      <c r="N19" s="128">
        <f t="shared" ref="N19:N25" si="0">ROUND(L19*K19,3)</f>
        <v>40.25</v>
      </c>
      <c r="O19" s="74"/>
      <c r="P19" s="1" t="s">
        <v>1043</v>
      </c>
      <c r="Q19" s="98" t="s">
        <v>0</v>
      </c>
      <c r="R19" s="18" t="s">
        <v>11</v>
      </c>
      <c r="S19" s="16"/>
      <c r="T19" s="99">
        <f t="shared" ref="T19:T34" si="1">S19*K19</f>
        <v>0</v>
      </c>
      <c r="U19" s="99">
        <v>0</v>
      </c>
      <c r="V19" s="99">
        <f t="shared" ref="V19:V34" si="2">U19*K19</f>
        <v>0</v>
      </c>
      <c r="W19" s="99">
        <v>0</v>
      </c>
      <c r="X19" s="100">
        <f t="shared" ref="X19:X34" si="3">W19*K19</f>
        <v>0</v>
      </c>
      <c r="Z19" s="1" t="s">
        <v>1038</v>
      </c>
      <c r="AB19" s="1">
        <v>46</v>
      </c>
      <c r="AO19" s="9" t="s">
        <v>153</v>
      </c>
      <c r="AQ19" s="9" t="s">
        <v>149</v>
      </c>
      <c r="AR19" s="9" t="s">
        <v>38</v>
      </c>
      <c r="AV19" s="9" t="s">
        <v>148</v>
      </c>
      <c r="BB19" s="72">
        <f t="shared" ref="BB19:BB34" si="4">IF(R19="základná",N19,0)</f>
        <v>0</v>
      </c>
      <c r="BC19" s="72">
        <f t="shared" ref="BC19:BC34" si="5">IF(R19="znížená",N19,0)</f>
        <v>40.25</v>
      </c>
      <c r="BD19" s="72">
        <f t="shared" ref="BD19:BD34" si="6">IF(R19="zákl. prenesená",N19,0)</f>
        <v>0</v>
      </c>
      <c r="BE19" s="72">
        <f t="shared" ref="BE19:BE34" si="7">IF(R19="zníž. prenesená",N19,0)</f>
        <v>0</v>
      </c>
      <c r="BF19" s="72">
        <f t="shared" ref="BF19:BF34" si="8">IF(R19="nulová",N19,0)</f>
        <v>0</v>
      </c>
      <c r="BG19" s="9" t="s">
        <v>42</v>
      </c>
      <c r="BH19" s="101">
        <f t="shared" ref="BH19:BH34" si="9">ROUND(L19*K19,3)</f>
        <v>40.25</v>
      </c>
      <c r="BI19" s="9" t="s">
        <v>153</v>
      </c>
      <c r="BJ19" s="9" t="s">
        <v>174</v>
      </c>
    </row>
    <row r="20" spans="2:62" s="1" customFormat="1" ht="22.5" customHeight="1">
      <c r="B20" s="73"/>
      <c r="C20" s="93" t="s">
        <v>169</v>
      </c>
      <c r="D20" s="93" t="s">
        <v>149</v>
      </c>
      <c r="E20" s="94" t="s">
        <v>899</v>
      </c>
      <c r="F20" s="498" t="s">
        <v>900</v>
      </c>
      <c r="G20" s="498"/>
      <c r="H20" s="498"/>
      <c r="I20" s="498"/>
      <c r="J20" s="95" t="s">
        <v>0</v>
      </c>
      <c r="K20" s="96">
        <v>1</v>
      </c>
      <c r="L20" s="519">
        <v>133</v>
      </c>
      <c r="M20" s="519"/>
      <c r="N20" s="128">
        <f t="shared" si="0"/>
        <v>133</v>
      </c>
      <c r="O20" s="74"/>
      <c r="P20" s="1" t="s">
        <v>1043</v>
      </c>
      <c r="Q20" s="98" t="s">
        <v>0</v>
      </c>
      <c r="R20" s="18" t="s">
        <v>11</v>
      </c>
      <c r="S20" s="16"/>
      <c r="T20" s="99">
        <f t="shared" si="1"/>
        <v>0</v>
      </c>
      <c r="U20" s="99">
        <v>0</v>
      </c>
      <c r="V20" s="99">
        <f t="shared" si="2"/>
        <v>0</v>
      </c>
      <c r="W20" s="99">
        <v>0</v>
      </c>
      <c r="X20" s="100">
        <f t="shared" si="3"/>
        <v>0</v>
      </c>
      <c r="Z20" s="1" t="s">
        <v>1039</v>
      </c>
      <c r="AB20" s="1">
        <v>152</v>
      </c>
      <c r="AO20" s="9" t="s">
        <v>153</v>
      </c>
      <c r="AQ20" s="9" t="s">
        <v>149</v>
      </c>
      <c r="AR20" s="9" t="s">
        <v>38</v>
      </c>
      <c r="AV20" s="9" t="s">
        <v>148</v>
      </c>
      <c r="BB20" s="72">
        <f t="shared" si="4"/>
        <v>0</v>
      </c>
      <c r="BC20" s="72">
        <f t="shared" si="5"/>
        <v>133</v>
      </c>
      <c r="BD20" s="72">
        <f t="shared" si="6"/>
        <v>0</v>
      </c>
      <c r="BE20" s="72">
        <f t="shared" si="7"/>
        <v>0</v>
      </c>
      <c r="BF20" s="72">
        <f t="shared" si="8"/>
        <v>0</v>
      </c>
      <c r="BG20" s="9" t="s">
        <v>42</v>
      </c>
      <c r="BH20" s="101">
        <f t="shared" si="9"/>
        <v>133</v>
      </c>
      <c r="BI20" s="9" t="s">
        <v>153</v>
      </c>
      <c r="BJ20" s="9" t="s">
        <v>232</v>
      </c>
    </row>
    <row r="21" spans="2:62" s="1" customFormat="1" ht="22.5" customHeight="1">
      <c r="B21" s="73"/>
      <c r="C21" s="93" t="s">
        <v>191</v>
      </c>
      <c r="D21" s="93" t="s">
        <v>149</v>
      </c>
      <c r="E21" s="94" t="s">
        <v>901</v>
      </c>
      <c r="F21" s="498" t="s">
        <v>902</v>
      </c>
      <c r="G21" s="498"/>
      <c r="H21" s="498"/>
      <c r="I21" s="498"/>
      <c r="J21" s="95" t="s">
        <v>0</v>
      </c>
      <c r="K21" s="96">
        <v>1</v>
      </c>
      <c r="L21" s="519">
        <v>59.5</v>
      </c>
      <c r="M21" s="519"/>
      <c r="N21" s="128">
        <f t="shared" si="0"/>
        <v>59.5</v>
      </c>
      <c r="O21" s="74"/>
      <c r="P21" s="1" t="s">
        <v>1043</v>
      </c>
      <c r="Q21" s="98" t="s">
        <v>0</v>
      </c>
      <c r="R21" s="18" t="s">
        <v>11</v>
      </c>
      <c r="S21" s="16"/>
      <c r="T21" s="99">
        <f t="shared" si="1"/>
        <v>0</v>
      </c>
      <c r="U21" s="99">
        <v>0</v>
      </c>
      <c r="V21" s="99">
        <f t="shared" si="2"/>
        <v>0</v>
      </c>
      <c r="W21" s="99">
        <v>0</v>
      </c>
      <c r="X21" s="100">
        <f t="shared" si="3"/>
        <v>0</v>
      </c>
      <c r="Z21" s="1" t="s">
        <v>1040</v>
      </c>
      <c r="AB21" s="1">
        <v>68</v>
      </c>
      <c r="AO21" s="9" t="s">
        <v>153</v>
      </c>
      <c r="AQ21" s="9" t="s">
        <v>149</v>
      </c>
      <c r="AR21" s="9" t="s">
        <v>38</v>
      </c>
      <c r="AV21" s="9" t="s">
        <v>148</v>
      </c>
      <c r="BB21" s="72">
        <f t="shared" si="4"/>
        <v>0</v>
      </c>
      <c r="BC21" s="72">
        <f t="shared" si="5"/>
        <v>59.5</v>
      </c>
      <c r="BD21" s="72">
        <f t="shared" si="6"/>
        <v>0</v>
      </c>
      <c r="BE21" s="72">
        <f t="shared" si="7"/>
        <v>0</v>
      </c>
      <c r="BF21" s="72">
        <f t="shared" si="8"/>
        <v>0</v>
      </c>
      <c r="BG21" s="9" t="s">
        <v>42</v>
      </c>
      <c r="BH21" s="101">
        <f t="shared" si="9"/>
        <v>59.5</v>
      </c>
      <c r="BI21" s="9" t="s">
        <v>153</v>
      </c>
      <c r="BJ21" s="9" t="s">
        <v>226</v>
      </c>
    </row>
    <row r="22" spans="2:62" s="1" customFormat="1" ht="31.5" customHeight="1">
      <c r="B22" s="73"/>
      <c r="C22" s="93" t="s">
        <v>188</v>
      </c>
      <c r="D22" s="93" t="s">
        <v>149</v>
      </c>
      <c r="E22" s="94" t="s">
        <v>903</v>
      </c>
      <c r="F22" s="498" t="s">
        <v>904</v>
      </c>
      <c r="G22" s="498"/>
      <c r="H22" s="498"/>
      <c r="I22" s="498"/>
      <c r="J22" s="95" t="s">
        <v>0</v>
      </c>
      <c r="K22" s="96">
        <v>170</v>
      </c>
      <c r="L22" s="519">
        <v>7.35</v>
      </c>
      <c r="M22" s="519"/>
      <c r="N22" s="128">
        <f t="shared" si="0"/>
        <v>1249.5</v>
      </c>
      <c r="O22" s="74"/>
      <c r="P22" s="1" t="s">
        <v>1041</v>
      </c>
      <c r="Q22" s="98" t="s">
        <v>0</v>
      </c>
      <c r="R22" s="18" t="s">
        <v>11</v>
      </c>
      <c r="S22" s="16"/>
      <c r="T22" s="99">
        <f t="shared" si="1"/>
        <v>0</v>
      </c>
      <c r="U22" s="99">
        <v>0</v>
      </c>
      <c r="V22" s="99">
        <f t="shared" si="2"/>
        <v>0</v>
      </c>
      <c r="W22" s="99">
        <v>0</v>
      </c>
      <c r="X22" s="100">
        <f t="shared" si="3"/>
        <v>0</v>
      </c>
      <c r="Z22" s="1" t="s">
        <v>1042</v>
      </c>
      <c r="AB22" s="1">
        <v>8.4</v>
      </c>
      <c r="AO22" s="9" t="s">
        <v>153</v>
      </c>
      <c r="AQ22" s="9" t="s">
        <v>149</v>
      </c>
      <c r="AR22" s="9" t="s">
        <v>38</v>
      </c>
      <c r="AV22" s="9" t="s">
        <v>148</v>
      </c>
      <c r="BB22" s="72">
        <f t="shared" si="4"/>
        <v>0</v>
      </c>
      <c r="BC22" s="72">
        <f t="shared" si="5"/>
        <v>1249.5</v>
      </c>
      <c r="BD22" s="72">
        <f t="shared" si="6"/>
        <v>0</v>
      </c>
      <c r="BE22" s="72">
        <f t="shared" si="7"/>
        <v>0</v>
      </c>
      <c r="BF22" s="72">
        <f t="shared" si="8"/>
        <v>0</v>
      </c>
      <c r="BG22" s="9" t="s">
        <v>42</v>
      </c>
      <c r="BH22" s="101">
        <f t="shared" si="9"/>
        <v>1249.5</v>
      </c>
      <c r="BI22" s="9" t="s">
        <v>153</v>
      </c>
      <c r="BJ22" s="9" t="s">
        <v>220</v>
      </c>
    </row>
    <row r="23" spans="2:62" s="1" customFormat="1" ht="31.5" customHeight="1">
      <c r="B23" s="73"/>
      <c r="C23" s="93" t="s">
        <v>185</v>
      </c>
      <c r="D23" s="93" t="s">
        <v>149</v>
      </c>
      <c r="E23" s="94" t="s">
        <v>905</v>
      </c>
      <c r="F23" s="498" t="s">
        <v>906</v>
      </c>
      <c r="G23" s="498"/>
      <c r="H23" s="498"/>
      <c r="I23" s="498"/>
      <c r="J23" s="95" t="s">
        <v>0</v>
      </c>
      <c r="K23" s="96">
        <v>10</v>
      </c>
      <c r="L23" s="519">
        <v>6.83</v>
      </c>
      <c r="M23" s="519"/>
      <c r="N23" s="128">
        <f t="shared" si="0"/>
        <v>68.3</v>
      </c>
      <c r="O23" s="74"/>
      <c r="P23" s="1" t="s">
        <v>1043</v>
      </c>
      <c r="Q23" s="98" t="s">
        <v>0</v>
      </c>
      <c r="R23" s="18" t="s">
        <v>11</v>
      </c>
      <c r="S23" s="16"/>
      <c r="T23" s="99">
        <f t="shared" si="1"/>
        <v>0</v>
      </c>
      <c r="U23" s="99">
        <v>0</v>
      </c>
      <c r="V23" s="99">
        <f t="shared" si="2"/>
        <v>0</v>
      </c>
      <c r="W23" s="99">
        <v>0</v>
      </c>
      <c r="X23" s="100">
        <f t="shared" si="3"/>
        <v>0</v>
      </c>
      <c r="Z23" s="1" t="s">
        <v>1044</v>
      </c>
      <c r="AB23" s="1">
        <v>7.8</v>
      </c>
      <c r="AO23" s="9" t="s">
        <v>153</v>
      </c>
      <c r="AQ23" s="9" t="s">
        <v>149</v>
      </c>
      <c r="AR23" s="9" t="s">
        <v>38</v>
      </c>
      <c r="AV23" s="9" t="s">
        <v>148</v>
      </c>
      <c r="BB23" s="72">
        <f t="shared" si="4"/>
        <v>0</v>
      </c>
      <c r="BC23" s="72">
        <f t="shared" si="5"/>
        <v>68.3</v>
      </c>
      <c r="BD23" s="72">
        <f t="shared" si="6"/>
        <v>0</v>
      </c>
      <c r="BE23" s="72">
        <f t="shared" si="7"/>
        <v>0</v>
      </c>
      <c r="BF23" s="72">
        <f t="shared" si="8"/>
        <v>0</v>
      </c>
      <c r="BG23" s="9" t="s">
        <v>42</v>
      </c>
      <c r="BH23" s="101">
        <f t="shared" si="9"/>
        <v>68.3</v>
      </c>
      <c r="BI23" s="9" t="s">
        <v>153</v>
      </c>
      <c r="BJ23" s="9" t="s">
        <v>214</v>
      </c>
    </row>
    <row r="24" spans="2:62" s="1" customFormat="1" ht="31.5" customHeight="1">
      <c r="B24" s="73"/>
      <c r="C24" s="93" t="s">
        <v>181</v>
      </c>
      <c r="D24" s="93" t="s">
        <v>149</v>
      </c>
      <c r="E24" s="94" t="s">
        <v>907</v>
      </c>
      <c r="F24" s="498" t="s">
        <v>908</v>
      </c>
      <c r="G24" s="498"/>
      <c r="H24" s="498"/>
      <c r="I24" s="498"/>
      <c r="J24" s="95" t="s">
        <v>0</v>
      </c>
      <c r="K24" s="96">
        <v>75</v>
      </c>
      <c r="L24" s="519">
        <v>12.78</v>
      </c>
      <c r="M24" s="519"/>
      <c r="N24" s="128">
        <f t="shared" si="0"/>
        <v>958.5</v>
      </c>
      <c r="O24" s="74"/>
      <c r="P24" s="1" t="s">
        <v>1043</v>
      </c>
      <c r="Q24" s="98" t="s">
        <v>0</v>
      </c>
      <c r="R24" s="18" t="s">
        <v>11</v>
      </c>
      <c r="S24" s="112"/>
      <c r="T24" s="99">
        <f t="shared" si="1"/>
        <v>0</v>
      </c>
      <c r="U24" s="99">
        <v>0</v>
      </c>
      <c r="V24" s="99">
        <f t="shared" si="2"/>
        <v>0</v>
      </c>
      <c r="W24" s="99">
        <v>0</v>
      </c>
      <c r="X24" s="100">
        <f t="shared" si="3"/>
        <v>0</v>
      </c>
      <c r="Z24" s="1" t="s">
        <v>1045</v>
      </c>
      <c r="AB24" s="1">
        <v>14.6</v>
      </c>
      <c r="AO24" s="9" t="s">
        <v>153</v>
      </c>
      <c r="AQ24" s="9" t="s">
        <v>149</v>
      </c>
      <c r="AR24" s="9" t="s">
        <v>38</v>
      </c>
      <c r="AV24" s="9" t="s">
        <v>148</v>
      </c>
      <c r="BB24" s="72">
        <f t="shared" si="4"/>
        <v>0</v>
      </c>
      <c r="BC24" s="72">
        <f t="shared" si="5"/>
        <v>958.5</v>
      </c>
      <c r="BD24" s="72">
        <f t="shared" si="6"/>
        <v>0</v>
      </c>
      <c r="BE24" s="72">
        <f t="shared" si="7"/>
        <v>0</v>
      </c>
      <c r="BF24" s="72">
        <f t="shared" si="8"/>
        <v>0</v>
      </c>
      <c r="BG24" s="9" t="s">
        <v>42</v>
      </c>
      <c r="BH24" s="101">
        <f t="shared" si="9"/>
        <v>958.5</v>
      </c>
      <c r="BI24" s="9" t="s">
        <v>153</v>
      </c>
      <c r="BJ24" s="9" t="s">
        <v>208</v>
      </c>
    </row>
    <row r="25" spans="2:62" s="1" customFormat="1" ht="22.5" customHeight="1">
      <c r="B25" s="73"/>
      <c r="C25" s="93" t="s">
        <v>175</v>
      </c>
      <c r="D25" s="93" t="s">
        <v>149</v>
      </c>
      <c r="E25" s="94" t="s">
        <v>909</v>
      </c>
      <c r="F25" s="498" t="s">
        <v>910</v>
      </c>
      <c r="G25" s="498"/>
      <c r="H25" s="498"/>
      <c r="I25" s="498"/>
      <c r="J25" s="95" t="s">
        <v>0</v>
      </c>
      <c r="K25" s="96">
        <v>1</v>
      </c>
      <c r="L25" s="519">
        <v>9.2799999999999994</v>
      </c>
      <c r="M25" s="519"/>
      <c r="N25" s="128">
        <f t="shared" si="0"/>
        <v>9.2799999999999994</v>
      </c>
      <c r="O25" s="74"/>
      <c r="P25" s="1" t="s">
        <v>1047</v>
      </c>
      <c r="Q25" s="98" t="s">
        <v>0</v>
      </c>
      <c r="R25" s="18" t="s">
        <v>11</v>
      </c>
      <c r="S25" s="16"/>
      <c r="T25" s="99">
        <f t="shared" si="1"/>
        <v>0</v>
      </c>
      <c r="U25" s="99">
        <v>0</v>
      </c>
      <c r="V25" s="99">
        <f t="shared" si="2"/>
        <v>0</v>
      </c>
      <c r="W25" s="99">
        <v>0</v>
      </c>
      <c r="X25" s="100">
        <f t="shared" si="3"/>
        <v>0</v>
      </c>
      <c r="Z25" s="1" t="s">
        <v>1046</v>
      </c>
      <c r="AB25" s="1">
        <v>10.6</v>
      </c>
      <c r="AO25" s="9" t="s">
        <v>153</v>
      </c>
      <c r="AQ25" s="9" t="s">
        <v>149</v>
      </c>
      <c r="AR25" s="9" t="s">
        <v>38</v>
      </c>
      <c r="AV25" s="9" t="s">
        <v>148</v>
      </c>
      <c r="BB25" s="72">
        <f t="shared" si="4"/>
        <v>0</v>
      </c>
      <c r="BC25" s="72">
        <f t="shared" si="5"/>
        <v>9.2799999999999994</v>
      </c>
      <c r="BD25" s="72">
        <f t="shared" si="6"/>
        <v>0</v>
      </c>
      <c r="BE25" s="72">
        <f t="shared" si="7"/>
        <v>0</v>
      </c>
      <c r="BF25" s="72">
        <f t="shared" si="8"/>
        <v>0</v>
      </c>
      <c r="BG25" s="9" t="s">
        <v>42</v>
      </c>
      <c r="BH25" s="101">
        <f t="shared" si="9"/>
        <v>9.2799999999999994</v>
      </c>
      <c r="BI25" s="9" t="s">
        <v>153</v>
      </c>
      <c r="BJ25" s="9" t="s">
        <v>1</v>
      </c>
    </row>
    <row r="26" spans="2:62" s="1" customFormat="1" ht="22.5" customHeight="1">
      <c r="B26" s="73"/>
      <c r="C26" s="93" t="s">
        <v>170</v>
      </c>
      <c r="D26" s="93" t="s">
        <v>149</v>
      </c>
      <c r="E26" s="94" t="s">
        <v>911</v>
      </c>
      <c r="F26" s="498" t="s">
        <v>912</v>
      </c>
      <c r="G26" s="498"/>
      <c r="H26" s="498"/>
      <c r="I26" s="498"/>
      <c r="J26" s="95" t="s">
        <v>0</v>
      </c>
      <c r="K26" s="96">
        <v>1</v>
      </c>
      <c r="L26" s="519">
        <v>9.2799999999999994</v>
      </c>
      <c r="M26" s="519"/>
      <c r="N26" s="128">
        <f t="shared" ref="N26:N34" si="10">ROUND(L26*K26,3)</f>
        <v>9.2799999999999994</v>
      </c>
      <c r="O26" s="74"/>
      <c r="P26" s="1" t="s">
        <v>1047</v>
      </c>
      <c r="Q26" s="98" t="s">
        <v>0</v>
      </c>
      <c r="R26" s="18" t="s">
        <v>11</v>
      </c>
      <c r="S26" s="16"/>
      <c r="T26" s="99">
        <f t="shared" si="1"/>
        <v>0</v>
      </c>
      <c r="U26" s="99">
        <v>0</v>
      </c>
      <c r="V26" s="99">
        <f t="shared" si="2"/>
        <v>0</v>
      </c>
      <c r="W26" s="99">
        <v>0</v>
      </c>
      <c r="X26" s="100">
        <f t="shared" si="3"/>
        <v>0</v>
      </c>
      <c r="Z26" s="1" t="s">
        <v>1048</v>
      </c>
      <c r="AB26" s="1">
        <v>10.6</v>
      </c>
      <c r="AO26" s="9" t="s">
        <v>153</v>
      </c>
      <c r="AQ26" s="9" t="s">
        <v>149</v>
      </c>
      <c r="AR26" s="9" t="s">
        <v>38</v>
      </c>
      <c r="AV26" s="9" t="s">
        <v>148</v>
      </c>
      <c r="BB26" s="72">
        <f t="shared" si="4"/>
        <v>0</v>
      </c>
      <c r="BC26" s="72">
        <f t="shared" si="5"/>
        <v>9.2799999999999994</v>
      </c>
      <c r="BD26" s="72">
        <f t="shared" si="6"/>
        <v>0</v>
      </c>
      <c r="BE26" s="72">
        <f t="shared" si="7"/>
        <v>0</v>
      </c>
      <c r="BF26" s="72">
        <f t="shared" si="8"/>
        <v>0</v>
      </c>
      <c r="BG26" s="9" t="s">
        <v>42</v>
      </c>
      <c r="BH26" s="101">
        <f t="shared" si="9"/>
        <v>9.2799999999999994</v>
      </c>
      <c r="BI26" s="9" t="s">
        <v>153</v>
      </c>
      <c r="BJ26" s="9" t="s">
        <v>199</v>
      </c>
    </row>
    <row r="27" spans="2:62" s="1" customFormat="1" ht="31.5" customHeight="1">
      <c r="B27" s="73"/>
      <c r="C27" s="93" t="s">
        <v>165</v>
      </c>
      <c r="D27" s="93" t="s">
        <v>149</v>
      </c>
      <c r="E27" s="94" t="s">
        <v>913</v>
      </c>
      <c r="F27" s="498" t="s">
        <v>914</v>
      </c>
      <c r="G27" s="498"/>
      <c r="H27" s="498"/>
      <c r="I27" s="498"/>
      <c r="J27" s="95" t="s">
        <v>0</v>
      </c>
      <c r="K27" s="96">
        <v>6</v>
      </c>
      <c r="L27" s="519">
        <v>15.75</v>
      </c>
      <c r="M27" s="519"/>
      <c r="N27" s="128">
        <f t="shared" si="10"/>
        <v>94.5</v>
      </c>
      <c r="O27" s="74"/>
      <c r="P27" s="1" t="s">
        <v>1049</v>
      </c>
      <c r="Q27" s="98" t="s">
        <v>0</v>
      </c>
      <c r="R27" s="18" t="s">
        <v>11</v>
      </c>
      <c r="S27" s="16"/>
      <c r="T27" s="99">
        <f t="shared" si="1"/>
        <v>0</v>
      </c>
      <c r="U27" s="99">
        <v>0</v>
      </c>
      <c r="V27" s="99">
        <f t="shared" si="2"/>
        <v>0</v>
      </c>
      <c r="W27" s="99">
        <v>0</v>
      </c>
      <c r="X27" s="100">
        <f t="shared" si="3"/>
        <v>0</v>
      </c>
      <c r="Z27" s="1" t="s">
        <v>1050</v>
      </c>
      <c r="AB27" s="1">
        <v>18</v>
      </c>
      <c r="AO27" s="9" t="s">
        <v>153</v>
      </c>
      <c r="AQ27" s="9" t="s">
        <v>149</v>
      </c>
      <c r="AR27" s="9" t="s">
        <v>38</v>
      </c>
      <c r="AV27" s="9" t="s">
        <v>148</v>
      </c>
      <c r="BB27" s="72">
        <f t="shared" si="4"/>
        <v>0</v>
      </c>
      <c r="BC27" s="72">
        <f t="shared" si="5"/>
        <v>94.5</v>
      </c>
      <c r="BD27" s="72">
        <f t="shared" si="6"/>
        <v>0</v>
      </c>
      <c r="BE27" s="72">
        <f t="shared" si="7"/>
        <v>0</v>
      </c>
      <c r="BF27" s="72">
        <f t="shared" si="8"/>
        <v>0</v>
      </c>
      <c r="BG27" s="9" t="s">
        <v>42</v>
      </c>
      <c r="BH27" s="101">
        <f t="shared" si="9"/>
        <v>94.5</v>
      </c>
      <c r="BI27" s="9" t="s">
        <v>153</v>
      </c>
      <c r="BJ27" s="9" t="s">
        <v>169</v>
      </c>
    </row>
    <row r="28" spans="2:62" s="1" customFormat="1" ht="31.5" customHeight="1">
      <c r="B28" s="73"/>
      <c r="C28" s="93" t="s">
        <v>162</v>
      </c>
      <c r="D28" s="93" t="s">
        <v>149</v>
      </c>
      <c r="E28" s="94" t="s">
        <v>915</v>
      </c>
      <c r="F28" s="498" t="s">
        <v>916</v>
      </c>
      <c r="G28" s="498"/>
      <c r="H28" s="498"/>
      <c r="I28" s="498"/>
      <c r="J28" s="95" t="s">
        <v>0</v>
      </c>
      <c r="K28" s="96">
        <v>2</v>
      </c>
      <c r="L28" s="519">
        <v>22.75</v>
      </c>
      <c r="M28" s="519"/>
      <c r="N28" s="128">
        <f t="shared" si="10"/>
        <v>45.5</v>
      </c>
      <c r="O28" s="74"/>
      <c r="P28" s="1" t="s">
        <v>1049</v>
      </c>
      <c r="Q28" s="98" t="s">
        <v>0</v>
      </c>
      <c r="R28" s="18" t="s">
        <v>11</v>
      </c>
      <c r="S28" s="112"/>
      <c r="T28" s="99">
        <f t="shared" si="1"/>
        <v>0</v>
      </c>
      <c r="U28" s="99">
        <v>0</v>
      </c>
      <c r="V28" s="99">
        <f t="shared" si="2"/>
        <v>0</v>
      </c>
      <c r="W28" s="99">
        <v>0</v>
      </c>
      <c r="X28" s="100">
        <f t="shared" si="3"/>
        <v>0</v>
      </c>
      <c r="Z28" s="1" t="s">
        <v>1050</v>
      </c>
      <c r="AB28" s="1">
        <v>26</v>
      </c>
      <c r="AO28" s="9" t="s">
        <v>153</v>
      </c>
      <c r="AQ28" s="9" t="s">
        <v>149</v>
      </c>
      <c r="AR28" s="9" t="s">
        <v>38</v>
      </c>
      <c r="AV28" s="9" t="s">
        <v>148</v>
      </c>
      <c r="BB28" s="72">
        <f t="shared" si="4"/>
        <v>0</v>
      </c>
      <c r="BC28" s="72">
        <f t="shared" si="5"/>
        <v>45.5</v>
      </c>
      <c r="BD28" s="72">
        <f t="shared" si="6"/>
        <v>0</v>
      </c>
      <c r="BE28" s="72">
        <f t="shared" si="7"/>
        <v>0</v>
      </c>
      <c r="BF28" s="72">
        <f t="shared" si="8"/>
        <v>0</v>
      </c>
      <c r="BG28" s="9" t="s">
        <v>42</v>
      </c>
      <c r="BH28" s="101">
        <f t="shared" si="9"/>
        <v>45.5</v>
      </c>
      <c r="BI28" s="9" t="s">
        <v>153</v>
      </c>
      <c r="BJ28" s="9" t="s">
        <v>188</v>
      </c>
    </row>
    <row r="29" spans="2:62" s="1" customFormat="1" ht="31.5" customHeight="1">
      <c r="B29" s="73"/>
      <c r="C29" s="93" t="s">
        <v>159</v>
      </c>
      <c r="D29" s="93" t="s">
        <v>149</v>
      </c>
      <c r="E29" s="94" t="s">
        <v>917</v>
      </c>
      <c r="F29" s="498" t="s">
        <v>918</v>
      </c>
      <c r="G29" s="498"/>
      <c r="H29" s="498"/>
      <c r="I29" s="498"/>
      <c r="J29" s="95" t="s">
        <v>0</v>
      </c>
      <c r="K29" s="96">
        <v>2</v>
      </c>
      <c r="L29" s="519">
        <v>70</v>
      </c>
      <c r="M29" s="519"/>
      <c r="N29" s="128">
        <f t="shared" si="10"/>
        <v>140</v>
      </c>
      <c r="O29" s="74"/>
      <c r="P29" s="1" t="s">
        <v>1047</v>
      </c>
      <c r="Q29" s="98" t="s">
        <v>0</v>
      </c>
      <c r="R29" s="18" t="s">
        <v>11</v>
      </c>
      <c r="S29" s="16"/>
      <c r="T29" s="99">
        <f t="shared" si="1"/>
        <v>0</v>
      </c>
      <c r="U29" s="99">
        <v>0</v>
      </c>
      <c r="V29" s="99">
        <f t="shared" si="2"/>
        <v>0</v>
      </c>
      <c r="W29" s="99">
        <v>0</v>
      </c>
      <c r="X29" s="100">
        <f t="shared" si="3"/>
        <v>0</v>
      </c>
      <c r="Z29" s="1" t="s">
        <v>1052</v>
      </c>
      <c r="AB29" s="1">
        <v>80</v>
      </c>
      <c r="AO29" s="9" t="s">
        <v>153</v>
      </c>
      <c r="AQ29" s="9" t="s">
        <v>149</v>
      </c>
      <c r="AR29" s="9" t="s">
        <v>38</v>
      </c>
      <c r="AV29" s="9" t="s">
        <v>148</v>
      </c>
      <c r="BB29" s="72">
        <f t="shared" si="4"/>
        <v>0</v>
      </c>
      <c r="BC29" s="72">
        <f t="shared" si="5"/>
        <v>140</v>
      </c>
      <c r="BD29" s="72">
        <f t="shared" si="6"/>
        <v>0</v>
      </c>
      <c r="BE29" s="72">
        <f t="shared" si="7"/>
        <v>0</v>
      </c>
      <c r="BF29" s="72">
        <f t="shared" si="8"/>
        <v>0</v>
      </c>
      <c r="BG29" s="9" t="s">
        <v>42</v>
      </c>
      <c r="BH29" s="101">
        <f t="shared" si="9"/>
        <v>140</v>
      </c>
      <c r="BI29" s="9" t="s">
        <v>153</v>
      </c>
      <c r="BJ29" s="9" t="s">
        <v>181</v>
      </c>
    </row>
    <row r="30" spans="2:62" s="1" customFormat="1" ht="22.5" customHeight="1">
      <c r="B30" s="73"/>
      <c r="C30" s="93" t="s">
        <v>156</v>
      </c>
      <c r="D30" s="93" t="s">
        <v>149</v>
      </c>
      <c r="E30" s="94" t="s">
        <v>919</v>
      </c>
      <c r="F30" s="498" t="s">
        <v>920</v>
      </c>
      <c r="G30" s="498"/>
      <c r="H30" s="498"/>
      <c r="I30" s="498"/>
      <c r="J30" s="95" t="s">
        <v>0</v>
      </c>
      <c r="K30" s="96">
        <v>2</v>
      </c>
      <c r="L30" s="519">
        <v>68.25</v>
      </c>
      <c r="M30" s="519"/>
      <c r="N30" s="128">
        <f t="shared" si="10"/>
        <v>136.5</v>
      </c>
      <c r="O30" s="74"/>
      <c r="P30" s="1" t="s">
        <v>1047</v>
      </c>
      <c r="Q30" s="98" t="s">
        <v>0</v>
      </c>
      <c r="R30" s="18" t="s">
        <v>11</v>
      </c>
      <c r="S30" s="16"/>
      <c r="T30" s="99">
        <f t="shared" si="1"/>
        <v>0</v>
      </c>
      <c r="U30" s="99">
        <v>0</v>
      </c>
      <c r="V30" s="99">
        <f t="shared" si="2"/>
        <v>0</v>
      </c>
      <c r="W30" s="99">
        <v>0</v>
      </c>
      <c r="X30" s="100">
        <f t="shared" si="3"/>
        <v>0</v>
      </c>
      <c r="Z30" s="1" t="s">
        <v>1051</v>
      </c>
      <c r="AB30" s="1">
        <v>78</v>
      </c>
      <c r="AO30" s="9" t="s">
        <v>153</v>
      </c>
      <c r="AQ30" s="9" t="s">
        <v>149</v>
      </c>
      <c r="AR30" s="9" t="s">
        <v>38</v>
      </c>
      <c r="AV30" s="9" t="s">
        <v>148</v>
      </c>
      <c r="BB30" s="72">
        <f t="shared" si="4"/>
        <v>0</v>
      </c>
      <c r="BC30" s="72">
        <f t="shared" si="5"/>
        <v>136.5</v>
      </c>
      <c r="BD30" s="72">
        <f t="shared" si="6"/>
        <v>0</v>
      </c>
      <c r="BE30" s="72">
        <f t="shared" si="7"/>
        <v>0</v>
      </c>
      <c r="BF30" s="72">
        <f t="shared" si="8"/>
        <v>0</v>
      </c>
      <c r="BG30" s="9" t="s">
        <v>42</v>
      </c>
      <c r="BH30" s="101">
        <f t="shared" si="9"/>
        <v>136.5</v>
      </c>
      <c r="BI30" s="9" t="s">
        <v>153</v>
      </c>
      <c r="BJ30" s="9" t="s">
        <v>175</v>
      </c>
    </row>
    <row r="31" spans="2:62" s="1" customFormat="1" ht="22.5" customHeight="1">
      <c r="B31" s="73"/>
      <c r="C31" s="93" t="s">
        <v>153</v>
      </c>
      <c r="D31" s="93" t="s">
        <v>149</v>
      </c>
      <c r="E31" s="94" t="s">
        <v>921</v>
      </c>
      <c r="F31" s="498" t="s">
        <v>922</v>
      </c>
      <c r="G31" s="498"/>
      <c r="H31" s="498"/>
      <c r="I31" s="498"/>
      <c r="J31" s="95" t="s">
        <v>0</v>
      </c>
      <c r="K31" s="96">
        <v>2</v>
      </c>
      <c r="L31" s="519">
        <v>166.25</v>
      </c>
      <c r="M31" s="519"/>
      <c r="N31" s="128">
        <f t="shared" si="10"/>
        <v>332.5</v>
      </c>
      <c r="O31" s="74"/>
      <c r="P31" s="1" t="s">
        <v>1049</v>
      </c>
      <c r="Q31" s="98" t="s">
        <v>0</v>
      </c>
      <c r="R31" s="18" t="s">
        <v>11</v>
      </c>
      <c r="S31" s="16"/>
      <c r="T31" s="99">
        <f t="shared" si="1"/>
        <v>0</v>
      </c>
      <c r="U31" s="99">
        <v>0</v>
      </c>
      <c r="V31" s="99">
        <f t="shared" si="2"/>
        <v>0</v>
      </c>
      <c r="W31" s="99">
        <v>0</v>
      </c>
      <c r="X31" s="100">
        <f t="shared" si="3"/>
        <v>0</v>
      </c>
      <c r="Z31" s="1" t="s">
        <v>1053</v>
      </c>
      <c r="AB31" s="1">
        <v>190</v>
      </c>
      <c r="AO31" s="9" t="s">
        <v>153</v>
      </c>
      <c r="AQ31" s="9" t="s">
        <v>149</v>
      </c>
      <c r="AR31" s="9" t="s">
        <v>38</v>
      </c>
      <c r="AV31" s="9" t="s">
        <v>148</v>
      </c>
      <c r="BB31" s="72">
        <f t="shared" si="4"/>
        <v>0</v>
      </c>
      <c r="BC31" s="72">
        <f t="shared" si="5"/>
        <v>332.5</v>
      </c>
      <c r="BD31" s="72">
        <f t="shared" si="6"/>
        <v>0</v>
      </c>
      <c r="BE31" s="72">
        <f t="shared" si="7"/>
        <v>0</v>
      </c>
      <c r="BF31" s="72">
        <f t="shared" si="8"/>
        <v>0</v>
      </c>
      <c r="BG31" s="9" t="s">
        <v>42</v>
      </c>
      <c r="BH31" s="101">
        <f t="shared" si="9"/>
        <v>332.5</v>
      </c>
      <c r="BI31" s="9" t="s">
        <v>153</v>
      </c>
      <c r="BJ31" s="9" t="s">
        <v>165</v>
      </c>
    </row>
    <row r="32" spans="2:62" s="1" customFormat="1" ht="22.5" customHeight="1">
      <c r="B32" s="73"/>
      <c r="C32" s="93" t="s">
        <v>105</v>
      </c>
      <c r="D32" s="93" t="s">
        <v>149</v>
      </c>
      <c r="E32" s="94" t="s">
        <v>923</v>
      </c>
      <c r="F32" s="498" t="s">
        <v>924</v>
      </c>
      <c r="G32" s="498"/>
      <c r="H32" s="498"/>
      <c r="I32" s="498"/>
      <c r="J32" s="95" t="s">
        <v>0</v>
      </c>
      <c r="K32" s="96">
        <v>4</v>
      </c>
      <c r="L32" s="519">
        <v>12.73</v>
      </c>
      <c r="M32" s="519"/>
      <c r="N32" s="128">
        <f t="shared" si="10"/>
        <v>50.92</v>
      </c>
      <c r="O32" s="74"/>
      <c r="P32" s="1" t="s">
        <v>1049</v>
      </c>
      <c r="Q32" s="98" t="s">
        <v>0</v>
      </c>
      <c r="R32" s="18" t="s">
        <v>11</v>
      </c>
      <c r="S32" s="16"/>
      <c r="T32" s="99">
        <f t="shared" si="1"/>
        <v>0</v>
      </c>
      <c r="U32" s="99">
        <v>0</v>
      </c>
      <c r="V32" s="99">
        <f t="shared" si="2"/>
        <v>0</v>
      </c>
      <c r="W32" s="99">
        <v>0</v>
      </c>
      <c r="X32" s="100">
        <f t="shared" si="3"/>
        <v>0</v>
      </c>
      <c r="Z32" s="1" t="s">
        <v>1054</v>
      </c>
      <c r="AB32" s="1">
        <v>14.55</v>
      </c>
      <c r="AO32" s="9" t="s">
        <v>153</v>
      </c>
      <c r="AQ32" s="9" t="s">
        <v>149</v>
      </c>
      <c r="AR32" s="9" t="s">
        <v>38</v>
      </c>
      <c r="AV32" s="9" t="s">
        <v>148</v>
      </c>
      <c r="BB32" s="72">
        <f t="shared" si="4"/>
        <v>0</v>
      </c>
      <c r="BC32" s="72">
        <f t="shared" si="5"/>
        <v>50.92</v>
      </c>
      <c r="BD32" s="72">
        <f t="shared" si="6"/>
        <v>0</v>
      </c>
      <c r="BE32" s="72">
        <f t="shared" si="7"/>
        <v>0</v>
      </c>
      <c r="BF32" s="72">
        <f t="shared" si="8"/>
        <v>0</v>
      </c>
      <c r="BG32" s="9" t="s">
        <v>42</v>
      </c>
      <c r="BH32" s="101">
        <f t="shared" si="9"/>
        <v>50.92</v>
      </c>
      <c r="BI32" s="9" t="s">
        <v>153</v>
      </c>
      <c r="BJ32" s="9" t="s">
        <v>159</v>
      </c>
    </row>
    <row r="33" spans="2:62" s="1" customFormat="1" ht="22.5" customHeight="1">
      <c r="B33" s="73"/>
      <c r="C33" s="93" t="s">
        <v>42</v>
      </c>
      <c r="D33" s="93" t="s">
        <v>149</v>
      </c>
      <c r="E33" s="94" t="s">
        <v>925</v>
      </c>
      <c r="F33" s="498" t="s">
        <v>926</v>
      </c>
      <c r="G33" s="498"/>
      <c r="H33" s="498"/>
      <c r="I33" s="498"/>
      <c r="J33" s="95" t="s">
        <v>0</v>
      </c>
      <c r="K33" s="96">
        <v>2</v>
      </c>
      <c r="L33" s="519">
        <v>16.36</v>
      </c>
      <c r="M33" s="519"/>
      <c r="N33" s="128">
        <f t="shared" si="10"/>
        <v>32.72</v>
      </c>
      <c r="O33" s="74"/>
      <c r="P33" s="1" t="s">
        <v>1049</v>
      </c>
      <c r="Q33" s="98" t="s">
        <v>0</v>
      </c>
      <c r="R33" s="18" t="s">
        <v>11</v>
      </c>
      <c r="S33" s="16"/>
      <c r="T33" s="99">
        <f t="shared" si="1"/>
        <v>0</v>
      </c>
      <c r="U33" s="99">
        <v>0</v>
      </c>
      <c r="V33" s="99">
        <f t="shared" si="2"/>
        <v>0</v>
      </c>
      <c r="W33" s="99">
        <v>0</v>
      </c>
      <c r="X33" s="100">
        <f t="shared" si="3"/>
        <v>0</v>
      </c>
      <c r="Z33" s="1" t="s">
        <v>1055</v>
      </c>
      <c r="AB33" s="1">
        <v>18.7</v>
      </c>
      <c r="AO33" s="9" t="s">
        <v>153</v>
      </c>
      <c r="AQ33" s="9" t="s">
        <v>149</v>
      </c>
      <c r="AR33" s="9" t="s">
        <v>38</v>
      </c>
      <c r="AV33" s="9" t="s">
        <v>148</v>
      </c>
      <c r="BB33" s="72">
        <f t="shared" si="4"/>
        <v>0</v>
      </c>
      <c r="BC33" s="72">
        <f t="shared" si="5"/>
        <v>32.72</v>
      </c>
      <c r="BD33" s="72">
        <f t="shared" si="6"/>
        <v>0</v>
      </c>
      <c r="BE33" s="72">
        <f t="shared" si="7"/>
        <v>0</v>
      </c>
      <c r="BF33" s="72">
        <f t="shared" si="8"/>
        <v>0</v>
      </c>
      <c r="BG33" s="9" t="s">
        <v>42</v>
      </c>
      <c r="BH33" s="101">
        <f t="shared" si="9"/>
        <v>32.72</v>
      </c>
      <c r="BI33" s="9" t="s">
        <v>153</v>
      </c>
      <c r="BJ33" s="9" t="s">
        <v>153</v>
      </c>
    </row>
    <row r="34" spans="2:62" s="1" customFormat="1" ht="22.5" customHeight="1">
      <c r="B34" s="73"/>
      <c r="C34" s="93" t="s">
        <v>38</v>
      </c>
      <c r="D34" s="93" t="s">
        <v>149</v>
      </c>
      <c r="E34" s="94" t="s">
        <v>927</v>
      </c>
      <c r="F34" s="498" t="s">
        <v>928</v>
      </c>
      <c r="G34" s="498"/>
      <c r="H34" s="498"/>
      <c r="I34" s="498"/>
      <c r="J34" s="95" t="s">
        <v>0</v>
      </c>
      <c r="K34" s="96">
        <v>1</v>
      </c>
      <c r="L34" s="519">
        <v>11221.65</v>
      </c>
      <c r="M34" s="519"/>
      <c r="N34" s="128">
        <f t="shared" si="10"/>
        <v>11221.65</v>
      </c>
      <c r="O34" s="74"/>
      <c r="P34" s="1" t="s">
        <v>1049</v>
      </c>
      <c r="Q34" s="98" t="s">
        <v>0</v>
      </c>
      <c r="R34" s="18" t="s">
        <v>11</v>
      </c>
      <c r="S34" s="16"/>
      <c r="T34" s="99">
        <f t="shared" si="1"/>
        <v>0</v>
      </c>
      <c r="U34" s="99">
        <v>0</v>
      </c>
      <c r="V34" s="99">
        <f t="shared" si="2"/>
        <v>0</v>
      </c>
      <c r="W34" s="99">
        <v>0</v>
      </c>
      <c r="X34" s="100">
        <f t="shared" si="3"/>
        <v>0</v>
      </c>
      <c r="Z34" s="1" t="s">
        <v>1056</v>
      </c>
      <c r="AB34" s="1">
        <v>12845</v>
      </c>
      <c r="AO34" s="9" t="s">
        <v>153</v>
      </c>
      <c r="AQ34" s="9" t="s">
        <v>149</v>
      </c>
      <c r="AR34" s="9" t="s">
        <v>38</v>
      </c>
      <c r="AV34" s="9" t="s">
        <v>148</v>
      </c>
      <c r="BB34" s="72">
        <f t="shared" si="4"/>
        <v>0</v>
      </c>
      <c r="BC34" s="72">
        <f t="shared" si="5"/>
        <v>11221.65</v>
      </c>
      <c r="BD34" s="72">
        <f t="shared" si="6"/>
        <v>0</v>
      </c>
      <c r="BE34" s="72">
        <f t="shared" si="7"/>
        <v>0</v>
      </c>
      <c r="BF34" s="72">
        <f t="shared" si="8"/>
        <v>0</v>
      </c>
      <c r="BG34" s="9" t="s">
        <v>42</v>
      </c>
      <c r="BH34" s="101">
        <f t="shared" si="9"/>
        <v>11221.65</v>
      </c>
      <c r="BI34" s="9" t="s">
        <v>153</v>
      </c>
      <c r="BJ34" s="9" t="s">
        <v>42</v>
      </c>
    </row>
    <row r="35" spans="2:62" s="7" customFormat="1" ht="37.35" customHeight="1">
      <c r="B35" s="82"/>
      <c r="C35" s="83"/>
      <c r="D35" s="84" t="s">
        <v>894</v>
      </c>
      <c r="E35" s="84"/>
      <c r="F35" s="84"/>
      <c r="G35" s="84"/>
      <c r="H35" s="84"/>
      <c r="I35" s="84"/>
      <c r="J35" s="84"/>
      <c r="K35" s="84"/>
      <c r="L35" s="84"/>
      <c r="M35" s="84"/>
      <c r="N35" s="138">
        <f>BH35</f>
        <v>4216.6500000000005</v>
      </c>
      <c r="O35" s="85"/>
      <c r="Q35" s="86"/>
      <c r="R35" s="83"/>
      <c r="S35" s="83"/>
      <c r="T35" s="87">
        <f>SUM(T36:T46)</f>
        <v>0</v>
      </c>
      <c r="U35" s="83"/>
      <c r="V35" s="87">
        <f>SUM(V36:V46)</f>
        <v>0</v>
      </c>
      <c r="W35" s="83"/>
      <c r="X35" s="88">
        <f>SUM(X36:X46)</f>
        <v>0</v>
      </c>
      <c r="AO35" s="89" t="s">
        <v>38</v>
      </c>
      <c r="AQ35" s="90" t="s">
        <v>30</v>
      </c>
      <c r="AR35" s="90" t="s">
        <v>31</v>
      </c>
      <c r="AV35" s="89" t="s">
        <v>148</v>
      </c>
      <c r="BH35" s="91">
        <f>SUM(BH36:BH46)</f>
        <v>4216.6500000000005</v>
      </c>
    </row>
    <row r="36" spans="2:62" s="1" customFormat="1" ht="22.5" customHeight="1">
      <c r="B36" s="73"/>
      <c r="C36" s="93" t="s">
        <v>199</v>
      </c>
      <c r="D36" s="93" t="s">
        <v>149</v>
      </c>
      <c r="E36" s="94" t="s">
        <v>929</v>
      </c>
      <c r="F36" s="498" t="s">
        <v>930</v>
      </c>
      <c r="G36" s="498"/>
      <c r="H36" s="498"/>
      <c r="I36" s="498"/>
      <c r="J36" s="95" t="s">
        <v>0</v>
      </c>
      <c r="K36" s="96">
        <v>1</v>
      </c>
      <c r="L36" s="519">
        <v>2912</v>
      </c>
      <c r="M36" s="519"/>
      <c r="N36" s="128">
        <f t="shared" ref="N36:N46" si="11">ROUND(L36*K36,3)</f>
        <v>2912</v>
      </c>
      <c r="O36" s="74"/>
      <c r="P36" s="1" t="s">
        <v>1049</v>
      </c>
      <c r="Q36" s="98" t="s">
        <v>0</v>
      </c>
      <c r="R36" s="18" t="s">
        <v>11</v>
      </c>
      <c r="S36" s="112"/>
      <c r="T36" s="99">
        <f t="shared" ref="T36:T46" si="12">S36*K36</f>
        <v>0</v>
      </c>
      <c r="U36" s="99">
        <v>0</v>
      </c>
      <c r="V36" s="99">
        <f t="shared" ref="V36:V46" si="13">U36*K36</f>
        <v>0</v>
      </c>
      <c r="W36" s="99">
        <v>0</v>
      </c>
      <c r="X36" s="100">
        <f t="shared" ref="X36:X46" si="14">W36*K36</f>
        <v>0</v>
      </c>
      <c r="Z36" s="1" t="s">
        <v>1057</v>
      </c>
      <c r="AB36" s="1">
        <v>3328</v>
      </c>
      <c r="AO36" s="9" t="s">
        <v>153</v>
      </c>
      <c r="AQ36" s="9" t="s">
        <v>149</v>
      </c>
      <c r="AR36" s="9" t="s">
        <v>38</v>
      </c>
      <c r="AV36" s="9" t="s">
        <v>148</v>
      </c>
      <c r="BB36" s="72">
        <f t="shared" ref="BB36:BB46" si="15">IF(R36="základná",N36,0)</f>
        <v>0</v>
      </c>
      <c r="BC36" s="72">
        <f t="shared" ref="BC36:BC46" si="16">IF(R36="znížená",N36,0)</f>
        <v>2912</v>
      </c>
      <c r="BD36" s="72">
        <f t="shared" ref="BD36:BD46" si="17">IF(R36="zákl. prenesená",N36,0)</f>
        <v>0</v>
      </c>
      <c r="BE36" s="72">
        <f t="shared" ref="BE36:BE46" si="18">IF(R36="zníž. prenesená",N36,0)</f>
        <v>0</v>
      </c>
      <c r="BF36" s="72">
        <f t="shared" ref="BF36:BF46" si="19">IF(R36="nulová",N36,0)</f>
        <v>0</v>
      </c>
      <c r="BG36" s="9" t="s">
        <v>42</v>
      </c>
      <c r="BH36" s="101">
        <f t="shared" ref="BH36:BH46" si="20">ROUND(L36*K36,3)</f>
        <v>2912</v>
      </c>
      <c r="BI36" s="9" t="s">
        <v>153</v>
      </c>
      <c r="BJ36" s="9" t="s">
        <v>478</v>
      </c>
    </row>
    <row r="37" spans="2:62" s="1" customFormat="1" ht="22.5" customHeight="1">
      <c r="B37" s="73"/>
      <c r="C37" s="93" t="s">
        <v>200</v>
      </c>
      <c r="D37" s="93" t="s">
        <v>149</v>
      </c>
      <c r="E37" s="94" t="s">
        <v>931</v>
      </c>
      <c r="F37" s="498" t="s">
        <v>932</v>
      </c>
      <c r="G37" s="498"/>
      <c r="H37" s="498"/>
      <c r="I37" s="498"/>
      <c r="J37" s="95" t="s">
        <v>0</v>
      </c>
      <c r="K37" s="96">
        <v>4</v>
      </c>
      <c r="L37" s="519">
        <v>9.2799999999999994</v>
      </c>
      <c r="M37" s="519"/>
      <c r="N37" s="128">
        <f t="shared" si="11"/>
        <v>37.119999999999997</v>
      </c>
      <c r="O37" s="74"/>
      <c r="P37" s="1" t="s">
        <v>1049</v>
      </c>
      <c r="Q37" s="98" t="s">
        <v>0</v>
      </c>
      <c r="R37" s="18" t="s">
        <v>11</v>
      </c>
      <c r="S37" s="112"/>
      <c r="T37" s="99">
        <f t="shared" si="12"/>
        <v>0</v>
      </c>
      <c r="U37" s="99">
        <v>0</v>
      </c>
      <c r="V37" s="99">
        <f t="shared" si="13"/>
        <v>0</v>
      </c>
      <c r="W37" s="99">
        <v>0</v>
      </c>
      <c r="X37" s="100">
        <f t="shared" si="14"/>
        <v>0</v>
      </c>
      <c r="Z37" s="1" t="s">
        <v>1063</v>
      </c>
      <c r="AB37" s="1">
        <v>10.6</v>
      </c>
      <c r="AO37" s="9" t="s">
        <v>153</v>
      </c>
      <c r="AQ37" s="9" t="s">
        <v>149</v>
      </c>
      <c r="AR37" s="9" t="s">
        <v>38</v>
      </c>
      <c r="AV37" s="9" t="s">
        <v>148</v>
      </c>
      <c r="BB37" s="72">
        <f t="shared" si="15"/>
        <v>0</v>
      </c>
      <c r="BC37" s="72">
        <f t="shared" si="16"/>
        <v>37.119999999999997</v>
      </c>
      <c r="BD37" s="72">
        <f t="shared" si="17"/>
        <v>0</v>
      </c>
      <c r="BE37" s="72">
        <f t="shared" si="18"/>
        <v>0</v>
      </c>
      <c r="BF37" s="72">
        <f t="shared" si="19"/>
        <v>0</v>
      </c>
      <c r="BG37" s="9" t="s">
        <v>42</v>
      </c>
      <c r="BH37" s="101">
        <f t="shared" si="20"/>
        <v>37.119999999999997</v>
      </c>
      <c r="BI37" s="9" t="s">
        <v>153</v>
      </c>
      <c r="BJ37" s="9" t="s">
        <v>480</v>
      </c>
    </row>
    <row r="38" spans="2:62" s="1" customFormat="1" ht="22.5" customHeight="1">
      <c r="B38" s="73"/>
      <c r="C38" s="93" t="s">
        <v>1</v>
      </c>
      <c r="D38" s="93" t="s">
        <v>149</v>
      </c>
      <c r="E38" s="94" t="s">
        <v>933</v>
      </c>
      <c r="F38" s="498" t="s">
        <v>934</v>
      </c>
      <c r="G38" s="498"/>
      <c r="H38" s="498"/>
      <c r="I38" s="498"/>
      <c r="J38" s="95" t="s">
        <v>0</v>
      </c>
      <c r="K38" s="96">
        <v>2</v>
      </c>
      <c r="L38" s="519">
        <v>47.25</v>
      </c>
      <c r="M38" s="519"/>
      <c r="N38" s="128">
        <f t="shared" si="11"/>
        <v>94.5</v>
      </c>
      <c r="O38" s="74"/>
      <c r="P38" s="1" t="s">
        <v>1047</v>
      </c>
      <c r="Q38" s="98" t="s">
        <v>0</v>
      </c>
      <c r="R38" s="18" t="s">
        <v>11</v>
      </c>
      <c r="S38" s="112"/>
      <c r="T38" s="99">
        <f t="shared" si="12"/>
        <v>0</v>
      </c>
      <c r="U38" s="99">
        <v>0</v>
      </c>
      <c r="V38" s="99">
        <f t="shared" si="13"/>
        <v>0</v>
      </c>
      <c r="W38" s="99">
        <v>0</v>
      </c>
      <c r="X38" s="100">
        <f t="shared" si="14"/>
        <v>0</v>
      </c>
      <c r="Z38" s="1" t="s">
        <v>1058</v>
      </c>
      <c r="AB38" s="1">
        <v>54</v>
      </c>
      <c r="AO38" s="9" t="s">
        <v>153</v>
      </c>
      <c r="AQ38" s="9" t="s">
        <v>149</v>
      </c>
      <c r="AR38" s="9" t="s">
        <v>38</v>
      </c>
      <c r="AV38" s="9" t="s">
        <v>148</v>
      </c>
      <c r="BB38" s="72">
        <f t="shared" si="15"/>
        <v>0</v>
      </c>
      <c r="BC38" s="72">
        <f t="shared" si="16"/>
        <v>94.5</v>
      </c>
      <c r="BD38" s="72">
        <f t="shared" si="17"/>
        <v>0</v>
      </c>
      <c r="BE38" s="72">
        <f t="shared" si="18"/>
        <v>0</v>
      </c>
      <c r="BF38" s="72">
        <f t="shared" si="19"/>
        <v>0</v>
      </c>
      <c r="BG38" s="9" t="s">
        <v>42</v>
      </c>
      <c r="BH38" s="101">
        <f t="shared" si="20"/>
        <v>94.5</v>
      </c>
      <c r="BI38" s="9" t="s">
        <v>153</v>
      </c>
      <c r="BJ38" s="9" t="s">
        <v>617</v>
      </c>
    </row>
    <row r="39" spans="2:62" s="1" customFormat="1" ht="31.5" customHeight="1">
      <c r="B39" s="73"/>
      <c r="C39" s="93" t="s">
        <v>205</v>
      </c>
      <c r="D39" s="93" t="s">
        <v>149</v>
      </c>
      <c r="E39" s="94" t="s">
        <v>935</v>
      </c>
      <c r="F39" s="498" t="s">
        <v>936</v>
      </c>
      <c r="G39" s="498"/>
      <c r="H39" s="498"/>
      <c r="I39" s="498"/>
      <c r="J39" s="95" t="s">
        <v>0</v>
      </c>
      <c r="K39" s="96">
        <v>2</v>
      </c>
      <c r="L39" s="519">
        <v>49.7</v>
      </c>
      <c r="M39" s="519"/>
      <c r="N39" s="128">
        <f t="shared" si="11"/>
        <v>99.4</v>
      </c>
      <c r="O39" s="74"/>
      <c r="P39" s="1" t="s">
        <v>1047</v>
      </c>
      <c r="Q39" s="98" t="s">
        <v>0</v>
      </c>
      <c r="R39" s="18" t="s">
        <v>11</v>
      </c>
      <c r="S39" s="112"/>
      <c r="T39" s="99">
        <f t="shared" si="12"/>
        <v>0</v>
      </c>
      <c r="U39" s="99">
        <v>0</v>
      </c>
      <c r="V39" s="99">
        <f t="shared" si="13"/>
        <v>0</v>
      </c>
      <c r="W39" s="99">
        <v>0</v>
      </c>
      <c r="X39" s="100">
        <f t="shared" si="14"/>
        <v>0</v>
      </c>
      <c r="Z39" s="1" t="s">
        <v>1059</v>
      </c>
      <c r="AB39" s="1">
        <v>56.8</v>
      </c>
      <c r="AO39" s="9" t="s">
        <v>153</v>
      </c>
      <c r="AQ39" s="9" t="s">
        <v>149</v>
      </c>
      <c r="AR39" s="9" t="s">
        <v>38</v>
      </c>
      <c r="AV39" s="9" t="s">
        <v>148</v>
      </c>
      <c r="BB39" s="72">
        <f t="shared" si="15"/>
        <v>0</v>
      </c>
      <c r="BC39" s="72">
        <f t="shared" si="16"/>
        <v>99.4</v>
      </c>
      <c r="BD39" s="72">
        <f t="shared" si="17"/>
        <v>0</v>
      </c>
      <c r="BE39" s="72">
        <f t="shared" si="18"/>
        <v>0</v>
      </c>
      <c r="BF39" s="72">
        <f t="shared" si="19"/>
        <v>0</v>
      </c>
      <c r="BG39" s="9" t="s">
        <v>42</v>
      </c>
      <c r="BH39" s="101">
        <f t="shared" si="20"/>
        <v>99.4</v>
      </c>
      <c r="BI39" s="9" t="s">
        <v>153</v>
      </c>
      <c r="BJ39" s="9" t="s">
        <v>620</v>
      </c>
    </row>
    <row r="40" spans="2:62" s="1" customFormat="1" ht="31.5" customHeight="1">
      <c r="B40" s="73"/>
      <c r="C40" s="93" t="s">
        <v>208</v>
      </c>
      <c r="D40" s="93" t="s">
        <v>149</v>
      </c>
      <c r="E40" s="94" t="s">
        <v>915</v>
      </c>
      <c r="F40" s="498" t="s">
        <v>916</v>
      </c>
      <c r="G40" s="498"/>
      <c r="H40" s="498"/>
      <c r="I40" s="498"/>
      <c r="J40" s="95" t="s">
        <v>0</v>
      </c>
      <c r="K40" s="96">
        <v>2</v>
      </c>
      <c r="L40" s="519">
        <v>22.75</v>
      </c>
      <c r="M40" s="519"/>
      <c r="N40" s="128">
        <f t="shared" si="11"/>
        <v>45.5</v>
      </c>
      <c r="O40" s="74"/>
      <c r="P40" s="1" t="s">
        <v>1049</v>
      </c>
      <c r="Q40" s="98" t="s">
        <v>0</v>
      </c>
      <c r="R40" s="18" t="s">
        <v>11</v>
      </c>
      <c r="S40" s="112"/>
      <c r="T40" s="99">
        <f t="shared" si="12"/>
        <v>0</v>
      </c>
      <c r="U40" s="99">
        <v>0</v>
      </c>
      <c r="V40" s="99">
        <f t="shared" si="13"/>
        <v>0</v>
      </c>
      <c r="W40" s="99">
        <v>0</v>
      </c>
      <c r="X40" s="100">
        <f t="shared" si="14"/>
        <v>0</v>
      </c>
      <c r="Z40" s="1" t="s">
        <v>1050</v>
      </c>
      <c r="AB40" s="1">
        <v>26</v>
      </c>
      <c r="AO40" s="9" t="s">
        <v>153</v>
      </c>
      <c r="AQ40" s="9" t="s">
        <v>149</v>
      </c>
      <c r="AR40" s="9" t="s">
        <v>38</v>
      </c>
      <c r="AV40" s="9" t="s">
        <v>148</v>
      </c>
      <c r="BB40" s="72">
        <f t="shared" si="15"/>
        <v>0</v>
      </c>
      <c r="BC40" s="72">
        <f t="shared" si="16"/>
        <v>45.5</v>
      </c>
      <c r="BD40" s="72">
        <f t="shared" si="17"/>
        <v>0</v>
      </c>
      <c r="BE40" s="72">
        <f t="shared" si="18"/>
        <v>0</v>
      </c>
      <c r="BF40" s="72">
        <f t="shared" si="19"/>
        <v>0</v>
      </c>
      <c r="BG40" s="9" t="s">
        <v>42</v>
      </c>
      <c r="BH40" s="101">
        <f t="shared" si="20"/>
        <v>45.5</v>
      </c>
      <c r="BI40" s="9" t="s">
        <v>153</v>
      </c>
      <c r="BJ40" s="9" t="s">
        <v>623</v>
      </c>
    </row>
    <row r="41" spans="2:62" s="1" customFormat="1" ht="31.5" customHeight="1">
      <c r="B41" s="73"/>
      <c r="C41" s="93" t="s">
        <v>211</v>
      </c>
      <c r="D41" s="93" t="s">
        <v>149</v>
      </c>
      <c r="E41" s="94" t="s">
        <v>913</v>
      </c>
      <c r="F41" s="498" t="s">
        <v>914</v>
      </c>
      <c r="G41" s="498"/>
      <c r="H41" s="498"/>
      <c r="I41" s="498"/>
      <c r="J41" s="95" t="s">
        <v>0</v>
      </c>
      <c r="K41" s="96">
        <v>4</v>
      </c>
      <c r="L41" s="519">
        <v>15.75</v>
      </c>
      <c r="M41" s="519"/>
      <c r="N41" s="128">
        <f t="shared" si="11"/>
        <v>63</v>
      </c>
      <c r="O41" s="74"/>
      <c r="P41" s="1" t="s">
        <v>1049</v>
      </c>
      <c r="Q41" s="98" t="s">
        <v>0</v>
      </c>
      <c r="R41" s="18" t="s">
        <v>11</v>
      </c>
      <c r="S41" s="112"/>
      <c r="T41" s="99">
        <f t="shared" si="12"/>
        <v>0</v>
      </c>
      <c r="U41" s="99">
        <v>0</v>
      </c>
      <c r="V41" s="99">
        <f t="shared" si="13"/>
        <v>0</v>
      </c>
      <c r="W41" s="99">
        <v>0</v>
      </c>
      <c r="X41" s="100">
        <f t="shared" si="14"/>
        <v>0</v>
      </c>
      <c r="Z41" s="1" t="s">
        <v>1050</v>
      </c>
      <c r="AB41" s="1">
        <v>18</v>
      </c>
      <c r="AO41" s="9" t="s">
        <v>153</v>
      </c>
      <c r="AQ41" s="9" t="s">
        <v>149</v>
      </c>
      <c r="AR41" s="9" t="s">
        <v>38</v>
      </c>
      <c r="AV41" s="9" t="s">
        <v>148</v>
      </c>
      <c r="BB41" s="72">
        <f t="shared" si="15"/>
        <v>0</v>
      </c>
      <c r="BC41" s="72">
        <f t="shared" si="16"/>
        <v>63</v>
      </c>
      <c r="BD41" s="72">
        <f t="shared" si="17"/>
        <v>0</v>
      </c>
      <c r="BE41" s="72">
        <f t="shared" si="18"/>
        <v>0</v>
      </c>
      <c r="BF41" s="72">
        <f t="shared" si="19"/>
        <v>0</v>
      </c>
      <c r="BG41" s="9" t="s">
        <v>42</v>
      </c>
      <c r="BH41" s="101">
        <f t="shared" si="20"/>
        <v>63</v>
      </c>
      <c r="BI41" s="9" t="s">
        <v>153</v>
      </c>
      <c r="BJ41" s="9" t="s">
        <v>626</v>
      </c>
    </row>
    <row r="42" spans="2:62" s="1" customFormat="1" ht="31.5" customHeight="1">
      <c r="B42" s="73"/>
      <c r="C42" s="93" t="s">
        <v>214</v>
      </c>
      <c r="D42" s="93" t="s">
        <v>149</v>
      </c>
      <c r="E42" s="94" t="s">
        <v>937</v>
      </c>
      <c r="F42" s="498" t="s">
        <v>938</v>
      </c>
      <c r="G42" s="498"/>
      <c r="H42" s="498"/>
      <c r="I42" s="498"/>
      <c r="J42" s="95" t="s">
        <v>0</v>
      </c>
      <c r="K42" s="96">
        <v>40</v>
      </c>
      <c r="L42" s="519">
        <v>9.4499999999999993</v>
      </c>
      <c r="M42" s="519"/>
      <c r="N42" s="128">
        <f t="shared" si="11"/>
        <v>378</v>
      </c>
      <c r="O42" s="74"/>
      <c r="P42" s="1" t="s">
        <v>1043</v>
      </c>
      <c r="Q42" s="98" t="s">
        <v>0</v>
      </c>
      <c r="R42" s="18" t="s">
        <v>11</v>
      </c>
      <c r="S42" s="112"/>
      <c r="T42" s="99">
        <f t="shared" si="12"/>
        <v>0</v>
      </c>
      <c r="U42" s="99">
        <v>0</v>
      </c>
      <c r="V42" s="99">
        <f t="shared" si="13"/>
        <v>0</v>
      </c>
      <c r="W42" s="99">
        <v>0</v>
      </c>
      <c r="X42" s="100">
        <f t="shared" si="14"/>
        <v>0</v>
      </c>
      <c r="Z42" s="1" t="s">
        <v>1060</v>
      </c>
      <c r="AB42" s="1">
        <v>10.8</v>
      </c>
      <c r="AO42" s="9" t="s">
        <v>153</v>
      </c>
      <c r="AQ42" s="9" t="s">
        <v>149</v>
      </c>
      <c r="AR42" s="9" t="s">
        <v>38</v>
      </c>
      <c r="AV42" s="9" t="s">
        <v>148</v>
      </c>
      <c r="BB42" s="72">
        <f t="shared" si="15"/>
        <v>0</v>
      </c>
      <c r="BC42" s="72">
        <f t="shared" si="16"/>
        <v>378</v>
      </c>
      <c r="BD42" s="72">
        <f t="shared" si="17"/>
        <v>0</v>
      </c>
      <c r="BE42" s="72">
        <f t="shared" si="18"/>
        <v>0</v>
      </c>
      <c r="BF42" s="72">
        <f t="shared" si="19"/>
        <v>0</v>
      </c>
      <c r="BG42" s="9" t="s">
        <v>42</v>
      </c>
      <c r="BH42" s="101">
        <f t="shared" si="20"/>
        <v>378</v>
      </c>
      <c r="BI42" s="9" t="s">
        <v>153</v>
      </c>
      <c r="BJ42" s="9" t="s">
        <v>629</v>
      </c>
    </row>
    <row r="43" spans="2:62" s="1" customFormat="1" ht="31.5" customHeight="1">
      <c r="B43" s="73"/>
      <c r="C43" s="93" t="s">
        <v>217</v>
      </c>
      <c r="D43" s="93" t="s">
        <v>149</v>
      </c>
      <c r="E43" s="94" t="s">
        <v>939</v>
      </c>
      <c r="F43" s="498" t="s">
        <v>940</v>
      </c>
      <c r="G43" s="498"/>
      <c r="H43" s="498"/>
      <c r="I43" s="498"/>
      <c r="J43" s="95" t="s">
        <v>0</v>
      </c>
      <c r="K43" s="96">
        <v>55</v>
      </c>
      <c r="L43" s="519">
        <v>7.35</v>
      </c>
      <c r="M43" s="519"/>
      <c r="N43" s="128">
        <f t="shared" si="11"/>
        <v>404.25</v>
      </c>
      <c r="O43" s="74"/>
      <c r="P43" s="1" t="s">
        <v>1041</v>
      </c>
      <c r="Q43" s="98" t="s">
        <v>0</v>
      </c>
      <c r="R43" s="18" t="s">
        <v>11</v>
      </c>
      <c r="S43" s="112"/>
      <c r="T43" s="99">
        <f t="shared" si="12"/>
        <v>0</v>
      </c>
      <c r="U43" s="99">
        <v>0</v>
      </c>
      <c r="V43" s="99">
        <f t="shared" si="13"/>
        <v>0</v>
      </c>
      <c r="W43" s="99">
        <v>0</v>
      </c>
      <c r="X43" s="100">
        <f t="shared" si="14"/>
        <v>0</v>
      </c>
      <c r="Z43" s="1" t="s">
        <v>1042</v>
      </c>
      <c r="AB43" s="1">
        <v>8.4</v>
      </c>
      <c r="AO43" s="9" t="s">
        <v>153</v>
      </c>
      <c r="AQ43" s="9" t="s">
        <v>149</v>
      </c>
      <c r="AR43" s="9" t="s">
        <v>38</v>
      </c>
      <c r="AV43" s="9" t="s">
        <v>148</v>
      </c>
      <c r="BB43" s="72">
        <f t="shared" si="15"/>
        <v>0</v>
      </c>
      <c r="BC43" s="72">
        <f t="shared" si="16"/>
        <v>404.25</v>
      </c>
      <c r="BD43" s="72">
        <f t="shared" si="17"/>
        <v>0</v>
      </c>
      <c r="BE43" s="72">
        <f t="shared" si="18"/>
        <v>0</v>
      </c>
      <c r="BF43" s="72">
        <f t="shared" si="19"/>
        <v>0</v>
      </c>
      <c r="BG43" s="9" t="s">
        <v>42</v>
      </c>
      <c r="BH43" s="101">
        <f t="shared" si="20"/>
        <v>404.25</v>
      </c>
      <c r="BI43" s="9" t="s">
        <v>153</v>
      </c>
      <c r="BJ43" s="9" t="s">
        <v>632</v>
      </c>
    </row>
    <row r="44" spans="2:62" s="1" customFormat="1" ht="22.5" customHeight="1">
      <c r="B44" s="73"/>
      <c r="C44" s="93" t="s">
        <v>220</v>
      </c>
      <c r="D44" s="93" t="s">
        <v>149</v>
      </c>
      <c r="E44" s="94" t="s">
        <v>941</v>
      </c>
      <c r="F44" s="498" t="s">
        <v>902</v>
      </c>
      <c r="G44" s="498"/>
      <c r="H44" s="498"/>
      <c r="I44" s="498"/>
      <c r="J44" s="95" t="s">
        <v>0</v>
      </c>
      <c r="K44" s="96">
        <v>1</v>
      </c>
      <c r="L44" s="519">
        <v>47.25</v>
      </c>
      <c r="M44" s="519"/>
      <c r="N44" s="128">
        <f t="shared" si="11"/>
        <v>47.25</v>
      </c>
      <c r="O44" s="74"/>
      <c r="P44" s="1" t="s">
        <v>1043</v>
      </c>
      <c r="Q44" s="98" t="s">
        <v>0</v>
      </c>
      <c r="R44" s="18" t="s">
        <v>11</v>
      </c>
      <c r="S44" s="112"/>
      <c r="T44" s="99">
        <f t="shared" si="12"/>
        <v>0</v>
      </c>
      <c r="U44" s="99">
        <v>0</v>
      </c>
      <c r="V44" s="99">
        <f t="shared" si="13"/>
        <v>0</v>
      </c>
      <c r="W44" s="99">
        <v>0</v>
      </c>
      <c r="X44" s="100">
        <f t="shared" si="14"/>
        <v>0</v>
      </c>
      <c r="Z44" s="1" t="s">
        <v>1040</v>
      </c>
      <c r="AB44" s="1">
        <v>54</v>
      </c>
      <c r="AO44" s="9" t="s">
        <v>153</v>
      </c>
      <c r="AQ44" s="9" t="s">
        <v>149</v>
      </c>
      <c r="AR44" s="9" t="s">
        <v>38</v>
      </c>
      <c r="AV44" s="9" t="s">
        <v>148</v>
      </c>
      <c r="BB44" s="72">
        <f t="shared" si="15"/>
        <v>0</v>
      </c>
      <c r="BC44" s="72">
        <f t="shared" si="16"/>
        <v>47.25</v>
      </c>
      <c r="BD44" s="72">
        <f t="shared" si="17"/>
        <v>0</v>
      </c>
      <c r="BE44" s="72">
        <f t="shared" si="18"/>
        <v>0</v>
      </c>
      <c r="BF44" s="72">
        <f t="shared" si="19"/>
        <v>0</v>
      </c>
      <c r="BG44" s="9" t="s">
        <v>42</v>
      </c>
      <c r="BH44" s="101">
        <f t="shared" si="20"/>
        <v>47.25</v>
      </c>
      <c r="BI44" s="9" t="s">
        <v>153</v>
      </c>
      <c r="BJ44" s="9" t="s">
        <v>635</v>
      </c>
    </row>
    <row r="45" spans="2:62" s="1" customFormat="1" ht="22.5" customHeight="1">
      <c r="B45" s="73"/>
      <c r="C45" s="93" t="s">
        <v>223</v>
      </c>
      <c r="D45" s="93" t="s">
        <v>149</v>
      </c>
      <c r="E45" s="94" t="s">
        <v>942</v>
      </c>
      <c r="F45" s="498" t="s">
        <v>900</v>
      </c>
      <c r="G45" s="498"/>
      <c r="H45" s="498"/>
      <c r="I45" s="498"/>
      <c r="J45" s="95" t="s">
        <v>0</v>
      </c>
      <c r="K45" s="96">
        <v>1</v>
      </c>
      <c r="L45" s="519">
        <v>96.25</v>
      </c>
      <c r="M45" s="519"/>
      <c r="N45" s="128">
        <f t="shared" si="11"/>
        <v>96.25</v>
      </c>
      <c r="O45" s="74"/>
      <c r="P45" s="1" t="s">
        <v>1043</v>
      </c>
      <c r="Q45" s="98" t="s">
        <v>0</v>
      </c>
      <c r="R45" s="18" t="s">
        <v>11</v>
      </c>
      <c r="S45" s="112"/>
      <c r="T45" s="99">
        <f t="shared" si="12"/>
        <v>0</v>
      </c>
      <c r="U45" s="99">
        <v>0</v>
      </c>
      <c r="V45" s="99">
        <f t="shared" si="13"/>
        <v>0</v>
      </c>
      <c r="W45" s="99">
        <v>0</v>
      </c>
      <c r="X45" s="100">
        <f t="shared" si="14"/>
        <v>0</v>
      </c>
      <c r="Z45" s="1" t="s">
        <v>1039</v>
      </c>
      <c r="AB45" s="1">
        <v>110</v>
      </c>
      <c r="AO45" s="9" t="s">
        <v>153</v>
      </c>
      <c r="AQ45" s="9" t="s">
        <v>149</v>
      </c>
      <c r="AR45" s="9" t="s">
        <v>38</v>
      </c>
      <c r="AV45" s="9" t="s">
        <v>148</v>
      </c>
      <c r="BB45" s="72">
        <f t="shared" si="15"/>
        <v>0</v>
      </c>
      <c r="BC45" s="72">
        <f t="shared" si="16"/>
        <v>96.25</v>
      </c>
      <c r="BD45" s="72">
        <f t="shared" si="17"/>
        <v>0</v>
      </c>
      <c r="BE45" s="72">
        <f t="shared" si="18"/>
        <v>0</v>
      </c>
      <c r="BF45" s="72">
        <f t="shared" si="19"/>
        <v>0</v>
      </c>
      <c r="BG45" s="9" t="s">
        <v>42</v>
      </c>
      <c r="BH45" s="101">
        <f t="shared" si="20"/>
        <v>96.25</v>
      </c>
      <c r="BI45" s="9" t="s">
        <v>153</v>
      </c>
      <c r="BJ45" s="9" t="s">
        <v>638</v>
      </c>
    </row>
    <row r="46" spans="2:62" s="1" customFormat="1" ht="22.5" customHeight="1">
      <c r="B46" s="73"/>
      <c r="C46" s="93" t="s">
        <v>226</v>
      </c>
      <c r="D46" s="93" t="s">
        <v>149</v>
      </c>
      <c r="E46" s="94" t="s">
        <v>943</v>
      </c>
      <c r="F46" s="498" t="s">
        <v>898</v>
      </c>
      <c r="G46" s="498"/>
      <c r="H46" s="498"/>
      <c r="I46" s="498"/>
      <c r="J46" s="95" t="s">
        <v>0</v>
      </c>
      <c r="K46" s="96">
        <v>1</v>
      </c>
      <c r="L46" s="519">
        <v>39.380000000000003</v>
      </c>
      <c r="M46" s="519"/>
      <c r="N46" s="128">
        <f t="shared" si="11"/>
        <v>39.380000000000003</v>
      </c>
      <c r="O46" s="74"/>
      <c r="P46" s="1" t="s">
        <v>1043</v>
      </c>
      <c r="Q46" s="98" t="s">
        <v>0</v>
      </c>
      <c r="R46" s="18" t="s">
        <v>11</v>
      </c>
      <c r="S46" s="112"/>
      <c r="T46" s="99">
        <f t="shared" si="12"/>
        <v>0</v>
      </c>
      <c r="U46" s="99">
        <v>0</v>
      </c>
      <c r="V46" s="99">
        <f t="shared" si="13"/>
        <v>0</v>
      </c>
      <c r="W46" s="99">
        <v>0</v>
      </c>
      <c r="X46" s="100">
        <f t="shared" si="14"/>
        <v>0</v>
      </c>
      <c r="Z46" s="1" t="s">
        <v>1038</v>
      </c>
      <c r="AB46" s="1">
        <v>45</v>
      </c>
      <c r="AO46" s="9" t="s">
        <v>153</v>
      </c>
      <c r="AQ46" s="9" t="s">
        <v>149</v>
      </c>
      <c r="AR46" s="9" t="s">
        <v>38</v>
      </c>
      <c r="AV46" s="9" t="s">
        <v>148</v>
      </c>
      <c r="BB46" s="72">
        <f t="shared" si="15"/>
        <v>0</v>
      </c>
      <c r="BC46" s="72">
        <f t="shared" si="16"/>
        <v>39.380000000000003</v>
      </c>
      <c r="BD46" s="72">
        <f t="shared" si="17"/>
        <v>0</v>
      </c>
      <c r="BE46" s="72">
        <f t="shared" si="18"/>
        <v>0</v>
      </c>
      <c r="BF46" s="72">
        <f t="shared" si="19"/>
        <v>0</v>
      </c>
      <c r="BG46" s="9" t="s">
        <v>42</v>
      </c>
      <c r="BH46" s="101">
        <f t="shared" si="20"/>
        <v>39.380000000000003</v>
      </c>
      <c r="BI46" s="9" t="s">
        <v>153</v>
      </c>
      <c r="BJ46" s="9" t="s">
        <v>641</v>
      </c>
    </row>
    <row r="47" spans="2:62" s="7" customFormat="1" ht="37.35" customHeight="1">
      <c r="B47" s="82"/>
      <c r="C47" s="83"/>
      <c r="D47" s="84" t="s">
        <v>895</v>
      </c>
      <c r="E47" s="84"/>
      <c r="F47" s="84"/>
      <c r="G47" s="84"/>
      <c r="H47" s="84"/>
      <c r="I47" s="84"/>
      <c r="J47" s="84"/>
      <c r="K47" s="84"/>
      <c r="L47" s="84"/>
      <c r="M47" s="84"/>
      <c r="N47" s="139">
        <f>BH47</f>
        <v>15308.389999999998</v>
      </c>
      <c r="O47" s="85"/>
      <c r="Q47" s="86"/>
      <c r="R47" s="83"/>
      <c r="S47" s="83"/>
      <c r="T47" s="87">
        <f>SUM(T48:T64)</f>
        <v>0</v>
      </c>
      <c r="U47" s="83"/>
      <c r="V47" s="87">
        <f>SUM(V48:V64)</f>
        <v>0</v>
      </c>
      <c r="W47" s="83"/>
      <c r="X47" s="88">
        <f>SUM(X48:X64)</f>
        <v>0</v>
      </c>
      <c r="AO47" s="89" t="s">
        <v>38</v>
      </c>
      <c r="AQ47" s="90" t="s">
        <v>30</v>
      </c>
      <c r="AR47" s="90" t="s">
        <v>31</v>
      </c>
      <c r="AV47" s="89" t="s">
        <v>148</v>
      </c>
      <c r="BH47" s="91">
        <f>SUM(BH48:BH64)</f>
        <v>15308.389999999998</v>
      </c>
    </row>
    <row r="48" spans="2:62" s="1" customFormat="1" ht="22.5" customHeight="1">
      <c r="B48" s="73"/>
      <c r="C48" s="93" t="s">
        <v>229</v>
      </c>
      <c r="D48" s="93" t="s">
        <v>149</v>
      </c>
      <c r="E48" s="94" t="s">
        <v>927</v>
      </c>
      <c r="F48" s="498" t="s">
        <v>928</v>
      </c>
      <c r="G48" s="498"/>
      <c r="H48" s="498"/>
      <c r="I48" s="498"/>
      <c r="J48" s="95" t="s">
        <v>0</v>
      </c>
      <c r="K48" s="96">
        <v>1</v>
      </c>
      <c r="L48" s="519">
        <v>11239.38</v>
      </c>
      <c r="M48" s="519"/>
      <c r="N48" s="128">
        <f>ROUND(L48*K48,3)</f>
        <v>11239.38</v>
      </c>
      <c r="O48" s="74"/>
      <c r="P48" s="1" t="s">
        <v>1049</v>
      </c>
      <c r="Q48" s="98" t="s">
        <v>0</v>
      </c>
      <c r="R48" s="18" t="s">
        <v>11</v>
      </c>
      <c r="S48" s="112"/>
      <c r="T48" s="99">
        <f t="shared" ref="T48:T64" si="21">S48*K48</f>
        <v>0</v>
      </c>
      <c r="U48" s="99">
        <v>0</v>
      </c>
      <c r="V48" s="99">
        <f t="shared" ref="V48:V64" si="22">U48*K48</f>
        <v>0</v>
      </c>
      <c r="W48" s="99">
        <v>0</v>
      </c>
      <c r="X48" s="100">
        <f t="shared" ref="X48:X64" si="23">W48*K48</f>
        <v>0</v>
      </c>
      <c r="Z48" s="1" t="s">
        <v>1056</v>
      </c>
      <c r="AB48" s="1">
        <v>12845</v>
      </c>
      <c r="AO48" s="9" t="s">
        <v>153</v>
      </c>
      <c r="AQ48" s="9" t="s">
        <v>149</v>
      </c>
      <c r="AR48" s="9" t="s">
        <v>38</v>
      </c>
      <c r="AV48" s="9" t="s">
        <v>148</v>
      </c>
      <c r="BB48" s="72">
        <f t="shared" ref="BB48:BB64" si="24">IF(R48="základná",N48,0)</f>
        <v>0</v>
      </c>
      <c r="BC48" s="72">
        <f t="shared" ref="BC48:BC64" si="25">IF(R48="znížená",N48,0)</f>
        <v>11239.38</v>
      </c>
      <c r="BD48" s="72">
        <f t="shared" ref="BD48:BD64" si="26">IF(R48="zákl. prenesená",N48,0)</f>
        <v>0</v>
      </c>
      <c r="BE48" s="72">
        <f t="shared" ref="BE48:BE64" si="27">IF(R48="zníž. prenesená",N48,0)</f>
        <v>0</v>
      </c>
      <c r="BF48" s="72">
        <f t="shared" ref="BF48:BF64" si="28">IF(R48="nulová",N48,0)</f>
        <v>0</v>
      </c>
      <c r="BG48" s="9" t="s">
        <v>42</v>
      </c>
      <c r="BH48" s="101">
        <f t="shared" ref="BH48:BH64" si="29">ROUND(L48*K48,3)</f>
        <v>11239.38</v>
      </c>
      <c r="BI48" s="9" t="s">
        <v>153</v>
      </c>
      <c r="BJ48" s="9" t="s">
        <v>644</v>
      </c>
    </row>
    <row r="49" spans="2:62" s="1" customFormat="1" ht="22.5" customHeight="1">
      <c r="B49" s="73"/>
      <c r="C49" s="93" t="s">
        <v>232</v>
      </c>
      <c r="D49" s="93" t="s">
        <v>149</v>
      </c>
      <c r="E49" s="94" t="s">
        <v>925</v>
      </c>
      <c r="F49" s="498" t="s">
        <v>926</v>
      </c>
      <c r="G49" s="498"/>
      <c r="H49" s="498"/>
      <c r="I49" s="498"/>
      <c r="J49" s="95" t="s">
        <v>0</v>
      </c>
      <c r="K49" s="96">
        <v>2</v>
      </c>
      <c r="L49" s="519">
        <v>16.36</v>
      </c>
      <c r="M49" s="519"/>
      <c r="N49" s="128">
        <f t="shared" ref="N49:N57" si="30">ROUND(L49*K49,3)</f>
        <v>32.72</v>
      </c>
      <c r="O49" s="74"/>
      <c r="P49" s="1" t="s">
        <v>1049</v>
      </c>
      <c r="Q49" s="98" t="s">
        <v>0</v>
      </c>
      <c r="R49" s="18" t="s">
        <v>11</v>
      </c>
      <c r="S49" s="112"/>
      <c r="T49" s="99">
        <f t="shared" si="21"/>
        <v>0</v>
      </c>
      <c r="U49" s="99">
        <v>0</v>
      </c>
      <c r="V49" s="99">
        <f t="shared" si="22"/>
        <v>0</v>
      </c>
      <c r="W49" s="99">
        <v>0</v>
      </c>
      <c r="X49" s="100">
        <f t="shared" si="23"/>
        <v>0</v>
      </c>
      <c r="Z49" s="1" t="s">
        <v>1055</v>
      </c>
      <c r="AB49" s="1">
        <v>18.7</v>
      </c>
      <c r="AO49" s="9" t="s">
        <v>153</v>
      </c>
      <c r="AQ49" s="9" t="s">
        <v>149</v>
      </c>
      <c r="AR49" s="9" t="s">
        <v>38</v>
      </c>
      <c r="AV49" s="9" t="s">
        <v>148</v>
      </c>
      <c r="BB49" s="72">
        <f t="shared" si="24"/>
        <v>0</v>
      </c>
      <c r="BC49" s="72">
        <f t="shared" si="25"/>
        <v>32.72</v>
      </c>
      <c r="BD49" s="72">
        <f t="shared" si="26"/>
        <v>0</v>
      </c>
      <c r="BE49" s="72">
        <f t="shared" si="27"/>
        <v>0</v>
      </c>
      <c r="BF49" s="72">
        <f t="shared" si="28"/>
        <v>0</v>
      </c>
      <c r="BG49" s="9" t="s">
        <v>42</v>
      </c>
      <c r="BH49" s="101">
        <f t="shared" si="29"/>
        <v>32.72</v>
      </c>
      <c r="BI49" s="9" t="s">
        <v>153</v>
      </c>
      <c r="BJ49" s="9" t="s">
        <v>647</v>
      </c>
    </row>
    <row r="50" spans="2:62" s="1" customFormat="1" ht="22.5" customHeight="1">
      <c r="B50" s="73"/>
      <c r="C50" s="93" t="s">
        <v>235</v>
      </c>
      <c r="D50" s="93" t="s">
        <v>149</v>
      </c>
      <c r="E50" s="94" t="s">
        <v>923</v>
      </c>
      <c r="F50" s="498" t="s">
        <v>924</v>
      </c>
      <c r="G50" s="498"/>
      <c r="H50" s="498"/>
      <c r="I50" s="498"/>
      <c r="J50" s="95" t="s">
        <v>0</v>
      </c>
      <c r="K50" s="96">
        <v>4</v>
      </c>
      <c r="L50" s="519">
        <v>12.73</v>
      </c>
      <c r="M50" s="519"/>
      <c r="N50" s="128">
        <f t="shared" si="30"/>
        <v>50.92</v>
      </c>
      <c r="O50" s="74"/>
      <c r="P50" s="1" t="s">
        <v>1049</v>
      </c>
      <c r="Q50" s="98" t="s">
        <v>0</v>
      </c>
      <c r="R50" s="18" t="s">
        <v>11</v>
      </c>
      <c r="S50" s="112"/>
      <c r="T50" s="99">
        <f t="shared" si="21"/>
        <v>0</v>
      </c>
      <c r="U50" s="99">
        <v>0</v>
      </c>
      <c r="V50" s="99">
        <f t="shared" si="22"/>
        <v>0</v>
      </c>
      <c r="W50" s="99">
        <v>0</v>
      </c>
      <c r="X50" s="100">
        <f t="shared" si="23"/>
        <v>0</v>
      </c>
      <c r="Z50" s="1" t="s">
        <v>1054</v>
      </c>
      <c r="AB50" s="1">
        <v>14.55</v>
      </c>
      <c r="AO50" s="9" t="s">
        <v>153</v>
      </c>
      <c r="AQ50" s="9" t="s">
        <v>149</v>
      </c>
      <c r="AR50" s="9" t="s">
        <v>38</v>
      </c>
      <c r="AV50" s="9" t="s">
        <v>148</v>
      </c>
      <c r="BB50" s="72">
        <f t="shared" si="24"/>
        <v>0</v>
      </c>
      <c r="BC50" s="72">
        <f t="shared" si="25"/>
        <v>50.92</v>
      </c>
      <c r="BD50" s="72">
        <f t="shared" si="26"/>
        <v>0</v>
      </c>
      <c r="BE50" s="72">
        <f t="shared" si="27"/>
        <v>0</v>
      </c>
      <c r="BF50" s="72">
        <f t="shared" si="28"/>
        <v>0</v>
      </c>
      <c r="BG50" s="9" t="s">
        <v>42</v>
      </c>
      <c r="BH50" s="101">
        <f t="shared" si="29"/>
        <v>50.92</v>
      </c>
      <c r="BI50" s="9" t="s">
        <v>153</v>
      </c>
      <c r="BJ50" s="9" t="s">
        <v>650</v>
      </c>
    </row>
    <row r="51" spans="2:62" s="1" customFormat="1" ht="22.5" customHeight="1">
      <c r="B51" s="73"/>
      <c r="C51" s="93" t="s">
        <v>174</v>
      </c>
      <c r="D51" s="93" t="s">
        <v>149</v>
      </c>
      <c r="E51" s="94" t="s">
        <v>921</v>
      </c>
      <c r="F51" s="498" t="s">
        <v>922</v>
      </c>
      <c r="G51" s="498"/>
      <c r="H51" s="498"/>
      <c r="I51" s="498"/>
      <c r="J51" s="95" t="s">
        <v>0</v>
      </c>
      <c r="K51" s="96">
        <v>2</v>
      </c>
      <c r="L51" s="519">
        <v>166.25</v>
      </c>
      <c r="M51" s="519"/>
      <c r="N51" s="128">
        <f t="shared" si="30"/>
        <v>332.5</v>
      </c>
      <c r="O51" s="74"/>
      <c r="P51" s="1" t="s">
        <v>1049</v>
      </c>
      <c r="Q51" s="98" t="s">
        <v>0</v>
      </c>
      <c r="R51" s="18" t="s">
        <v>11</v>
      </c>
      <c r="S51" s="112"/>
      <c r="T51" s="99">
        <f t="shared" si="21"/>
        <v>0</v>
      </c>
      <c r="U51" s="99">
        <v>0</v>
      </c>
      <c r="V51" s="99">
        <f t="shared" si="22"/>
        <v>0</v>
      </c>
      <c r="W51" s="99">
        <v>0</v>
      </c>
      <c r="X51" s="100">
        <f t="shared" si="23"/>
        <v>0</v>
      </c>
      <c r="Z51" s="1" t="s">
        <v>1053</v>
      </c>
      <c r="AB51" s="1">
        <v>190</v>
      </c>
      <c r="AO51" s="9" t="s">
        <v>153</v>
      </c>
      <c r="AQ51" s="9" t="s">
        <v>149</v>
      </c>
      <c r="AR51" s="9" t="s">
        <v>38</v>
      </c>
      <c r="AV51" s="9" t="s">
        <v>148</v>
      </c>
      <c r="BB51" s="72">
        <f t="shared" si="24"/>
        <v>0</v>
      </c>
      <c r="BC51" s="72">
        <f t="shared" si="25"/>
        <v>332.5</v>
      </c>
      <c r="BD51" s="72">
        <f t="shared" si="26"/>
        <v>0</v>
      </c>
      <c r="BE51" s="72">
        <f t="shared" si="27"/>
        <v>0</v>
      </c>
      <c r="BF51" s="72">
        <f t="shared" si="28"/>
        <v>0</v>
      </c>
      <c r="BG51" s="9" t="s">
        <v>42</v>
      </c>
      <c r="BH51" s="101">
        <f t="shared" si="29"/>
        <v>332.5</v>
      </c>
      <c r="BI51" s="9" t="s">
        <v>153</v>
      </c>
      <c r="BJ51" s="9" t="s">
        <v>653</v>
      </c>
    </row>
    <row r="52" spans="2:62" s="1" customFormat="1" ht="22.5" customHeight="1">
      <c r="B52" s="73"/>
      <c r="C52" s="93" t="s">
        <v>240</v>
      </c>
      <c r="D52" s="93" t="s">
        <v>149</v>
      </c>
      <c r="E52" s="94" t="s">
        <v>919</v>
      </c>
      <c r="F52" s="498" t="s">
        <v>920</v>
      </c>
      <c r="G52" s="498"/>
      <c r="H52" s="498"/>
      <c r="I52" s="498"/>
      <c r="J52" s="95" t="s">
        <v>0</v>
      </c>
      <c r="K52" s="96">
        <v>2</v>
      </c>
      <c r="L52" s="519">
        <v>68.25</v>
      </c>
      <c r="M52" s="519"/>
      <c r="N52" s="128">
        <f t="shared" si="30"/>
        <v>136.5</v>
      </c>
      <c r="O52" s="74"/>
      <c r="P52" s="1" t="s">
        <v>1047</v>
      </c>
      <c r="Q52" s="98" t="s">
        <v>0</v>
      </c>
      <c r="R52" s="18" t="s">
        <v>11</v>
      </c>
      <c r="S52" s="112"/>
      <c r="T52" s="99">
        <f t="shared" si="21"/>
        <v>0</v>
      </c>
      <c r="U52" s="99">
        <v>0</v>
      </c>
      <c r="V52" s="99">
        <f t="shared" si="22"/>
        <v>0</v>
      </c>
      <c r="W52" s="99">
        <v>0</v>
      </c>
      <c r="X52" s="100">
        <f t="shared" si="23"/>
        <v>0</v>
      </c>
      <c r="Z52" s="1" t="s">
        <v>1051</v>
      </c>
      <c r="AB52" s="1">
        <v>78</v>
      </c>
      <c r="AO52" s="9" t="s">
        <v>153</v>
      </c>
      <c r="AQ52" s="9" t="s">
        <v>149</v>
      </c>
      <c r="AR52" s="9" t="s">
        <v>38</v>
      </c>
      <c r="AV52" s="9" t="s">
        <v>148</v>
      </c>
      <c r="BB52" s="72">
        <f t="shared" si="24"/>
        <v>0</v>
      </c>
      <c r="BC52" s="72">
        <f t="shared" si="25"/>
        <v>136.5</v>
      </c>
      <c r="BD52" s="72">
        <f t="shared" si="26"/>
        <v>0</v>
      </c>
      <c r="BE52" s="72">
        <f t="shared" si="27"/>
        <v>0</v>
      </c>
      <c r="BF52" s="72">
        <f t="shared" si="28"/>
        <v>0</v>
      </c>
      <c r="BG52" s="9" t="s">
        <v>42</v>
      </c>
      <c r="BH52" s="101">
        <f t="shared" si="29"/>
        <v>136.5</v>
      </c>
      <c r="BI52" s="9" t="s">
        <v>153</v>
      </c>
      <c r="BJ52" s="9" t="s">
        <v>656</v>
      </c>
    </row>
    <row r="53" spans="2:62" s="1" customFormat="1" ht="31.5" customHeight="1">
      <c r="B53" s="73"/>
      <c r="C53" s="93" t="s">
        <v>478</v>
      </c>
      <c r="D53" s="93" t="s">
        <v>149</v>
      </c>
      <c r="E53" s="94" t="s">
        <v>917</v>
      </c>
      <c r="F53" s="498" t="s">
        <v>918</v>
      </c>
      <c r="G53" s="498"/>
      <c r="H53" s="498"/>
      <c r="I53" s="498"/>
      <c r="J53" s="95" t="s">
        <v>0</v>
      </c>
      <c r="K53" s="96">
        <v>2</v>
      </c>
      <c r="L53" s="519">
        <v>70</v>
      </c>
      <c r="M53" s="519"/>
      <c r="N53" s="128">
        <f t="shared" si="30"/>
        <v>140</v>
      </c>
      <c r="O53" s="74"/>
      <c r="P53" s="1" t="s">
        <v>1047</v>
      </c>
      <c r="Q53" s="98" t="s">
        <v>0</v>
      </c>
      <c r="R53" s="18" t="s">
        <v>11</v>
      </c>
      <c r="S53" s="112"/>
      <c r="T53" s="99">
        <f t="shared" si="21"/>
        <v>0</v>
      </c>
      <c r="U53" s="99">
        <v>0</v>
      </c>
      <c r="V53" s="99">
        <f t="shared" si="22"/>
        <v>0</v>
      </c>
      <c r="W53" s="99">
        <v>0</v>
      </c>
      <c r="X53" s="100">
        <f t="shared" si="23"/>
        <v>0</v>
      </c>
      <c r="Z53" s="1" t="s">
        <v>1052</v>
      </c>
      <c r="AB53" s="1">
        <v>80</v>
      </c>
      <c r="AO53" s="9" t="s">
        <v>153</v>
      </c>
      <c r="AQ53" s="9" t="s">
        <v>149</v>
      </c>
      <c r="AR53" s="9" t="s">
        <v>38</v>
      </c>
      <c r="AV53" s="9" t="s">
        <v>148</v>
      </c>
      <c r="BB53" s="72">
        <f t="shared" si="24"/>
        <v>0</v>
      </c>
      <c r="BC53" s="72">
        <f t="shared" si="25"/>
        <v>140</v>
      </c>
      <c r="BD53" s="72">
        <f t="shared" si="26"/>
        <v>0</v>
      </c>
      <c r="BE53" s="72">
        <f t="shared" si="27"/>
        <v>0</v>
      </c>
      <c r="BF53" s="72">
        <f t="shared" si="28"/>
        <v>0</v>
      </c>
      <c r="BG53" s="9" t="s">
        <v>42</v>
      </c>
      <c r="BH53" s="101">
        <f t="shared" si="29"/>
        <v>140</v>
      </c>
      <c r="BI53" s="9" t="s">
        <v>153</v>
      </c>
      <c r="BJ53" s="9" t="s">
        <v>659</v>
      </c>
    </row>
    <row r="54" spans="2:62" s="1" customFormat="1" ht="31.5" customHeight="1">
      <c r="B54" s="73"/>
      <c r="C54" s="93" t="s">
        <v>479</v>
      </c>
      <c r="D54" s="93" t="s">
        <v>149</v>
      </c>
      <c r="E54" s="94" t="s">
        <v>915</v>
      </c>
      <c r="F54" s="498" t="s">
        <v>916</v>
      </c>
      <c r="G54" s="498"/>
      <c r="H54" s="498"/>
      <c r="I54" s="498"/>
      <c r="J54" s="95" t="s">
        <v>0</v>
      </c>
      <c r="K54" s="96">
        <v>4</v>
      </c>
      <c r="L54" s="519">
        <v>22.75</v>
      </c>
      <c r="M54" s="519"/>
      <c r="N54" s="128">
        <f t="shared" si="30"/>
        <v>91</v>
      </c>
      <c r="O54" s="74"/>
      <c r="P54" s="1" t="s">
        <v>1049</v>
      </c>
      <c r="Q54" s="98" t="s">
        <v>0</v>
      </c>
      <c r="R54" s="18" t="s">
        <v>11</v>
      </c>
      <c r="S54" s="112"/>
      <c r="T54" s="99">
        <f t="shared" si="21"/>
        <v>0</v>
      </c>
      <c r="U54" s="99">
        <v>0</v>
      </c>
      <c r="V54" s="99">
        <f t="shared" si="22"/>
        <v>0</v>
      </c>
      <c r="W54" s="99">
        <v>0</v>
      </c>
      <c r="X54" s="100">
        <f t="shared" si="23"/>
        <v>0</v>
      </c>
      <c r="Z54" s="1" t="s">
        <v>1050</v>
      </c>
      <c r="AB54" s="1">
        <v>26</v>
      </c>
      <c r="AO54" s="9" t="s">
        <v>153</v>
      </c>
      <c r="AQ54" s="9" t="s">
        <v>149</v>
      </c>
      <c r="AR54" s="9" t="s">
        <v>38</v>
      </c>
      <c r="AV54" s="9" t="s">
        <v>148</v>
      </c>
      <c r="BB54" s="72">
        <f t="shared" si="24"/>
        <v>0</v>
      </c>
      <c r="BC54" s="72">
        <f t="shared" si="25"/>
        <v>91</v>
      </c>
      <c r="BD54" s="72">
        <f t="shared" si="26"/>
        <v>0</v>
      </c>
      <c r="BE54" s="72">
        <f t="shared" si="27"/>
        <v>0</v>
      </c>
      <c r="BF54" s="72">
        <f t="shared" si="28"/>
        <v>0</v>
      </c>
      <c r="BG54" s="9" t="s">
        <v>42</v>
      </c>
      <c r="BH54" s="101">
        <f t="shared" si="29"/>
        <v>91</v>
      </c>
      <c r="BI54" s="9" t="s">
        <v>153</v>
      </c>
      <c r="BJ54" s="9" t="s">
        <v>662</v>
      </c>
    </row>
    <row r="55" spans="2:62" s="1" customFormat="1" ht="31.5" customHeight="1">
      <c r="B55" s="73"/>
      <c r="C55" s="93" t="s">
        <v>480</v>
      </c>
      <c r="D55" s="93" t="s">
        <v>149</v>
      </c>
      <c r="E55" s="94" t="s">
        <v>913</v>
      </c>
      <c r="F55" s="498" t="s">
        <v>914</v>
      </c>
      <c r="G55" s="498"/>
      <c r="H55" s="498"/>
      <c r="I55" s="498"/>
      <c r="J55" s="95" t="s">
        <v>0</v>
      </c>
      <c r="K55" s="96">
        <v>12</v>
      </c>
      <c r="L55" s="519">
        <v>15.75</v>
      </c>
      <c r="M55" s="519"/>
      <c r="N55" s="128">
        <f t="shared" si="30"/>
        <v>189</v>
      </c>
      <c r="O55" s="74"/>
      <c r="P55" s="1" t="s">
        <v>1049</v>
      </c>
      <c r="Q55" s="98" t="s">
        <v>0</v>
      </c>
      <c r="R55" s="18" t="s">
        <v>11</v>
      </c>
      <c r="S55" s="112"/>
      <c r="T55" s="99">
        <f t="shared" si="21"/>
        <v>0</v>
      </c>
      <c r="U55" s="99">
        <v>0</v>
      </c>
      <c r="V55" s="99">
        <f t="shared" si="22"/>
        <v>0</v>
      </c>
      <c r="W55" s="99">
        <v>0</v>
      </c>
      <c r="X55" s="100">
        <f t="shared" si="23"/>
        <v>0</v>
      </c>
      <c r="Z55" s="1" t="s">
        <v>1050</v>
      </c>
      <c r="AB55" s="1">
        <v>18</v>
      </c>
      <c r="AO55" s="9" t="s">
        <v>153</v>
      </c>
      <c r="AQ55" s="9" t="s">
        <v>149</v>
      </c>
      <c r="AR55" s="9" t="s">
        <v>38</v>
      </c>
      <c r="AV55" s="9" t="s">
        <v>148</v>
      </c>
      <c r="BB55" s="72">
        <f t="shared" si="24"/>
        <v>0</v>
      </c>
      <c r="BC55" s="72">
        <f t="shared" si="25"/>
        <v>189</v>
      </c>
      <c r="BD55" s="72">
        <f t="shared" si="26"/>
        <v>0</v>
      </c>
      <c r="BE55" s="72">
        <f t="shared" si="27"/>
        <v>0</v>
      </c>
      <c r="BF55" s="72">
        <f t="shared" si="28"/>
        <v>0</v>
      </c>
      <c r="BG55" s="9" t="s">
        <v>42</v>
      </c>
      <c r="BH55" s="101">
        <f t="shared" si="29"/>
        <v>189</v>
      </c>
      <c r="BI55" s="9" t="s">
        <v>153</v>
      </c>
      <c r="BJ55" s="9" t="s">
        <v>281</v>
      </c>
    </row>
    <row r="56" spans="2:62" s="1" customFormat="1" ht="22.5" customHeight="1">
      <c r="B56" s="73"/>
      <c r="C56" s="93" t="s">
        <v>544</v>
      </c>
      <c r="D56" s="93" t="s">
        <v>149</v>
      </c>
      <c r="E56" s="94" t="s">
        <v>911</v>
      </c>
      <c r="F56" s="498" t="s">
        <v>912</v>
      </c>
      <c r="G56" s="498"/>
      <c r="H56" s="498"/>
      <c r="I56" s="498"/>
      <c r="J56" s="95" t="s">
        <v>0</v>
      </c>
      <c r="K56" s="96">
        <v>2</v>
      </c>
      <c r="L56" s="519">
        <v>9.2799999999999994</v>
      </c>
      <c r="M56" s="519"/>
      <c r="N56" s="128">
        <f t="shared" si="30"/>
        <v>18.559999999999999</v>
      </c>
      <c r="O56" s="74"/>
      <c r="P56" s="1" t="s">
        <v>1047</v>
      </c>
      <c r="Q56" s="98" t="s">
        <v>0</v>
      </c>
      <c r="R56" s="18" t="s">
        <v>11</v>
      </c>
      <c r="S56" s="112"/>
      <c r="T56" s="99">
        <f t="shared" si="21"/>
        <v>0</v>
      </c>
      <c r="U56" s="99">
        <v>0</v>
      </c>
      <c r="V56" s="99">
        <f t="shared" si="22"/>
        <v>0</v>
      </c>
      <c r="W56" s="99">
        <v>0</v>
      </c>
      <c r="X56" s="100">
        <f t="shared" si="23"/>
        <v>0</v>
      </c>
      <c r="Z56" s="1" t="s">
        <v>1048</v>
      </c>
      <c r="AB56" s="1">
        <v>10.6</v>
      </c>
      <c r="AO56" s="9" t="s">
        <v>153</v>
      </c>
      <c r="AQ56" s="9" t="s">
        <v>149</v>
      </c>
      <c r="AR56" s="9" t="s">
        <v>38</v>
      </c>
      <c r="AV56" s="9" t="s">
        <v>148</v>
      </c>
      <c r="BB56" s="72">
        <f t="shared" si="24"/>
        <v>0</v>
      </c>
      <c r="BC56" s="72">
        <f t="shared" si="25"/>
        <v>18.559999999999999</v>
      </c>
      <c r="BD56" s="72">
        <f t="shared" si="26"/>
        <v>0</v>
      </c>
      <c r="BE56" s="72">
        <f t="shared" si="27"/>
        <v>0</v>
      </c>
      <c r="BF56" s="72">
        <f t="shared" si="28"/>
        <v>0</v>
      </c>
      <c r="BG56" s="9" t="s">
        <v>42</v>
      </c>
      <c r="BH56" s="101">
        <f t="shared" si="29"/>
        <v>18.559999999999999</v>
      </c>
      <c r="BI56" s="9" t="s">
        <v>153</v>
      </c>
      <c r="BJ56" s="9" t="s">
        <v>667</v>
      </c>
    </row>
    <row r="57" spans="2:62" s="1" customFormat="1" ht="22.5" customHeight="1">
      <c r="B57" s="73"/>
      <c r="C57" s="93" t="s">
        <v>617</v>
      </c>
      <c r="D57" s="93" t="s">
        <v>149</v>
      </c>
      <c r="E57" s="94" t="s">
        <v>909</v>
      </c>
      <c r="F57" s="498" t="s">
        <v>910</v>
      </c>
      <c r="G57" s="498"/>
      <c r="H57" s="498"/>
      <c r="I57" s="498"/>
      <c r="J57" s="95" t="s">
        <v>0</v>
      </c>
      <c r="K57" s="96">
        <v>2</v>
      </c>
      <c r="L57" s="519">
        <v>9.2799999999999994</v>
      </c>
      <c r="M57" s="519"/>
      <c r="N57" s="128">
        <f t="shared" si="30"/>
        <v>18.559999999999999</v>
      </c>
      <c r="O57" s="74"/>
      <c r="P57" s="1" t="s">
        <v>1047</v>
      </c>
      <c r="Q57" s="98" t="s">
        <v>0</v>
      </c>
      <c r="R57" s="18" t="s">
        <v>11</v>
      </c>
      <c r="S57" s="112"/>
      <c r="T57" s="99">
        <f t="shared" si="21"/>
        <v>0</v>
      </c>
      <c r="U57" s="99">
        <v>0</v>
      </c>
      <c r="V57" s="99">
        <f t="shared" si="22"/>
        <v>0</v>
      </c>
      <c r="W57" s="99">
        <v>0</v>
      </c>
      <c r="X57" s="100">
        <f t="shared" si="23"/>
        <v>0</v>
      </c>
      <c r="Z57" s="1" t="s">
        <v>1046</v>
      </c>
      <c r="AB57" s="1">
        <v>10.6</v>
      </c>
      <c r="AO57" s="9" t="s">
        <v>153</v>
      </c>
      <c r="AQ57" s="9" t="s">
        <v>149</v>
      </c>
      <c r="AR57" s="9" t="s">
        <v>38</v>
      </c>
      <c r="AV57" s="9" t="s">
        <v>148</v>
      </c>
      <c r="BB57" s="72">
        <f t="shared" si="24"/>
        <v>0</v>
      </c>
      <c r="BC57" s="72">
        <f t="shared" si="25"/>
        <v>18.559999999999999</v>
      </c>
      <c r="BD57" s="72">
        <f t="shared" si="26"/>
        <v>0</v>
      </c>
      <c r="BE57" s="72">
        <f t="shared" si="27"/>
        <v>0</v>
      </c>
      <c r="BF57" s="72">
        <f t="shared" si="28"/>
        <v>0</v>
      </c>
      <c r="BG57" s="9" t="s">
        <v>42</v>
      </c>
      <c r="BH57" s="101">
        <f t="shared" si="29"/>
        <v>18.559999999999999</v>
      </c>
      <c r="BI57" s="9" t="s">
        <v>153</v>
      </c>
      <c r="BJ57" s="9" t="s">
        <v>670</v>
      </c>
    </row>
    <row r="58" spans="2:62" s="1" customFormat="1" ht="31.5" customHeight="1">
      <c r="B58" s="73"/>
      <c r="C58" s="93" t="s">
        <v>674</v>
      </c>
      <c r="D58" s="93" t="s">
        <v>149</v>
      </c>
      <c r="E58" s="94" t="s">
        <v>907</v>
      </c>
      <c r="F58" s="498" t="s">
        <v>908</v>
      </c>
      <c r="G58" s="498"/>
      <c r="H58" s="498"/>
      <c r="I58" s="498"/>
      <c r="J58" s="95" t="s">
        <v>0</v>
      </c>
      <c r="K58" s="96">
        <v>30</v>
      </c>
      <c r="L58" s="519">
        <v>12.78</v>
      </c>
      <c r="M58" s="519"/>
      <c r="N58" s="128">
        <f t="shared" ref="N58:N64" si="31">ROUND(L58*K58,3)</f>
        <v>383.4</v>
      </c>
      <c r="O58" s="74"/>
      <c r="P58" s="1" t="s">
        <v>1043</v>
      </c>
      <c r="Q58" s="98" t="s">
        <v>0</v>
      </c>
      <c r="R58" s="18" t="s">
        <v>11</v>
      </c>
      <c r="S58" s="112"/>
      <c r="T58" s="99">
        <f t="shared" si="21"/>
        <v>0</v>
      </c>
      <c r="U58" s="99">
        <v>0</v>
      </c>
      <c r="V58" s="99">
        <f t="shared" si="22"/>
        <v>0</v>
      </c>
      <c r="W58" s="99">
        <v>0</v>
      </c>
      <c r="X58" s="100">
        <f t="shared" si="23"/>
        <v>0</v>
      </c>
      <c r="Z58" s="1" t="s">
        <v>1045</v>
      </c>
      <c r="AB58" s="1">
        <v>14.6</v>
      </c>
      <c r="AO58" s="9" t="s">
        <v>153</v>
      </c>
      <c r="AQ58" s="9" t="s">
        <v>149</v>
      </c>
      <c r="AR58" s="9" t="s">
        <v>38</v>
      </c>
      <c r="AV58" s="9" t="s">
        <v>148</v>
      </c>
      <c r="BB58" s="72">
        <f t="shared" si="24"/>
        <v>0</v>
      </c>
      <c r="BC58" s="72">
        <f t="shared" si="25"/>
        <v>383.4</v>
      </c>
      <c r="BD58" s="72">
        <f t="shared" si="26"/>
        <v>0</v>
      </c>
      <c r="BE58" s="72">
        <f t="shared" si="27"/>
        <v>0</v>
      </c>
      <c r="BF58" s="72">
        <f t="shared" si="28"/>
        <v>0</v>
      </c>
      <c r="BG58" s="9" t="s">
        <v>42</v>
      </c>
      <c r="BH58" s="101">
        <f t="shared" si="29"/>
        <v>383.4</v>
      </c>
      <c r="BI58" s="9" t="s">
        <v>153</v>
      </c>
      <c r="BJ58" s="9" t="s">
        <v>673</v>
      </c>
    </row>
    <row r="59" spans="2:62" s="1" customFormat="1" ht="31.5" customHeight="1">
      <c r="B59" s="73"/>
      <c r="C59" s="93" t="s">
        <v>620</v>
      </c>
      <c r="D59" s="93" t="s">
        <v>149</v>
      </c>
      <c r="E59" s="94" t="s">
        <v>937</v>
      </c>
      <c r="F59" s="498" t="s">
        <v>938</v>
      </c>
      <c r="G59" s="498"/>
      <c r="H59" s="498"/>
      <c r="I59" s="498"/>
      <c r="J59" s="95" t="s">
        <v>0</v>
      </c>
      <c r="K59" s="96">
        <v>80</v>
      </c>
      <c r="L59" s="519">
        <v>9.4499999999999993</v>
      </c>
      <c r="M59" s="519"/>
      <c r="N59" s="128">
        <f t="shared" si="31"/>
        <v>756</v>
      </c>
      <c r="O59" s="74"/>
      <c r="P59" s="1" t="s">
        <v>1043</v>
      </c>
      <c r="Q59" s="98" t="s">
        <v>0</v>
      </c>
      <c r="R59" s="18" t="s">
        <v>11</v>
      </c>
      <c r="S59" s="112"/>
      <c r="T59" s="99">
        <f t="shared" si="21"/>
        <v>0</v>
      </c>
      <c r="U59" s="99">
        <v>0</v>
      </c>
      <c r="V59" s="99">
        <f t="shared" si="22"/>
        <v>0</v>
      </c>
      <c r="W59" s="99">
        <v>0</v>
      </c>
      <c r="X59" s="100">
        <f t="shared" si="23"/>
        <v>0</v>
      </c>
      <c r="Z59" s="1" t="s">
        <v>1060</v>
      </c>
      <c r="AB59" s="1">
        <v>10.8</v>
      </c>
      <c r="AO59" s="9" t="s">
        <v>153</v>
      </c>
      <c r="AQ59" s="9" t="s">
        <v>149</v>
      </c>
      <c r="AR59" s="9" t="s">
        <v>38</v>
      </c>
      <c r="AV59" s="9" t="s">
        <v>148</v>
      </c>
      <c r="BB59" s="72">
        <f t="shared" si="24"/>
        <v>0</v>
      </c>
      <c r="BC59" s="72">
        <f t="shared" si="25"/>
        <v>756</v>
      </c>
      <c r="BD59" s="72">
        <f t="shared" si="26"/>
        <v>0</v>
      </c>
      <c r="BE59" s="72">
        <f t="shared" si="27"/>
        <v>0</v>
      </c>
      <c r="BF59" s="72">
        <f t="shared" si="28"/>
        <v>0</v>
      </c>
      <c r="BG59" s="9" t="s">
        <v>42</v>
      </c>
      <c r="BH59" s="101">
        <f t="shared" si="29"/>
        <v>756</v>
      </c>
      <c r="BI59" s="9" t="s">
        <v>153</v>
      </c>
      <c r="BJ59" s="9" t="s">
        <v>677</v>
      </c>
    </row>
    <row r="60" spans="2:62" s="1" customFormat="1" ht="31.5" customHeight="1">
      <c r="B60" s="73"/>
      <c r="C60" s="93" t="s">
        <v>681</v>
      </c>
      <c r="D60" s="93" t="s">
        <v>149</v>
      </c>
      <c r="E60" s="94" t="s">
        <v>905</v>
      </c>
      <c r="F60" s="498" t="s">
        <v>906</v>
      </c>
      <c r="G60" s="498"/>
      <c r="H60" s="498"/>
      <c r="I60" s="498"/>
      <c r="J60" s="95" t="s">
        <v>0</v>
      </c>
      <c r="K60" s="96">
        <v>20</v>
      </c>
      <c r="L60" s="519">
        <v>6.83</v>
      </c>
      <c r="M60" s="519"/>
      <c r="N60" s="128">
        <f t="shared" si="31"/>
        <v>136.6</v>
      </c>
      <c r="O60" s="74"/>
      <c r="P60" s="1" t="s">
        <v>1043</v>
      </c>
      <c r="Q60" s="98" t="s">
        <v>0</v>
      </c>
      <c r="R60" s="18" t="s">
        <v>11</v>
      </c>
      <c r="S60" s="112"/>
      <c r="T60" s="99">
        <f t="shared" si="21"/>
        <v>0</v>
      </c>
      <c r="U60" s="99">
        <v>0</v>
      </c>
      <c r="V60" s="99">
        <f t="shared" si="22"/>
        <v>0</v>
      </c>
      <c r="W60" s="99">
        <v>0</v>
      </c>
      <c r="X60" s="100">
        <f t="shared" si="23"/>
        <v>0</v>
      </c>
      <c r="Z60" s="1" t="s">
        <v>1044</v>
      </c>
      <c r="AB60" s="1">
        <v>7.8</v>
      </c>
      <c r="AO60" s="9" t="s">
        <v>153</v>
      </c>
      <c r="AQ60" s="9" t="s">
        <v>149</v>
      </c>
      <c r="AR60" s="9" t="s">
        <v>38</v>
      </c>
      <c r="AV60" s="9" t="s">
        <v>148</v>
      </c>
      <c r="BB60" s="72">
        <f t="shared" si="24"/>
        <v>0</v>
      </c>
      <c r="BC60" s="72">
        <f t="shared" si="25"/>
        <v>136.6</v>
      </c>
      <c r="BD60" s="72">
        <f t="shared" si="26"/>
        <v>0</v>
      </c>
      <c r="BE60" s="72">
        <f t="shared" si="27"/>
        <v>0</v>
      </c>
      <c r="BF60" s="72">
        <f t="shared" si="28"/>
        <v>0</v>
      </c>
      <c r="BG60" s="9" t="s">
        <v>42</v>
      </c>
      <c r="BH60" s="101">
        <f t="shared" si="29"/>
        <v>136.6</v>
      </c>
      <c r="BI60" s="9" t="s">
        <v>153</v>
      </c>
      <c r="BJ60" s="9" t="s">
        <v>680</v>
      </c>
    </row>
    <row r="61" spans="2:62" s="1" customFormat="1" ht="31.5" customHeight="1">
      <c r="B61" s="73"/>
      <c r="C61" s="93" t="s">
        <v>623</v>
      </c>
      <c r="D61" s="93" t="s">
        <v>149</v>
      </c>
      <c r="E61" s="94" t="s">
        <v>939</v>
      </c>
      <c r="F61" s="498" t="s">
        <v>940</v>
      </c>
      <c r="G61" s="498"/>
      <c r="H61" s="498"/>
      <c r="I61" s="498"/>
      <c r="J61" s="95" t="s">
        <v>0</v>
      </c>
      <c r="K61" s="96">
        <v>190</v>
      </c>
      <c r="L61" s="519">
        <v>7.35</v>
      </c>
      <c r="M61" s="519"/>
      <c r="N61" s="128">
        <f t="shared" si="31"/>
        <v>1396.5</v>
      </c>
      <c r="O61" s="74"/>
      <c r="P61" s="1" t="s">
        <v>1041</v>
      </c>
      <c r="Q61" s="98" t="s">
        <v>0</v>
      </c>
      <c r="R61" s="18" t="s">
        <v>11</v>
      </c>
      <c r="S61" s="112"/>
      <c r="T61" s="99">
        <f t="shared" si="21"/>
        <v>0</v>
      </c>
      <c r="U61" s="99">
        <v>0</v>
      </c>
      <c r="V61" s="99">
        <f t="shared" si="22"/>
        <v>0</v>
      </c>
      <c r="W61" s="99">
        <v>0</v>
      </c>
      <c r="X61" s="100">
        <f t="shared" si="23"/>
        <v>0</v>
      </c>
      <c r="Z61" s="1" t="s">
        <v>1042</v>
      </c>
      <c r="AB61" s="1">
        <v>8.4</v>
      </c>
      <c r="AO61" s="9" t="s">
        <v>153</v>
      </c>
      <c r="AQ61" s="9" t="s">
        <v>149</v>
      </c>
      <c r="AR61" s="9" t="s">
        <v>38</v>
      </c>
      <c r="AV61" s="9" t="s">
        <v>148</v>
      </c>
      <c r="BB61" s="72">
        <f t="shared" si="24"/>
        <v>0</v>
      </c>
      <c r="BC61" s="72">
        <f t="shared" si="25"/>
        <v>1396.5</v>
      </c>
      <c r="BD61" s="72">
        <f t="shared" si="26"/>
        <v>0</v>
      </c>
      <c r="BE61" s="72">
        <f t="shared" si="27"/>
        <v>0</v>
      </c>
      <c r="BF61" s="72">
        <f t="shared" si="28"/>
        <v>0</v>
      </c>
      <c r="BG61" s="9" t="s">
        <v>42</v>
      </c>
      <c r="BH61" s="101">
        <f t="shared" si="29"/>
        <v>1396.5</v>
      </c>
      <c r="BI61" s="9" t="s">
        <v>153</v>
      </c>
      <c r="BJ61" s="9" t="s">
        <v>684</v>
      </c>
    </row>
    <row r="62" spans="2:62" s="1" customFormat="1" ht="22.5" customHeight="1">
      <c r="B62" s="73"/>
      <c r="C62" s="93" t="s">
        <v>688</v>
      </c>
      <c r="D62" s="93" t="s">
        <v>149</v>
      </c>
      <c r="E62" s="94" t="s">
        <v>944</v>
      </c>
      <c r="F62" s="498" t="s">
        <v>902</v>
      </c>
      <c r="G62" s="498"/>
      <c r="H62" s="498"/>
      <c r="I62" s="498"/>
      <c r="J62" s="95" t="s">
        <v>0</v>
      </c>
      <c r="K62" s="96">
        <v>1</v>
      </c>
      <c r="L62" s="519">
        <v>108.5</v>
      </c>
      <c r="M62" s="519"/>
      <c r="N62" s="128">
        <f t="shared" si="31"/>
        <v>108.5</v>
      </c>
      <c r="O62" s="74"/>
      <c r="P62" s="1" t="s">
        <v>1043</v>
      </c>
      <c r="Q62" s="98" t="s">
        <v>0</v>
      </c>
      <c r="R62" s="18" t="s">
        <v>11</v>
      </c>
      <c r="S62" s="112"/>
      <c r="T62" s="99">
        <f t="shared" si="21"/>
        <v>0</v>
      </c>
      <c r="U62" s="99">
        <v>0</v>
      </c>
      <c r="V62" s="99">
        <f t="shared" si="22"/>
        <v>0</v>
      </c>
      <c r="W62" s="99">
        <v>0</v>
      </c>
      <c r="X62" s="100">
        <f t="shared" si="23"/>
        <v>0</v>
      </c>
      <c r="Z62" s="1" t="s">
        <v>1040</v>
      </c>
      <c r="AB62" s="1">
        <v>124</v>
      </c>
      <c r="AO62" s="9" t="s">
        <v>153</v>
      </c>
      <c r="AQ62" s="9" t="s">
        <v>149</v>
      </c>
      <c r="AR62" s="9" t="s">
        <v>38</v>
      </c>
      <c r="AV62" s="9" t="s">
        <v>148</v>
      </c>
      <c r="BB62" s="72">
        <f t="shared" si="24"/>
        <v>0</v>
      </c>
      <c r="BC62" s="72">
        <f t="shared" si="25"/>
        <v>108.5</v>
      </c>
      <c r="BD62" s="72">
        <f t="shared" si="26"/>
        <v>0</v>
      </c>
      <c r="BE62" s="72">
        <f t="shared" si="27"/>
        <v>0</v>
      </c>
      <c r="BF62" s="72">
        <f t="shared" si="28"/>
        <v>0</v>
      </c>
      <c r="BG62" s="9" t="s">
        <v>42</v>
      </c>
      <c r="BH62" s="101">
        <f t="shared" si="29"/>
        <v>108.5</v>
      </c>
      <c r="BI62" s="9" t="s">
        <v>153</v>
      </c>
      <c r="BJ62" s="9" t="s">
        <v>687</v>
      </c>
    </row>
    <row r="63" spans="2:62" s="1" customFormat="1" ht="22.5" customHeight="1">
      <c r="B63" s="73"/>
      <c r="C63" s="93" t="s">
        <v>626</v>
      </c>
      <c r="D63" s="93" t="s">
        <v>149</v>
      </c>
      <c r="E63" s="94" t="s">
        <v>945</v>
      </c>
      <c r="F63" s="498" t="s">
        <v>900</v>
      </c>
      <c r="G63" s="498"/>
      <c r="H63" s="498"/>
      <c r="I63" s="498"/>
      <c r="J63" s="95" t="s">
        <v>0</v>
      </c>
      <c r="K63" s="96">
        <v>1</v>
      </c>
      <c r="L63" s="519">
        <v>192.5</v>
      </c>
      <c r="M63" s="519"/>
      <c r="N63" s="128">
        <f t="shared" si="31"/>
        <v>192.5</v>
      </c>
      <c r="O63" s="74"/>
      <c r="P63" s="1" t="s">
        <v>1043</v>
      </c>
      <c r="Q63" s="98" t="s">
        <v>0</v>
      </c>
      <c r="R63" s="18" t="s">
        <v>11</v>
      </c>
      <c r="S63" s="112"/>
      <c r="T63" s="99">
        <f t="shared" si="21"/>
        <v>0</v>
      </c>
      <c r="U63" s="99">
        <v>0</v>
      </c>
      <c r="V63" s="99">
        <f t="shared" si="22"/>
        <v>0</v>
      </c>
      <c r="W63" s="99">
        <v>0</v>
      </c>
      <c r="X63" s="100">
        <f t="shared" si="23"/>
        <v>0</v>
      </c>
      <c r="Z63" s="1" t="s">
        <v>1039</v>
      </c>
      <c r="AB63" s="1">
        <v>220</v>
      </c>
      <c r="AO63" s="9" t="s">
        <v>153</v>
      </c>
      <c r="AQ63" s="9" t="s">
        <v>149</v>
      </c>
      <c r="AR63" s="9" t="s">
        <v>38</v>
      </c>
      <c r="AV63" s="9" t="s">
        <v>148</v>
      </c>
      <c r="BB63" s="72">
        <f t="shared" si="24"/>
        <v>0</v>
      </c>
      <c r="BC63" s="72">
        <f t="shared" si="25"/>
        <v>192.5</v>
      </c>
      <c r="BD63" s="72">
        <f t="shared" si="26"/>
        <v>0</v>
      </c>
      <c r="BE63" s="72">
        <f t="shared" si="27"/>
        <v>0</v>
      </c>
      <c r="BF63" s="72">
        <f t="shared" si="28"/>
        <v>0</v>
      </c>
      <c r="BG63" s="9" t="s">
        <v>42</v>
      </c>
      <c r="BH63" s="101">
        <f t="shared" si="29"/>
        <v>192.5</v>
      </c>
      <c r="BI63" s="9" t="s">
        <v>153</v>
      </c>
      <c r="BJ63" s="9" t="s">
        <v>691</v>
      </c>
    </row>
    <row r="64" spans="2:62" s="1" customFormat="1" ht="22.5" customHeight="1">
      <c r="B64" s="73"/>
      <c r="C64" s="93" t="s">
        <v>694</v>
      </c>
      <c r="D64" s="93" t="s">
        <v>149</v>
      </c>
      <c r="E64" s="94" t="s">
        <v>946</v>
      </c>
      <c r="F64" s="498" t="s">
        <v>898</v>
      </c>
      <c r="G64" s="498"/>
      <c r="H64" s="498"/>
      <c r="I64" s="498"/>
      <c r="J64" s="95" t="s">
        <v>0</v>
      </c>
      <c r="K64" s="96">
        <v>1</v>
      </c>
      <c r="L64" s="519">
        <v>85.75</v>
      </c>
      <c r="M64" s="519"/>
      <c r="N64" s="128">
        <f t="shared" si="31"/>
        <v>85.75</v>
      </c>
      <c r="O64" s="74"/>
      <c r="P64" s="1" t="s">
        <v>1043</v>
      </c>
      <c r="Q64" s="98" t="s">
        <v>0</v>
      </c>
      <c r="R64" s="18" t="s">
        <v>11</v>
      </c>
      <c r="S64" s="112"/>
      <c r="T64" s="99">
        <f t="shared" si="21"/>
        <v>0</v>
      </c>
      <c r="U64" s="99">
        <v>0</v>
      </c>
      <c r="V64" s="99">
        <f t="shared" si="22"/>
        <v>0</v>
      </c>
      <c r="W64" s="99">
        <v>0</v>
      </c>
      <c r="X64" s="100">
        <f t="shared" si="23"/>
        <v>0</v>
      </c>
      <c r="Z64" s="1" t="s">
        <v>1038</v>
      </c>
      <c r="AB64" s="1">
        <v>98</v>
      </c>
      <c r="AO64" s="9" t="s">
        <v>153</v>
      </c>
      <c r="AQ64" s="9" t="s">
        <v>149</v>
      </c>
      <c r="AR64" s="9" t="s">
        <v>38</v>
      </c>
      <c r="AV64" s="9" t="s">
        <v>148</v>
      </c>
      <c r="BB64" s="72">
        <f t="shared" si="24"/>
        <v>0</v>
      </c>
      <c r="BC64" s="72">
        <f t="shared" si="25"/>
        <v>85.75</v>
      </c>
      <c r="BD64" s="72">
        <f t="shared" si="26"/>
        <v>0</v>
      </c>
      <c r="BE64" s="72">
        <f t="shared" si="27"/>
        <v>0</v>
      </c>
      <c r="BF64" s="72">
        <f t="shared" si="28"/>
        <v>0</v>
      </c>
      <c r="BG64" s="9" t="s">
        <v>42</v>
      </c>
      <c r="BH64" s="101">
        <f t="shared" si="29"/>
        <v>85.75</v>
      </c>
      <c r="BI64" s="9" t="s">
        <v>153</v>
      </c>
      <c r="BJ64" s="9" t="s">
        <v>567</v>
      </c>
    </row>
    <row r="65" spans="2:62" s="7" customFormat="1" ht="37.35" customHeight="1">
      <c r="B65" s="82"/>
      <c r="C65" s="83"/>
      <c r="D65" s="84" t="s">
        <v>896</v>
      </c>
      <c r="E65" s="84"/>
      <c r="F65" s="84"/>
      <c r="G65" s="84"/>
      <c r="H65" s="84"/>
      <c r="I65" s="84"/>
      <c r="J65" s="84"/>
      <c r="K65" s="84"/>
      <c r="L65" s="84"/>
      <c r="M65" s="84"/>
      <c r="N65" s="139">
        <f>BH65</f>
        <v>14994.239999999998</v>
      </c>
      <c r="O65" s="85"/>
      <c r="Q65" s="86"/>
      <c r="R65" s="83"/>
      <c r="S65" s="83"/>
      <c r="T65" s="87">
        <f>SUM(T66:T82)</f>
        <v>0</v>
      </c>
      <c r="U65" s="83"/>
      <c r="V65" s="87">
        <f>SUM(V66:V82)</f>
        <v>0</v>
      </c>
      <c r="W65" s="83"/>
      <c r="X65" s="88">
        <f>SUM(X66:X82)</f>
        <v>0</v>
      </c>
      <c r="AO65" s="89" t="s">
        <v>38</v>
      </c>
      <c r="AQ65" s="90" t="s">
        <v>30</v>
      </c>
      <c r="AR65" s="90" t="s">
        <v>31</v>
      </c>
      <c r="AV65" s="89" t="s">
        <v>148</v>
      </c>
      <c r="BH65" s="91">
        <f>SUM(BH66:BH82)</f>
        <v>14994.239999999998</v>
      </c>
    </row>
    <row r="66" spans="2:62" s="1" customFormat="1" ht="22.5" customHeight="1">
      <c r="B66" s="73"/>
      <c r="C66" s="93" t="s">
        <v>629</v>
      </c>
      <c r="D66" s="93" t="s">
        <v>149</v>
      </c>
      <c r="E66" s="94" t="s">
        <v>927</v>
      </c>
      <c r="F66" s="498" t="s">
        <v>928</v>
      </c>
      <c r="G66" s="498"/>
      <c r="H66" s="498"/>
      <c r="I66" s="498"/>
      <c r="J66" s="95" t="s">
        <v>0</v>
      </c>
      <c r="K66" s="96">
        <v>1</v>
      </c>
      <c r="L66" s="519">
        <v>11239.38</v>
      </c>
      <c r="M66" s="519"/>
      <c r="N66" s="128">
        <f>ROUND(L66*K66,3)</f>
        <v>11239.38</v>
      </c>
      <c r="O66" s="74"/>
      <c r="P66" s="1" t="s">
        <v>1049</v>
      </c>
      <c r="Q66" s="98" t="s">
        <v>0</v>
      </c>
      <c r="R66" s="18" t="s">
        <v>11</v>
      </c>
      <c r="S66" s="112"/>
      <c r="T66" s="99">
        <f t="shared" ref="T66:T82" si="32">S66*K66</f>
        <v>0</v>
      </c>
      <c r="U66" s="99">
        <v>0</v>
      </c>
      <c r="V66" s="99">
        <f t="shared" ref="V66:V82" si="33">U66*K66</f>
        <v>0</v>
      </c>
      <c r="W66" s="99">
        <v>0</v>
      </c>
      <c r="X66" s="100">
        <f t="shared" ref="X66:X82" si="34">W66*K66</f>
        <v>0</v>
      </c>
      <c r="Z66" s="1" t="s">
        <v>1056</v>
      </c>
      <c r="AB66" s="1">
        <v>12845</v>
      </c>
      <c r="AO66" s="9" t="s">
        <v>153</v>
      </c>
      <c r="AQ66" s="9" t="s">
        <v>149</v>
      </c>
      <c r="AR66" s="9" t="s">
        <v>38</v>
      </c>
      <c r="AV66" s="9" t="s">
        <v>148</v>
      </c>
      <c r="BB66" s="72">
        <f t="shared" ref="BB66:BB82" si="35">IF(R66="základná",N66,0)</f>
        <v>0</v>
      </c>
      <c r="BC66" s="72">
        <f t="shared" ref="BC66:BC82" si="36">IF(R66="znížená",N66,0)</f>
        <v>11239.38</v>
      </c>
      <c r="BD66" s="72">
        <f t="shared" ref="BD66:BD82" si="37">IF(R66="zákl. prenesená",N66,0)</f>
        <v>0</v>
      </c>
      <c r="BE66" s="72">
        <f t="shared" ref="BE66:BE82" si="38">IF(R66="zníž. prenesená",N66,0)</f>
        <v>0</v>
      </c>
      <c r="BF66" s="72">
        <f t="shared" ref="BF66:BF82" si="39">IF(R66="nulová",N66,0)</f>
        <v>0</v>
      </c>
      <c r="BG66" s="9" t="s">
        <v>42</v>
      </c>
      <c r="BH66" s="101">
        <f>ROUND(L66*K66,3)</f>
        <v>11239.38</v>
      </c>
      <c r="BI66" s="9" t="s">
        <v>153</v>
      </c>
      <c r="BJ66" s="9" t="s">
        <v>575</v>
      </c>
    </row>
    <row r="67" spans="2:62" s="1" customFormat="1" ht="22.5" customHeight="1">
      <c r="B67" s="73"/>
      <c r="C67" s="93" t="s">
        <v>699</v>
      </c>
      <c r="D67" s="93" t="s">
        <v>149</v>
      </c>
      <c r="E67" s="94" t="s">
        <v>925</v>
      </c>
      <c r="F67" s="498" t="s">
        <v>926</v>
      </c>
      <c r="G67" s="498"/>
      <c r="H67" s="498"/>
      <c r="I67" s="498"/>
      <c r="J67" s="95" t="s">
        <v>0</v>
      </c>
      <c r="K67" s="96">
        <v>2</v>
      </c>
      <c r="L67" s="519">
        <v>16.36</v>
      </c>
      <c r="M67" s="519"/>
      <c r="N67" s="128">
        <f t="shared" ref="N67:N75" si="40">ROUND(L67*K67,3)</f>
        <v>32.72</v>
      </c>
      <c r="O67" s="74"/>
      <c r="P67" s="1" t="s">
        <v>1049</v>
      </c>
      <c r="Q67" s="98" t="s">
        <v>0</v>
      </c>
      <c r="R67" s="18" t="s">
        <v>11</v>
      </c>
      <c r="S67" s="112"/>
      <c r="T67" s="99">
        <f t="shared" si="32"/>
        <v>0</v>
      </c>
      <c r="U67" s="99">
        <v>0</v>
      </c>
      <c r="V67" s="99">
        <f t="shared" si="33"/>
        <v>0</v>
      </c>
      <c r="W67" s="99">
        <v>0</v>
      </c>
      <c r="X67" s="100">
        <f t="shared" si="34"/>
        <v>0</v>
      </c>
      <c r="Z67" s="1" t="s">
        <v>1055</v>
      </c>
      <c r="AB67" s="1">
        <v>18.7</v>
      </c>
      <c r="AO67" s="9" t="s">
        <v>153</v>
      </c>
      <c r="AQ67" s="9" t="s">
        <v>149</v>
      </c>
      <c r="AR67" s="9" t="s">
        <v>38</v>
      </c>
      <c r="AV67" s="9" t="s">
        <v>148</v>
      </c>
      <c r="BB67" s="72">
        <f t="shared" si="35"/>
        <v>0</v>
      </c>
      <c r="BC67" s="72">
        <f t="shared" si="36"/>
        <v>32.72</v>
      </c>
      <c r="BD67" s="72">
        <f t="shared" si="37"/>
        <v>0</v>
      </c>
      <c r="BE67" s="72">
        <f t="shared" si="38"/>
        <v>0</v>
      </c>
      <c r="BF67" s="72">
        <f t="shared" si="39"/>
        <v>0</v>
      </c>
      <c r="BG67" s="9" t="s">
        <v>42</v>
      </c>
      <c r="BH67" s="101">
        <f t="shared" ref="BH67:BH75" si="41">ROUND(L67*K67,3)</f>
        <v>32.72</v>
      </c>
      <c r="BI67" s="9" t="s">
        <v>153</v>
      </c>
      <c r="BJ67" s="9" t="s">
        <v>577</v>
      </c>
    </row>
    <row r="68" spans="2:62" s="1" customFormat="1" ht="22.5" customHeight="1">
      <c r="B68" s="73"/>
      <c r="C68" s="93" t="s">
        <v>632</v>
      </c>
      <c r="D68" s="93" t="s">
        <v>149</v>
      </c>
      <c r="E68" s="94" t="s">
        <v>923</v>
      </c>
      <c r="F68" s="498" t="s">
        <v>924</v>
      </c>
      <c r="G68" s="498"/>
      <c r="H68" s="498"/>
      <c r="I68" s="498"/>
      <c r="J68" s="95" t="s">
        <v>0</v>
      </c>
      <c r="K68" s="96">
        <v>4</v>
      </c>
      <c r="L68" s="519">
        <v>12.73</v>
      </c>
      <c r="M68" s="519"/>
      <c r="N68" s="128">
        <f t="shared" si="40"/>
        <v>50.92</v>
      </c>
      <c r="O68" s="74"/>
      <c r="P68" s="1" t="s">
        <v>1049</v>
      </c>
      <c r="Q68" s="98" t="s">
        <v>0</v>
      </c>
      <c r="R68" s="18" t="s">
        <v>11</v>
      </c>
      <c r="S68" s="112"/>
      <c r="T68" s="99">
        <f t="shared" si="32"/>
        <v>0</v>
      </c>
      <c r="U68" s="99">
        <v>0</v>
      </c>
      <c r="V68" s="99">
        <f t="shared" si="33"/>
        <v>0</v>
      </c>
      <c r="W68" s="99">
        <v>0</v>
      </c>
      <c r="X68" s="100">
        <f t="shared" si="34"/>
        <v>0</v>
      </c>
      <c r="Z68" s="1" t="s">
        <v>1054</v>
      </c>
      <c r="AB68" s="1">
        <v>14.55</v>
      </c>
      <c r="AO68" s="9" t="s">
        <v>153</v>
      </c>
      <c r="AQ68" s="9" t="s">
        <v>149</v>
      </c>
      <c r="AR68" s="9" t="s">
        <v>38</v>
      </c>
      <c r="AV68" s="9" t="s">
        <v>148</v>
      </c>
      <c r="BB68" s="72">
        <f t="shared" si="35"/>
        <v>0</v>
      </c>
      <c r="BC68" s="72">
        <f t="shared" si="36"/>
        <v>50.92</v>
      </c>
      <c r="BD68" s="72">
        <f t="shared" si="37"/>
        <v>0</v>
      </c>
      <c r="BE68" s="72">
        <f t="shared" si="38"/>
        <v>0</v>
      </c>
      <c r="BF68" s="72">
        <f t="shared" si="39"/>
        <v>0</v>
      </c>
      <c r="BG68" s="9" t="s">
        <v>42</v>
      </c>
      <c r="BH68" s="101">
        <f t="shared" si="41"/>
        <v>50.92</v>
      </c>
      <c r="BI68" s="9" t="s">
        <v>153</v>
      </c>
      <c r="BJ68" s="9" t="s">
        <v>702</v>
      </c>
    </row>
    <row r="69" spans="2:62" s="1" customFormat="1" ht="22.5" customHeight="1">
      <c r="B69" s="73"/>
      <c r="C69" s="93" t="s">
        <v>706</v>
      </c>
      <c r="D69" s="93" t="s">
        <v>149</v>
      </c>
      <c r="E69" s="94" t="s">
        <v>921</v>
      </c>
      <c r="F69" s="498" t="s">
        <v>922</v>
      </c>
      <c r="G69" s="498"/>
      <c r="H69" s="498"/>
      <c r="I69" s="498"/>
      <c r="J69" s="95" t="s">
        <v>0</v>
      </c>
      <c r="K69" s="96">
        <v>2</v>
      </c>
      <c r="L69" s="519">
        <v>166.25</v>
      </c>
      <c r="M69" s="519"/>
      <c r="N69" s="128">
        <f t="shared" si="40"/>
        <v>332.5</v>
      </c>
      <c r="O69" s="74"/>
      <c r="P69" s="1" t="s">
        <v>1049</v>
      </c>
      <c r="Q69" s="98" t="s">
        <v>0</v>
      </c>
      <c r="R69" s="18" t="s">
        <v>11</v>
      </c>
      <c r="S69" s="112"/>
      <c r="T69" s="99">
        <f t="shared" si="32"/>
        <v>0</v>
      </c>
      <c r="U69" s="99">
        <v>0</v>
      </c>
      <c r="V69" s="99">
        <f t="shared" si="33"/>
        <v>0</v>
      </c>
      <c r="W69" s="99">
        <v>0</v>
      </c>
      <c r="X69" s="100">
        <f t="shared" si="34"/>
        <v>0</v>
      </c>
      <c r="Z69" s="1" t="s">
        <v>1053</v>
      </c>
      <c r="AB69" s="1">
        <v>190</v>
      </c>
      <c r="AO69" s="9" t="s">
        <v>153</v>
      </c>
      <c r="AQ69" s="9" t="s">
        <v>149</v>
      </c>
      <c r="AR69" s="9" t="s">
        <v>38</v>
      </c>
      <c r="AV69" s="9" t="s">
        <v>148</v>
      </c>
      <c r="BB69" s="72">
        <f t="shared" si="35"/>
        <v>0</v>
      </c>
      <c r="BC69" s="72">
        <f t="shared" si="36"/>
        <v>332.5</v>
      </c>
      <c r="BD69" s="72">
        <f t="shared" si="37"/>
        <v>0</v>
      </c>
      <c r="BE69" s="72">
        <f t="shared" si="38"/>
        <v>0</v>
      </c>
      <c r="BF69" s="72">
        <f t="shared" si="39"/>
        <v>0</v>
      </c>
      <c r="BG69" s="9" t="s">
        <v>42</v>
      </c>
      <c r="BH69" s="101">
        <f t="shared" si="41"/>
        <v>332.5</v>
      </c>
      <c r="BI69" s="9" t="s">
        <v>153</v>
      </c>
      <c r="BJ69" s="9" t="s">
        <v>705</v>
      </c>
    </row>
    <row r="70" spans="2:62" s="1" customFormat="1" ht="22.5" customHeight="1">
      <c r="B70" s="73"/>
      <c r="C70" s="93" t="s">
        <v>635</v>
      </c>
      <c r="D70" s="93" t="s">
        <v>149</v>
      </c>
      <c r="E70" s="94" t="s">
        <v>919</v>
      </c>
      <c r="F70" s="498" t="s">
        <v>920</v>
      </c>
      <c r="G70" s="498"/>
      <c r="H70" s="498"/>
      <c r="I70" s="498"/>
      <c r="J70" s="95" t="s">
        <v>0</v>
      </c>
      <c r="K70" s="96">
        <v>2</v>
      </c>
      <c r="L70" s="519">
        <v>68.25</v>
      </c>
      <c r="M70" s="519"/>
      <c r="N70" s="128">
        <f t="shared" si="40"/>
        <v>136.5</v>
      </c>
      <c r="O70" s="74"/>
      <c r="P70" s="1" t="s">
        <v>1047</v>
      </c>
      <c r="Q70" s="98" t="s">
        <v>0</v>
      </c>
      <c r="R70" s="18" t="s">
        <v>11</v>
      </c>
      <c r="S70" s="112"/>
      <c r="T70" s="99">
        <f t="shared" si="32"/>
        <v>0</v>
      </c>
      <c r="U70" s="99">
        <v>0</v>
      </c>
      <c r="V70" s="99">
        <f t="shared" si="33"/>
        <v>0</v>
      </c>
      <c r="W70" s="99">
        <v>0</v>
      </c>
      <c r="X70" s="100">
        <f t="shared" si="34"/>
        <v>0</v>
      </c>
      <c r="Z70" s="1" t="s">
        <v>1051</v>
      </c>
      <c r="AB70" s="1">
        <v>78</v>
      </c>
      <c r="AO70" s="9" t="s">
        <v>153</v>
      </c>
      <c r="AQ70" s="9" t="s">
        <v>149</v>
      </c>
      <c r="AR70" s="9" t="s">
        <v>38</v>
      </c>
      <c r="AV70" s="9" t="s">
        <v>148</v>
      </c>
      <c r="BB70" s="72">
        <f t="shared" si="35"/>
        <v>0</v>
      </c>
      <c r="BC70" s="72">
        <f t="shared" si="36"/>
        <v>136.5</v>
      </c>
      <c r="BD70" s="72">
        <f t="shared" si="37"/>
        <v>0</v>
      </c>
      <c r="BE70" s="72">
        <f t="shared" si="38"/>
        <v>0</v>
      </c>
      <c r="BF70" s="72">
        <f t="shared" si="39"/>
        <v>0</v>
      </c>
      <c r="BG70" s="9" t="s">
        <v>42</v>
      </c>
      <c r="BH70" s="101">
        <f t="shared" si="41"/>
        <v>136.5</v>
      </c>
      <c r="BI70" s="9" t="s">
        <v>153</v>
      </c>
      <c r="BJ70" s="9" t="s">
        <v>709</v>
      </c>
    </row>
    <row r="71" spans="2:62" s="1" customFormat="1" ht="31.5" customHeight="1">
      <c r="B71" s="73"/>
      <c r="C71" s="93" t="s">
        <v>713</v>
      </c>
      <c r="D71" s="93" t="s">
        <v>149</v>
      </c>
      <c r="E71" s="94" t="s">
        <v>917</v>
      </c>
      <c r="F71" s="498" t="s">
        <v>918</v>
      </c>
      <c r="G71" s="498"/>
      <c r="H71" s="498"/>
      <c r="I71" s="498"/>
      <c r="J71" s="95" t="s">
        <v>0</v>
      </c>
      <c r="K71" s="96">
        <v>2</v>
      </c>
      <c r="L71" s="519">
        <v>70</v>
      </c>
      <c r="M71" s="519"/>
      <c r="N71" s="128">
        <f t="shared" si="40"/>
        <v>140</v>
      </c>
      <c r="O71" s="74"/>
      <c r="P71" s="1" t="s">
        <v>1047</v>
      </c>
      <c r="Q71" s="98" t="s">
        <v>0</v>
      </c>
      <c r="R71" s="18" t="s">
        <v>11</v>
      </c>
      <c r="S71" s="112"/>
      <c r="T71" s="99">
        <f t="shared" si="32"/>
        <v>0</v>
      </c>
      <c r="U71" s="99">
        <v>0</v>
      </c>
      <c r="V71" s="99">
        <f t="shared" si="33"/>
        <v>0</v>
      </c>
      <c r="W71" s="99">
        <v>0</v>
      </c>
      <c r="X71" s="100">
        <f t="shared" si="34"/>
        <v>0</v>
      </c>
      <c r="Z71" s="1" t="s">
        <v>1052</v>
      </c>
      <c r="AB71" s="1">
        <v>80</v>
      </c>
      <c r="AO71" s="9" t="s">
        <v>153</v>
      </c>
      <c r="AQ71" s="9" t="s">
        <v>149</v>
      </c>
      <c r="AR71" s="9" t="s">
        <v>38</v>
      </c>
      <c r="AV71" s="9" t="s">
        <v>148</v>
      </c>
      <c r="BB71" s="72">
        <f t="shared" si="35"/>
        <v>0</v>
      </c>
      <c r="BC71" s="72">
        <f t="shared" si="36"/>
        <v>140</v>
      </c>
      <c r="BD71" s="72">
        <f t="shared" si="37"/>
        <v>0</v>
      </c>
      <c r="BE71" s="72">
        <f t="shared" si="38"/>
        <v>0</v>
      </c>
      <c r="BF71" s="72">
        <f t="shared" si="39"/>
        <v>0</v>
      </c>
      <c r="BG71" s="9" t="s">
        <v>42</v>
      </c>
      <c r="BH71" s="101">
        <f t="shared" si="41"/>
        <v>140</v>
      </c>
      <c r="BI71" s="9" t="s">
        <v>153</v>
      </c>
      <c r="BJ71" s="9" t="s">
        <v>712</v>
      </c>
    </row>
    <row r="72" spans="2:62" s="1" customFormat="1" ht="31.5" customHeight="1">
      <c r="B72" s="73"/>
      <c r="C72" s="93" t="s">
        <v>638</v>
      </c>
      <c r="D72" s="93" t="s">
        <v>149</v>
      </c>
      <c r="E72" s="94" t="s">
        <v>915</v>
      </c>
      <c r="F72" s="498" t="s">
        <v>916</v>
      </c>
      <c r="G72" s="498"/>
      <c r="H72" s="498"/>
      <c r="I72" s="498"/>
      <c r="J72" s="95" t="s">
        <v>0</v>
      </c>
      <c r="K72" s="96">
        <v>4</v>
      </c>
      <c r="L72" s="519">
        <v>22.75</v>
      </c>
      <c r="M72" s="519"/>
      <c r="N72" s="128">
        <f t="shared" si="40"/>
        <v>91</v>
      </c>
      <c r="O72" s="74"/>
      <c r="P72" s="1" t="s">
        <v>1049</v>
      </c>
      <c r="Q72" s="98" t="s">
        <v>0</v>
      </c>
      <c r="R72" s="18" t="s">
        <v>11</v>
      </c>
      <c r="S72" s="112"/>
      <c r="T72" s="99">
        <f t="shared" si="32"/>
        <v>0</v>
      </c>
      <c r="U72" s="99">
        <v>0</v>
      </c>
      <c r="V72" s="99">
        <f t="shared" si="33"/>
        <v>0</v>
      </c>
      <c r="W72" s="99">
        <v>0</v>
      </c>
      <c r="X72" s="100">
        <f t="shared" si="34"/>
        <v>0</v>
      </c>
      <c r="Z72" s="1" t="s">
        <v>1050</v>
      </c>
      <c r="AB72" s="1">
        <v>26</v>
      </c>
      <c r="AO72" s="9" t="s">
        <v>153</v>
      </c>
      <c r="AQ72" s="9" t="s">
        <v>149</v>
      </c>
      <c r="AR72" s="9" t="s">
        <v>38</v>
      </c>
      <c r="AV72" s="9" t="s">
        <v>148</v>
      </c>
      <c r="BB72" s="72">
        <f t="shared" si="35"/>
        <v>0</v>
      </c>
      <c r="BC72" s="72">
        <f t="shared" si="36"/>
        <v>91</v>
      </c>
      <c r="BD72" s="72">
        <f t="shared" si="37"/>
        <v>0</v>
      </c>
      <c r="BE72" s="72">
        <f t="shared" si="38"/>
        <v>0</v>
      </c>
      <c r="BF72" s="72">
        <f t="shared" si="39"/>
        <v>0</v>
      </c>
      <c r="BG72" s="9" t="s">
        <v>42</v>
      </c>
      <c r="BH72" s="101">
        <f t="shared" si="41"/>
        <v>91</v>
      </c>
      <c r="BI72" s="9" t="s">
        <v>153</v>
      </c>
      <c r="BJ72" s="9" t="s">
        <v>716</v>
      </c>
    </row>
    <row r="73" spans="2:62" s="1" customFormat="1" ht="31.5" customHeight="1">
      <c r="B73" s="73"/>
      <c r="C73" s="93" t="s">
        <v>720</v>
      </c>
      <c r="D73" s="93" t="s">
        <v>149</v>
      </c>
      <c r="E73" s="94" t="s">
        <v>913</v>
      </c>
      <c r="F73" s="498" t="s">
        <v>914</v>
      </c>
      <c r="G73" s="498"/>
      <c r="H73" s="498"/>
      <c r="I73" s="498"/>
      <c r="J73" s="95" t="s">
        <v>0</v>
      </c>
      <c r="K73" s="96">
        <v>12</v>
      </c>
      <c r="L73" s="519">
        <v>15.75</v>
      </c>
      <c r="M73" s="519"/>
      <c r="N73" s="128">
        <f t="shared" si="40"/>
        <v>189</v>
      </c>
      <c r="O73" s="74"/>
      <c r="P73" s="1" t="s">
        <v>1049</v>
      </c>
      <c r="Q73" s="98" t="s">
        <v>0</v>
      </c>
      <c r="R73" s="18" t="s">
        <v>11</v>
      </c>
      <c r="S73" s="112"/>
      <c r="T73" s="99">
        <f t="shared" si="32"/>
        <v>0</v>
      </c>
      <c r="U73" s="99">
        <v>0</v>
      </c>
      <c r="V73" s="99">
        <f t="shared" si="33"/>
        <v>0</v>
      </c>
      <c r="W73" s="99">
        <v>0</v>
      </c>
      <c r="X73" s="100">
        <f t="shared" si="34"/>
        <v>0</v>
      </c>
      <c r="Z73" s="1" t="s">
        <v>1050</v>
      </c>
      <c r="AB73" s="1">
        <v>18</v>
      </c>
      <c r="AO73" s="9" t="s">
        <v>153</v>
      </c>
      <c r="AQ73" s="9" t="s">
        <v>149</v>
      </c>
      <c r="AR73" s="9" t="s">
        <v>38</v>
      </c>
      <c r="AV73" s="9" t="s">
        <v>148</v>
      </c>
      <c r="BB73" s="72">
        <f t="shared" si="35"/>
        <v>0</v>
      </c>
      <c r="BC73" s="72">
        <f t="shared" si="36"/>
        <v>189</v>
      </c>
      <c r="BD73" s="72">
        <f t="shared" si="37"/>
        <v>0</v>
      </c>
      <c r="BE73" s="72">
        <f t="shared" si="38"/>
        <v>0</v>
      </c>
      <c r="BF73" s="72">
        <f t="shared" si="39"/>
        <v>0</v>
      </c>
      <c r="BG73" s="9" t="s">
        <v>42</v>
      </c>
      <c r="BH73" s="101">
        <f t="shared" si="41"/>
        <v>189</v>
      </c>
      <c r="BI73" s="9" t="s">
        <v>153</v>
      </c>
      <c r="BJ73" s="9" t="s">
        <v>719</v>
      </c>
    </row>
    <row r="74" spans="2:62" s="1" customFormat="1" ht="22.5" customHeight="1">
      <c r="B74" s="73"/>
      <c r="C74" s="93" t="s">
        <v>641</v>
      </c>
      <c r="D74" s="93" t="s">
        <v>149</v>
      </c>
      <c r="E74" s="94" t="s">
        <v>911</v>
      </c>
      <c r="F74" s="498" t="s">
        <v>912</v>
      </c>
      <c r="G74" s="498"/>
      <c r="H74" s="498"/>
      <c r="I74" s="498"/>
      <c r="J74" s="95" t="s">
        <v>0</v>
      </c>
      <c r="K74" s="96">
        <v>2</v>
      </c>
      <c r="L74" s="519">
        <v>9.2799999999999994</v>
      </c>
      <c r="M74" s="519"/>
      <c r="N74" s="128">
        <f t="shared" si="40"/>
        <v>18.559999999999999</v>
      </c>
      <c r="O74" s="74"/>
      <c r="P74" s="1" t="s">
        <v>1047</v>
      </c>
      <c r="Q74" s="98" t="s">
        <v>0</v>
      </c>
      <c r="R74" s="18" t="s">
        <v>11</v>
      </c>
      <c r="S74" s="112"/>
      <c r="T74" s="99">
        <f t="shared" si="32"/>
        <v>0</v>
      </c>
      <c r="U74" s="99">
        <v>0</v>
      </c>
      <c r="V74" s="99">
        <f t="shared" si="33"/>
        <v>0</v>
      </c>
      <c r="W74" s="99">
        <v>0</v>
      </c>
      <c r="X74" s="100">
        <f t="shared" si="34"/>
        <v>0</v>
      </c>
      <c r="Z74" s="1" t="s">
        <v>1048</v>
      </c>
      <c r="AB74" s="1">
        <v>10.6</v>
      </c>
      <c r="AO74" s="9" t="s">
        <v>153</v>
      </c>
      <c r="AQ74" s="9" t="s">
        <v>149</v>
      </c>
      <c r="AR74" s="9" t="s">
        <v>38</v>
      </c>
      <c r="AV74" s="9" t="s">
        <v>148</v>
      </c>
      <c r="BB74" s="72">
        <f t="shared" si="35"/>
        <v>0</v>
      </c>
      <c r="BC74" s="72">
        <f t="shared" si="36"/>
        <v>18.559999999999999</v>
      </c>
      <c r="BD74" s="72">
        <f t="shared" si="37"/>
        <v>0</v>
      </c>
      <c r="BE74" s="72">
        <f t="shared" si="38"/>
        <v>0</v>
      </c>
      <c r="BF74" s="72">
        <f t="shared" si="39"/>
        <v>0</v>
      </c>
      <c r="BG74" s="9" t="s">
        <v>42</v>
      </c>
      <c r="BH74" s="101">
        <f t="shared" si="41"/>
        <v>18.559999999999999</v>
      </c>
      <c r="BI74" s="9" t="s">
        <v>153</v>
      </c>
      <c r="BJ74" s="9" t="s">
        <v>724</v>
      </c>
    </row>
    <row r="75" spans="2:62" s="1" customFormat="1" ht="22.5" customHeight="1">
      <c r="B75" s="73"/>
      <c r="C75" s="93" t="s">
        <v>728</v>
      </c>
      <c r="D75" s="93" t="s">
        <v>149</v>
      </c>
      <c r="E75" s="94" t="s">
        <v>909</v>
      </c>
      <c r="F75" s="498" t="s">
        <v>910</v>
      </c>
      <c r="G75" s="498"/>
      <c r="H75" s="498"/>
      <c r="I75" s="498"/>
      <c r="J75" s="95" t="s">
        <v>0</v>
      </c>
      <c r="K75" s="96">
        <v>2</v>
      </c>
      <c r="L75" s="519">
        <v>9.2799999999999994</v>
      </c>
      <c r="M75" s="519"/>
      <c r="N75" s="128">
        <f t="shared" si="40"/>
        <v>18.559999999999999</v>
      </c>
      <c r="O75" s="74"/>
      <c r="P75" s="1" t="s">
        <v>1047</v>
      </c>
      <c r="Q75" s="98" t="s">
        <v>0</v>
      </c>
      <c r="R75" s="18" t="s">
        <v>11</v>
      </c>
      <c r="S75" s="112"/>
      <c r="T75" s="99">
        <f t="shared" si="32"/>
        <v>0</v>
      </c>
      <c r="U75" s="99">
        <v>0</v>
      </c>
      <c r="V75" s="99">
        <f t="shared" si="33"/>
        <v>0</v>
      </c>
      <c r="W75" s="99">
        <v>0</v>
      </c>
      <c r="X75" s="100">
        <f t="shared" si="34"/>
        <v>0</v>
      </c>
      <c r="Z75" s="1" t="s">
        <v>1046</v>
      </c>
      <c r="AB75" s="1">
        <v>10.6</v>
      </c>
      <c r="AO75" s="9" t="s">
        <v>153</v>
      </c>
      <c r="AQ75" s="9" t="s">
        <v>149</v>
      </c>
      <c r="AR75" s="9" t="s">
        <v>38</v>
      </c>
      <c r="AV75" s="9" t="s">
        <v>148</v>
      </c>
      <c r="BB75" s="72">
        <f t="shared" si="35"/>
        <v>0</v>
      </c>
      <c r="BC75" s="72">
        <f t="shared" si="36"/>
        <v>18.559999999999999</v>
      </c>
      <c r="BD75" s="72">
        <f t="shared" si="37"/>
        <v>0</v>
      </c>
      <c r="BE75" s="72">
        <f t="shared" si="38"/>
        <v>0</v>
      </c>
      <c r="BF75" s="72">
        <f t="shared" si="39"/>
        <v>0</v>
      </c>
      <c r="BG75" s="9" t="s">
        <v>42</v>
      </c>
      <c r="BH75" s="101">
        <f t="shared" si="41"/>
        <v>18.559999999999999</v>
      </c>
      <c r="BI75" s="9" t="s">
        <v>153</v>
      </c>
      <c r="BJ75" s="9" t="s">
        <v>727</v>
      </c>
    </row>
    <row r="76" spans="2:62" s="1" customFormat="1" ht="31.5" customHeight="1">
      <c r="B76" s="73"/>
      <c r="C76" s="93" t="s">
        <v>644</v>
      </c>
      <c r="D76" s="93" t="s">
        <v>149</v>
      </c>
      <c r="E76" s="94" t="s">
        <v>907</v>
      </c>
      <c r="F76" s="498" t="s">
        <v>908</v>
      </c>
      <c r="G76" s="498"/>
      <c r="H76" s="498"/>
      <c r="I76" s="498"/>
      <c r="J76" s="95" t="s">
        <v>0</v>
      </c>
      <c r="K76" s="96">
        <v>25</v>
      </c>
      <c r="L76" s="519">
        <v>12.78</v>
      </c>
      <c r="M76" s="519"/>
      <c r="N76" s="128">
        <f t="shared" ref="N76:N82" si="42">ROUND(L76*K76,3)</f>
        <v>319.5</v>
      </c>
      <c r="O76" s="74"/>
      <c r="P76" s="1" t="s">
        <v>1043</v>
      </c>
      <c r="Q76" s="98" t="s">
        <v>0</v>
      </c>
      <c r="R76" s="18" t="s">
        <v>11</v>
      </c>
      <c r="S76" s="112"/>
      <c r="T76" s="99">
        <f t="shared" si="32"/>
        <v>0</v>
      </c>
      <c r="U76" s="99">
        <v>0</v>
      </c>
      <c r="V76" s="99">
        <f t="shared" si="33"/>
        <v>0</v>
      </c>
      <c r="W76" s="99">
        <v>0</v>
      </c>
      <c r="X76" s="100">
        <f t="shared" si="34"/>
        <v>0</v>
      </c>
      <c r="Z76" s="1" t="s">
        <v>1045</v>
      </c>
      <c r="AB76" s="1">
        <v>14.6</v>
      </c>
      <c r="AO76" s="9" t="s">
        <v>153</v>
      </c>
      <c r="AQ76" s="9" t="s">
        <v>149</v>
      </c>
      <c r="AR76" s="9" t="s">
        <v>38</v>
      </c>
      <c r="AV76" s="9" t="s">
        <v>148</v>
      </c>
      <c r="BB76" s="72">
        <f t="shared" si="35"/>
        <v>0</v>
      </c>
      <c r="BC76" s="72">
        <f t="shared" si="36"/>
        <v>319.5</v>
      </c>
      <c r="BD76" s="72">
        <f t="shared" si="37"/>
        <v>0</v>
      </c>
      <c r="BE76" s="72">
        <f t="shared" si="38"/>
        <v>0</v>
      </c>
      <c r="BF76" s="72">
        <f t="shared" si="39"/>
        <v>0</v>
      </c>
      <c r="BG76" s="9" t="s">
        <v>42</v>
      </c>
      <c r="BH76" s="101">
        <f t="shared" ref="BH76:BH82" si="43">ROUND(L76*K76,3)</f>
        <v>319.5</v>
      </c>
      <c r="BI76" s="9" t="s">
        <v>153</v>
      </c>
      <c r="BJ76" s="9" t="s">
        <v>731</v>
      </c>
    </row>
    <row r="77" spans="2:62" s="1" customFormat="1" ht="31.5" customHeight="1">
      <c r="B77" s="73"/>
      <c r="C77" s="93" t="s">
        <v>735</v>
      </c>
      <c r="D77" s="93" t="s">
        <v>149</v>
      </c>
      <c r="E77" s="94" t="s">
        <v>937</v>
      </c>
      <c r="F77" s="498" t="s">
        <v>938</v>
      </c>
      <c r="G77" s="498"/>
      <c r="H77" s="498"/>
      <c r="I77" s="498"/>
      <c r="J77" s="95" t="s">
        <v>0</v>
      </c>
      <c r="K77" s="96">
        <v>75</v>
      </c>
      <c r="L77" s="519">
        <v>9.4499999999999993</v>
      </c>
      <c r="M77" s="519"/>
      <c r="N77" s="128">
        <f t="shared" si="42"/>
        <v>708.75</v>
      </c>
      <c r="O77" s="74"/>
      <c r="P77" s="1" t="s">
        <v>1043</v>
      </c>
      <c r="Q77" s="98" t="s">
        <v>0</v>
      </c>
      <c r="R77" s="18" t="s">
        <v>11</v>
      </c>
      <c r="S77" s="112"/>
      <c r="T77" s="99">
        <f t="shared" si="32"/>
        <v>0</v>
      </c>
      <c r="U77" s="99">
        <v>0</v>
      </c>
      <c r="V77" s="99">
        <f t="shared" si="33"/>
        <v>0</v>
      </c>
      <c r="W77" s="99">
        <v>0</v>
      </c>
      <c r="X77" s="100">
        <f t="shared" si="34"/>
        <v>0</v>
      </c>
      <c r="Z77" s="1" t="s">
        <v>1060</v>
      </c>
      <c r="AB77" s="1">
        <v>10.8</v>
      </c>
      <c r="AO77" s="9" t="s">
        <v>153</v>
      </c>
      <c r="AQ77" s="9" t="s">
        <v>149</v>
      </c>
      <c r="AR77" s="9" t="s">
        <v>38</v>
      </c>
      <c r="AV77" s="9" t="s">
        <v>148</v>
      </c>
      <c r="BB77" s="72">
        <f t="shared" si="35"/>
        <v>0</v>
      </c>
      <c r="BC77" s="72">
        <f t="shared" si="36"/>
        <v>708.75</v>
      </c>
      <c r="BD77" s="72">
        <f t="shared" si="37"/>
        <v>0</v>
      </c>
      <c r="BE77" s="72">
        <f t="shared" si="38"/>
        <v>0</v>
      </c>
      <c r="BF77" s="72">
        <f t="shared" si="39"/>
        <v>0</v>
      </c>
      <c r="BG77" s="9" t="s">
        <v>42</v>
      </c>
      <c r="BH77" s="101">
        <f t="shared" si="43"/>
        <v>708.75</v>
      </c>
      <c r="BI77" s="9" t="s">
        <v>153</v>
      </c>
      <c r="BJ77" s="9" t="s">
        <v>734</v>
      </c>
    </row>
    <row r="78" spans="2:62" s="1" customFormat="1" ht="31.5" customHeight="1">
      <c r="B78" s="73"/>
      <c r="C78" s="93" t="s">
        <v>647</v>
      </c>
      <c r="D78" s="93" t="s">
        <v>149</v>
      </c>
      <c r="E78" s="94" t="s">
        <v>905</v>
      </c>
      <c r="F78" s="498" t="s">
        <v>906</v>
      </c>
      <c r="G78" s="498"/>
      <c r="H78" s="498"/>
      <c r="I78" s="498"/>
      <c r="J78" s="95" t="s">
        <v>0</v>
      </c>
      <c r="K78" s="96">
        <v>20</v>
      </c>
      <c r="L78" s="519">
        <v>6.83</v>
      </c>
      <c r="M78" s="519"/>
      <c r="N78" s="128">
        <f t="shared" si="42"/>
        <v>136.6</v>
      </c>
      <c r="O78" s="74"/>
      <c r="P78" s="1" t="s">
        <v>1043</v>
      </c>
      <c r="Q78" s="98" t="s">
        <v>0</v>
      </c>
      <c r="R78" s="18" t="s">
        <v>11</v>
      </c>
      <c r="S78" s="112"/>
      <c r="T78" s="99">
        <f t="shared" si="32"/>
        <v>0</v>
      </c>
      <c r="U78" s="99">
        <v>0</v>
      </c>
      <c r="V78" s="99">
        <f t="shared" si="33"/>
        <v>0</v>
      </c>
      <c r="W78" s="99">
        <v>0</v>
      </c>
      <c r="X78" s="100">
        <f t="shared" si="34"/>
        <v>0</v>
      </c>
      <c r="Z78" s="1" t="s">
        <v>1044</v>
      </c>
      <c r="AB78" s="1">
        <v>7.8</v>
      </c>
      <c r="AO78" s="9" t="s">
        <v>153</v>
      </c>
      <c r="AQ78" s="9" t="s">
        <v>149</v>
      </c>
      <c r="AR78" s="9" t="s">
        <v>38</v>
      </c>
      <c r="AV78" s="9" t="s">
        <v>148</v>
      </c>
      <c r="BB78" s="72">
        <f t="shared" si="35"/>
        <v>0</v>
      </c>
      <c r="BC78" s="72">
        <f t="shared" si="36"/>
        <v>136.6</v>
      </c>
      <c r="BD78" s="72">
        <f t="shared" si="37"/>
        <v>0</v>
      </c>
      <c r="BE78" s="72">
        <f t="shared" si="38"/>
        <v>0</v>
      </c>
      <c r="BF78" s="72">
        <f t="shared" si="39"/>
        <v>0</v>
      </c>
      <c r="BG78" s="9" t="s">
        <v>42</v>
      </c>
      <c r="BH78" s="101">
        <f t="shared" si="43"/>
        <v>136.6</v>
      </c>
      <c r="BI78" s="9" t="s">
        <v>153</v>
      </c>
      <c r="BJ78" s="9" t="s">
        <v>738</v>
      </c>
    </row>
    <row r="79" spans="2:62" s="1" customFormat="1" ht="31.5" customHeight="1">
      <c r="B79" s="73"/>
      <c r="C79" s="93" t="s">
        <v>742</v>
      </c>
      <c r="D79" s="93" t="s">
        <v>149</v>
      </c>
      <c r="E79" s="94" t="s">
        <v>939</v>
      </c>
      <c r="F79" s="498" t="s">
        <v>940</v>
      </c>
      <c r="G79" s="498"/>
      <c r="H79" s="498"/>
      <c r="I79" s="498"/>
      <c r="J79" s="95" t="s">
        <v>0</v>
      </c>
      <c r="K79" s="96">
        <v>175</v>
      </c>
      <c r="L79" s="519">
        <v>7.35</v>
      </c>
      <c r="M79" s="519"/>
      <c r="N79" s="128">
        <f t="shared" si="42"/>
        <v>1286.25</v>
      </c>
      <c r="O79" s="74"/>
      <c r="P79" s="1" t="s">
        <v>1041</v>
      </c>
      <c r="Q79" s="98" t="s">
        <v>0</v>
      </c>
      <c r="R79" s="18" t="s">
        <v>11</v>
      </c>
      <c r="S79" s="112"/>
      <c r="T79" s="99">
        <f t="shared" si="32"/>
        <v>0</v>
      </c>
      <c r="U79" s="99">
        <v>0</v>
      </c>
      <c r="V79" s="99">
        <f t="shared" si="33"/>
        <v>0</v>
      </c>
      <c r="W79" s="99">
        <v>0</v>
      </c>
      <c r="X79" s="100">
        <f t="shared" si="34"/>
        <v>0</v>
      </c>
      <c r="Z79" s="1" t="s">
        <v>1042</v>
      </c>
      <c r="AB79" s="1">
        <v>8.4</v>
      </c>
      <c r="AO79" s="9" t="s">
        <v>153</v>
      </c>
      <c r="AQ79" s="9" t="s">
        <v>149</v>
      </c>
      <c r="AR79" s="9" t="s">
        <v>38</v>
      </c>
      <c r="AV79" s="9" t="s">
        <v>148</v>
      </c>
      <c r="BB79" s="72">
        <f t="shared" si="35"/>
        <v>0</v>
      </c>
      <c r="BC79" s="72">
        <f t="shared" si="36"/>
        <v>1286.25</v>
      </c>
      <c r="BD79" s="72">
        <f t="shared" si="37"/>
        <v>0</v>
      </c>
      <c r="BE79" s="72">
        <f t="shared" si="38"/>
        <v>0</v>
      </c>
      <c r="BF79" s="72">
        <f t="shared" si="39"/>
        <v>0</v>
      </c>
      <c r="BG79" s="9" t="s">
        <v>42</v>
      </c>
      <c r="BH79" s="101">
        <f t="shared" si="43"/>
        <v>1286.25</v>
      </c>
      <c r="BI79" s="9" t="s">
        <v>153</v>
      </c>
      <c r="BJ79" s="9" t="s">
        <v>741</v>
      </c>
    </row>
    <row r="80" spans="2:62" s="1" customFormat="1" ht="22.5" customHeight="1">
      <c r="B80" s="73"/>
      <c r="C80" s="93" t="s">
        <v>650</v>
      </c>
      <c r="D80" s="93" t="s">
        <v>149</v>
      </c>
      <c r="E80" s="94" t="s">
        <v>947</v>
      </c>
      <c r="F80" s="498" t="s">
        <v>902</v>
      </c>
      <c r="G80" s="498"/>
      <c r="H80" s="498"/>
      <c r="I80" s="498"/>
      <c r="J80" s="95" t="s">
        <v>0</v>
      </c>
      <c r="K80" s="96">
        <v>1</v>
      </c>
      <c r="L80" s="519">
        <v>87.5</v>
      </c>
      <c r="M80" s="519"/>
      <c r="N80" s="128">
        <f t="shared" si="42"/>
        <v>87.5</v>
      </c>
      <c r="O80" s="74"/>
      <c r="P80" s="1" t="s">
        <v>1043</v>
      </c>
      <c r="Q80" s="98" t="s">
        <v>0</v>
      </c>
      <c r="R80" s="18" t="s">
        <v>11</v>
      </c>
      <c r="S80" s="112"/>
      <c r="T80" s="99">
        <f t="shared" si="32"/>
        <v>0</v>
      </c>
      <c r="U80" s="99">
        <v>0</v>
      </c>
      <c r="V80" s="99">
        <f t="shared" si="33"/>
        <v>0</v>
      </c>
      <c r="W80" s="99">
        <v>0</v>
      </c>
      <c r="X80" s="100">
        <f t="shared" si="34"/>
        <v>0</v>
      </c>
      <c r="Z80" s="1" t="s">
        <v>1040</v>
      </c>
      <c r="AB80" s="1">
        <v>100</v>
      </c>
      <c r="AO80" s="9" t="s">
        <v>153</v>
      </c>
      <c r="AQ80" s="9" t="s">
        <v>149</v>
      </c>
      <c r="AR80" s="9" t="s">
        <v>38</v>
      </c>
      <c r="AV80" s="9" t="s">
        <v>148</v>
      </c>
      <c r="BB80" s="72">
        <f t="shared" si="35"/>
        <v>0</v>
      </c>
      <c r="BC80" s="72">
        <f t="shared" si="36"/>
        <v>87.5</v>
      </c>
      <c r="BD80" s="72">
        <f t="shared" si="37"/>
        <v>0</v>
      </c>
      <c r="BE80" s="72">
        <f t="shared" si="38"/>
        <v>0</v>
      </c>
      <c r="BF80" s="72">
        <f t="shared" si="39"/>
        <v>0</v>
      </c>
      <c r="BG80" s="9" t="s">
        <v>42</v>
      </c>
      <c r="BH80" s="101">
        <f t="shared" si="43"/>
        <v>87.5</v>
      </c>
      <c r="BI80" s="9" t="s">
        <v>153</v>
      </c>
      <c r="BJ80" s="9" t="s">
        <v>745</v>
      </c>
    </row>
    <row r="81" spans="2:62" s="1" customFormat="1" ht="22.5" customHeight="1">
      <c r="B81" s="73"/>
      <c r="C81" s="93" t="s">
        <v>748</v>
      </c>
      <c r="D81" s="93" t="s">
        <v>149</v>
      </c>
      <c r="E81" s="94" t="s">
        <v>948</v>
      </c>
      <c r="F81" s="498" t="s">
        <v>900</v>
      </c>
      <c r="G81" s="498"/>
      <c r="H81" s="498"/>
      <c r="I81" s="498"/>
      <c r="J81" s="95" t="s">
        <v>0</v>
      </c>
      <c r="K81" s="96">
        <v>1</v>
      </c>
      <c r="L81" s="519">
        <v>147</v>
      </c>
      <c r="M81" s="519"/>
      <c r="N81" s="128">
        <f t="shared" si="42"/>
        <v>147</v>
      </c>
      <c r="O81" s="74"/>
      <c r="P81" s="1" t="s">
        <v>1043</v>
      </c>
      <c r="Q81" s="98" t="s">
        <v>0</v>
      </c>
      <c r="R81" s="18" t="s">
        <v>11</v>
      </c>
      <c r="S81" s="112"/>
      <c r="T81" s="99">
        <f t="shared" si="32"/>
        <v>0</v>
      </c>
      <c r="U81" s="99">
        <v>0</v>
      </c>
      <c r="V81" s="99">
        <f t="shared" si="33"/>
        <v>0</v>
      </c>
      <c r="W81" s="99">
        <v>0</v>
      </c>
      <c r="X81" s="100">
        <f t="shared" si="34"/>
        <v>0</v>
      </c>
      <c r="Z81" s="1" t="s">
        <v>1039</v>
      </c>
      <c r="AB81" s="1">
        <v>168</v>
      </c>
      <c r="AO81" s="9" t="s">
        <v>153</v>
      </c>
      <c r="AQ81" s="9" t="s">
        <v>149</v>
      </c>
      <c r="AR81" s="9" t="s">
        <v>38</v>
      </c>
      <c r="AV81" s="9" t="s">
        <v>148</v>
      </c>
      <c r="BB81" s="72">
        <f t="shared" si="35"/>
        <v>0</v>
      </c>
      <c r="BC81" s="72">
        <f t="shared" si="36"/>
        <v>147</v>
      </c>
      <c r="BD81" s="72">
        <f t="shared" si="37"/>
        <v>0</v>
      </c>
      <c r="BE81" s="72">
        <f t="shared" si="38"/>
        <v>0</v>
      </c>
      <c r="BF81" s="72">
        <f t="shared" si="39"/>
        <v>0</v>
      </c>
      <c r="BG81" s="9" t="s">
        <v>42</v>
      </c>
      <c r="BH81" s="101">
        <f t="shared" si="43"/>
        <v>147</v>
      </c>
      <c r="BI81" s="9" t="s">
        <v>153</v>
      </c>
      <c r="BJ81" s="9" t="s">
        <v>747</v>
      </c>
    </row>
    <row r="82" spans="2:62" s="1" customFormat="1" ht="22.5" customHeight="1">
      <c r="B82" s="73"/>
      <c r="C82" s="93" t="s">
        <v>653</v>
      </c>
      <c r="D82" s="93" t="s">
        <v>149</v>
      </c>
      <c r="E82" s="94" t="s">
        <v>949</v>
      </c>
      <c r="F82" s="498" t="s">
        <v>898</v>
      </c>
      <c r="G82" s="498"/>
      <c r="H82" s="498"/>
      <c r="I82" s="498"/>
      <c r="J82" s="95" t="s">
        <v>0</v>
      </c>
      <c r="K82" s="96">
        <v>1</v>
      </c>
      <c r="L82" s="519">
        <v>59.5</v>
      </c>
      <c r="M82" s="519"/>
      <c r="N82" s="128">
        <f t="shared" si="42"/>
        <v>59.5</v>
      </c>
      <c r="O82" s="74"/>
      <c r="P82" s="1" t="s">
        <v>1043</v>
      </c>
      <c r="Q82" s="98" t="s">
        <v>0</v>
      </c>
      <c r="R82" s="18" t="s">
        <v>11</v>
      </c>
      <c r="S82" s="112"/>
      <c r="T82" s="99">
        <f t="shared" si="32"/>
        <v>0</v>
      </c>
      <c r="U82" s="99">
        <v>0</v>
      </c>
      <c r="V82" s="99">
        <f t="shared" si="33"/>
        <v>0</v>
      </c>
      <c r="W82" s="99">
        <v>0</v>
      </c>
      <c r="X82" s="100">
        <f t="shared" si="34"/>
        <v>0</v>
      </c>
      <c r="Z82" s="1" t="s">
        <v>1038</v>
      </c>
      <c r="AB82" s="1">
        <v>68</v>
      </c>
      <c r="AO82" s="9" t="s">
        <v>153</v>
      </c>
      <c r="AQ82" s="9" t="s">
        <v>149</v>
      </c>
      <c r="AR82" s="9" t="s">
        <v>38</v>
      </c>
      <c r="AV82" s="9" t="s">
        <v>148</v>
      </c>
      <c r="BB82" s="72">
        <f t="shared" si="35"/>
        <v>0</v>
      </c>
      <c r="BC82" s="72">
        <f t="shared" si="36"/>
        <v>59.5</v>
      </c>
      <c r="BD82" s="72">
        <f t="shared" si="37"/>
        <v>0</v>
      </c>
      <c r="BE82" s="72">
        <f t="shared" si="38"/>
        <v>0</v>
      </c>
      <c r="BF82" s="72">
        <f t="shared" si="39"/>
        <v>0</v>
      </c>
      <c r="BG82" s="9" t="s">
        <v>42</v>
      </c>
      <c r="BH82" s="101">
        <f t="shared" si="43"/>
        <v>59.5</v>
      </c>
      <c r="BI82" s="9" t="s">
        <v>153</v>
      </c>
      <c r="BJ82" s="9" t="s">
        <v>751</v>
      </c>
    </row>
    <row r="83" spans="2:62" s="1" customFormat="1" ht="49.9" customHeight="1">
      <c r="B83" s="15"/>
      <c r="C83" s="16"/>
      <c r="D83" s="84" t="s">
        <v>243</v>
      </c>
      <c r="E83" s="16"/>
      <c r="F83" s="16"/>
      <c r="G83" s="16"/>
      <c r="H83" s="16"/>
      <c r="I83" s="16"/>
      <c r="J83" s="16"/>
      <c r="K83" s="16"/>
      <c r="L83" s="16"/>
      <c r="M83" s="16"/>
      <c r="N83" s="135">
        <f>BH83</f>
        <v>0</v>
      </c>
      <c r="O83" s="17"/>
      <c r="Q83" s="106"/>
      <c r="R83" s="21"/>
      <c r="S83" s="21"/>
      <c r="T83" s="21"/>
      <c r="U83" s="21"/>
      <c r="V83" s="21"/>
      <c r="W83" s="21"/>
      <c r="X83" s="22"/>
      <c r="AQ83" s="9" t="s">
        <v>30</v>
      </c>
      <c r="AR83" s="9" t="s">
        <v>31</v>
      </c>
      <c r="AV83" s="9" t="s">
        <v>244</v>
      </c>
      <c r="BH83" s="101">
        <v>0</v>
      </c>
    </row>
    <row r="84" spans="2:62" s="1" customFormat="1" ht="6.95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5"/>
    </row>
  </sheetData>
  <mergeCells count="130">
    <mergeCell ref="C5:N5"/>
    <mergeCell ref="F7:N7"/>
    <mergeCell ref="F8:N8"/>
    <mergeCell ref="M10:N10"/>
    <mergeCell ref="M12:N12"/>
    <mergeCell ref="M13:N13"/>
    <mergeCell ref="F15:I15"/>
    <mergeCell ref="L15:M15"/>
    <mergeCell ref="F19:I19"/>
    <mergeCell ref="L19:M19"/>
    <mergeCell ref="F20:I20"/>
    <mergeCell ref="L20:M20"/>
    <mergeCell ref="F21:I21"/>
    <mergeCell ref="L21:M21"/>
    <mergeCell ref="F22:I22"/>
    <mergeCell ref="L22:M22"/>
    <mergeCell ref="F23:I23"/>
    <mergeCell ref="L23:M23"/>
    <mergeCell ref="F24:I24"/>
    <mergeCell ref="L24:M24"/>
    <mergeCell ref="F25:I25"/>
    <mergeCell ref="L25:M25"/>
    <mergeCell ref="F26:I26"/>
    <mergeCell ref="L26:M26"/>
    <mergeCell ref="F27:I27"/>
    <mergeCell ref="L27:M27"/>
    <mergeCell ref="F28:I28"/>
    <mergeCell ref="L28:M28"/>
    <mergeCell ref="F29:I29"/>
    <mergeCell ref="L29:M29"/>
    <mergeCell ref="F30:I30"/>
    <mergeCell ref="L30:M30"/>
    <mergeCell ref="F31:I31"/>
    <mergeCell ref="L31:M31"/>
    <mergeCell ref="F32:I32"/>
    <mergeCell ref="L32:M32"/>
    <mergeCell ref="F33:I33"/>
    <mergeCell ref="L33:M33"/>
    <mergeCell ref="F34:I34"/>
    <mergeCell ref="L34:M34"/>
    <mergeCell ref="F36:I36"/>
    <mergeCell ref="L36:M36"/>
    <mergeCell ref="F37:I37"/>
    <mergeCell ref="L37:M37"/>
    <mergeCell ref="F38:I38"/>
    <mergeCell ref="L38:M38"/>
    <mergeCell ref="F39:I39"/>
    <mergeCell ref="L39:M39"/>
    <mergeCell ref="F40:I40"/>
    <mergeCell ref="L40:M40"/>
    <mergeCell ref="F41:I41"/>
    <mergeCell ref="L41:M41"/>
    <mergeCell ref="F42:I42"/>
    <mergeCell ref="L42:M42"/>
    <mergeCell ref="F43:I43"/>
    <mergeCell ref="L43:M43"/>
    <mergeCell ref="F44:I44"/>
    <mergeCell ref="L44:M44"/>
    <mergeCell ref="F45:I45"/>
    <mergeCell ref="L45:M45"/>
    <mergeCell ref="F46:I46"/>
    <mergeCell ref="L46:M46"/>
    <mergeCell ref="F48:I48"/>
    <mergeCell ref="L48:M48"/>
    <mergeCell ref="F49:I49"/>
    <mergeCell ref="L49:M49"/>
    <mergeCell ref="F50:I50"/>
    <mergeCell ref="L50:M50"/>
    <mergeCell ref="F51:I51"/>
    <mergeCell ref="L51:M51"/>
    <mergeCell ref="F52:I52"/>
    <mergeCell ref="L52:M52"/>
    <mergeCell ref="F53:I53"/>
    <mergeCell ref="L53:M53"/>
    <mergeCell ref="F54:I54"/>
    <mergeCell ref="L54:M54"/>
    <mergeCell ref="F55:I55"/>
    <mergeCell ref="L55:M55"/>
    <mergeCell ref="F56:I56"/>
    <mergeCell ref="L56:M56"/>
    <mergeCell ref="F57:I57"/>
    <mergeCell ref="L57:M57"/>
    <mergeCell ref="F58:I58"/>
    <mergeCell ref="L58:M58"/>
    <mergeCell ref="F59:I59"/>
    <mergeCell ref="L59:M59"/>
    <mergeCell ref="F60:I60"/>
    <mergeCell ref="L60:M60"/>
    <mergeCell ref="F61:I61"/>
    <mergeCell ref="L61:M61"/>
    <mergeCell ref="F62:I62"/>
    <mergeCell ref="L62:M62"/>
    <mergeCell ref="F63:I63"/>
    <mergeCell ref="L63:M63"/>
    <mergeCell ref="F64:I64"/>
    <mergeCell ref="L64:M64"/>
    <mergeCell ref="F66:I66"/>
    <mergeCell ref="L66:M66"/>
    <mergeCell ref="F67:I67"/>
    <mergeCell ref="L67:M67"/>
    <mergeCell ref="F73:I73"/>
    <mergeCell ref="L73:M73"/>
    <mergeCell ref="F74:I74"/>
    <mergeCell ref="L74:M74"/>
    <mergeCell ref="F75:I75"/>
    <mergeCell ref="L75:M75"/>
    <mergeCell ref="F68:I68"/>
    <mergeCell ref="L68:M68"/>
    <mergeCell ref="F69:I69"/>
    <mergeCell ref="L69:M69"/>
    <mergeCell ref="F70:I70"/>
    <mergeCell ref="L70:M70"/>
    <mergeCell ref="F71:I71"/>
    <mergeCell ref="L71:M71"/>
    <mergeCell ref="F72:I72"/>
    <mergeCell ref="L72:M72"/>
    <mergeCell ref="F82:I82"/>
    <mergeCell ref="L82:M82"/>
    <mergeCell ref="F79:I79"/>
    <mergeCell ref="L79:M79"/>
    <mergeCell ref="F80:I80"/>
    <mergeCell ref="L80:M80"/>
    <mergeCell ref="F81:I81"/>
    <mergeCell ref="L81:M81"/>
    <mergeCell ref="F76:I76"/>
    <mergeCell ref="L76:M76"/>
    <mergeCell ref="F77:I77"/>
    <mergeCell ref="L77:M77"/>
    <mergeCell ref="F78:I78"/>
    <mergeCell ref="L78:M78"/>
  </mergeCells>
  <pageMargins left="0.58333330000000005" right="0.58333330000000005" top="0.5" bottom="0.46666669999999999" header="0" footer="0"/>
  <pageSetup paperSize="9" scale="91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19</vt:i4>
      </vt:variant>
    </vt:vector>
  </HeadingPairs>
  <TitlesOfParts>
    <vt:vector size="29" baseType="lpstr">
      <vt:lpstr>Rekapitulácia stavby</vt:lpstr>
      <vt:lpstr>Strešný plášť</vt:lpstr>
      <vt:lpstr>Obvodový plášť</vt:lpstr>
      <vt:lpstr>Okná, dvere</vt:lpstr>
      <vt:lpstr>Obnova chodníka</vt:lpstr>
      <vt:lpstr>Sanácie balkónov</vt:lpstr>
      <vt:lpstr>Elektroinštalácia</vt:lpstr>
      <vt:lpstr>Fotovoltaika - Elektroinš...</vt:lpstr>
      <vt:lpstr>SO 07 - Vzduchotechnika</vt:lpstr>
      <vt:lpstr>SO 08 - Vykurovanie</vt:lpstr>
      <vt:lpstr>Elektroinštalácia!Názvy_tlače</vt:lpstr>
      <vt:lpstr>'Fotovoltaika - Elektroinš...'!Názvy_tlače</vt:lpstr>
      <vt:lpstr>'Obnova chodníka'!Názvy_tlače</vt:lpstr>
      <vt:lpstr>'Obvodový plášť'!Názvy_tlače</vt:lpstr>
      <vt:lpstr>'Okná, dvere'!Názvy_tlače</vt:lpstr>
      <vt:lpstr>'Rekapitulácia stavby'!Názvy_tlače</vt:lpstr>
      <vt:lpstr>'Sanácie balkónov'!Názvy_tlače</vt:lpstr>
      <vt:lpstr>'SO 07 - Vzduchotechnika'!Názvy_tlače</vt:lpstr>
      <vt:lpstr>'SO 08 - Vykurovanie'!Názvy_tlače</vt:lpstr>
      <vt:lpstr>'Strešný plášť'!Názvy_tlače</vt:lpstr>
      <vt:lpstr>Elektroinštalácia!Oblasť_tlače</vt:lpstr>
      <vt:lpstr>'Fotovoltaika - Elektroinš...'!Oblasť_tlače</vt:lpstr>
      <vt:lpstr>'Obnova chodníka'!Oblasť_tlače</vt:lpstr>
      <vt:lpstr>'Obvodový plášť'!Oblasť_tlače</vt:lpstr>
      <vt:lpstr>'Okná, dvere'!Oblasť_tlače</vt:lpstr>
      <vt:lpstr>'Rekapitulácia stavby'!Oblasť_tlače</vt:lpstr>
      <vt:lpstr>'Sanácie balkónov'!Oblasť_tlače</vt:lpstr>
      <vt:lpstr>'SO 07 - Vzduchotechnika'!Oblasť_tlače</vt:lpstr>
      <vt:lpstr>'SO 08 - Vykurovanie'!Oblasť_tlače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BEELI-JAN\User</dc:creator>
  <cp:lastModifiedBy>Plešová Iveta, Mgr.</cp:lastModifiedBy>
  <cp:lastPrinted>2019-01-30T08:00:53Z</cp:lastPrinted>
  <dcterms:created xsi:type="dcterms:W3CDTF">2017-04-11T06:01:00Z</dcterms:created>
  <dcterms:modified xsi:type="dcterms:W3CDTF">2019-03-13T14:48:28Z</dcterms:modified>
</cp:coreProperties>
</file>