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2018\Zmeny rozpočtu\Zmena rozpočtu 10122018\"/>
    </mc:Choice>
  </mc:AlternateContent>
  <bookViews>
    <workbookView xWindow="0" yWindow="0" windowWidth="19440" windowHeight="11925" tabRatio="806"/>
  </bookViews>
  <sheets>
    <sheet name="Príjmy" sheetId="13" r:id="rId1"/>
    <sheet name="Výdavky" sheetId="14" r:id="rId2"/>
    <sheet name="Sumarizácia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2">Sumarizácia!$B$2:$L$44</definedName>
    <definedName name="_xlnm.Print_Area" localSheetId="1">Výdavky!$B$428:$S$638</definedName>
  </definedNames>
  <calcPr calcId="152511"/>
</workbook>
</file>

<file path=xl/calcChain.xml><?xml version="1.0" encoding="utf-8"?>
<calcChain xmlns="http://schemas.openxmlformats.org/spreadsheetml/2006/main">
  <c r="N30" i="14" l="1"/>
  <c r="N37" i="14"/>
  <c r="N38" i="14"/>
  <c r="N470" i="14"/>
  <c r="N469" i="14" s="1"/>
  <c r="N492" i="14"/>
  <c r="N118" i="14"/>
  <c r="N128" i="14"/>
  <c r="N132" i="14"/>
  <c r="N593" i="14" l="1"/>
  <c r="J785" i="14"/>
  <c r="I785" i="14"/>
  <c r="N1993" i="14" l="1"/>
  <c r="J1993" i="14"/>
  <c r="O2018" i="14"/>
  <c r="O2017" i="14"/>
  <c r="O2014" i="14"/>
  <c r="O2013" i="14"/>
  <c r="O2012" i="14"/>
  <c r="O2011" i="14"/>
  <c r="O2010" i="14"/>
  <c r="O2009" i="14"/>
  <c r="O2008" i="14"/>
  <c r="O2006" i="14"/>
  <c r="O2003" i="14"/>
  <c r="O2000" i="14"/>
  <c r="O1999" i="14"/>
  <c r="O1998" i="14"/>
  <c r="O1997" i="14"/>
  <c r="O1996" i="14"/>
  <c r="K2018" i="14"/>
  <c r="K2017" i="14"/>
  <c r="K2016" i="14"/>
  <c r="K2015" i="14"/>
  <c r="K2014" i="14"/>
  <c r="K2013" i="14"/>
  <c r="K2012" i="14"/>
  <c r="K2011" i="14"/>
  <c r="K2009" i="14"/>
  <c r="K2008" i="14"/>
  <c r="K2006" i="14"/>
  <c r="K2005" i="14"/>
  <c r="K2004" i="14"/>
  <c r="K2003" i="14"/>
  <c r="K2002" i="14"/>
  <c r="K2001" i="14"/>
  <c r="K1997" i="14"/>
  <c r="K205" i="14" l="1"/>
  <c r="K204" i="14"/>
  <c r="K203" i="14"/>
  <c r="K202" i="14"/>
  <c r="I403" i="13"/>
  <c r="H402" i="13"/>
  <c r="H401" i="13" s="1"/>
  <c r="H391" i="13" s="1"/>
  <c r="G402" i="13"/>
  <c r="I55" i="13"/>
  <c r="H54" i="13"/>
  <c r="G54" i="13"/>
  <c r="H53" i="13"/>
  <c r="H427" i="13"/>
  <c r="H463" i="13"/>
  <c r="J1094" i="14"/>
  <c r="J1091" i="14" s="1"/>
  <c r="J1249" i="14"/>
  <c r="J1241" i="14"/>
  <c r="J1035" i="14"/>
  <c r="J1032" i="14" s="1"/>
  <c r="Q1014" i="14"/>
  <c r="R1014" i="14"/>
  <c r="K1014" i="14"/>
  <c r="S1014" i="14" s="1"/>
  <c r="J1008" i="14"/>
  <c r="J1005" i="14" s="1"/>
  <c r="J1297" i="14"/>
  <c r="J1292" i="14" s="1"/>
  <c r="Q1296" i="14"/>
  <c r="R1296" i="14"/>
  <c r="K1296" i="14"/>
  <c r="S1296" i="14" s="1"/>
  <c r="Q1287" i="14"/>
  <c r="R1287" i="14"/>
  <c r="K1287" i="14"/>
  <c r="S1287" i="14" s="1"/>
  <c r="J1283" i="14"/>
  <c r="J1062" i="14"/>
  <c r="J1059" i="14" s="1"/>
  <c r="J1314" i="14"/>
  <c r="J1311" i="14" s="1"/>
  <c r="J1302" i="14"/>
  <c r="J1275" i="14"/>
  <c r="J1273" i="14"/>
  <c r="J1265" i="14"/>
  <c r="J1263" i="14" s="1"/>
  <c r="J1352" i="14"/>
  <c r="J1349" i="14" s="1"/>
  <c r="J1237" i="14"/>
  <c r="J1234" i="14"/>
  <c r="J1232" i="14" s="1"/>
  <c r="J1229" i="14"/>
  <c r="J1226" i="14"/>
  <c r="J1224" i="14" s="1"/>
  <c r="J1332" i="14"/>
  <c r="J1329" i="14" s="1"/>
  <c r="J1318" i="14" s="1"/>
  <c r="J1070" i="14"/>
  <c r="J1067" i="14" s="1"/>
  <c r="J1043" i="14"/>
  <c r="J1040" i="14" s="1"/>
  <c r="K1268" i="14"/>
  <c r="S1268" i="14" s="1"/>
  <c r="R1268" i="14"/>
  <c r="Q1268" i="14"/>
  <c r="Q1276" i="14"/>
  <c r="R1276" i="14"/>
  <c r="K1276" i="14"/>
  <c r="S1276" i="14" s="1"/>
  <c r="Q1055" i="14"/>
  <c r="R1055" i="14"/>
  <c r="K1055" i="14"/>
  <c r="S1055" i="14" s="1"/>
  <c r="J1052" i="14"/>
  <c r="J1049" i="14" s="1"/>
  <c r="J1086" i="14"/>
  <c r="J1083" i="14" s="1"/>
  <c r="J1342" i="14"/>
  <c r="J1027" i="14"/>
  <c r="J1024" i="14" s="1"/>
  <c r="J1075" i="14"/>
  <c r="I402" i="13" l="1"/>
  <c r="J1271" i="14"/>
  <c r="J1260" i="14" s="1"/>
  <c r="J1299" i="14"/>
  <c r="G401" i="13"/>
  <c r="I401" i="13" s="1"/>
  <c r="I54" i="13"/>
  <c r="G53" i="13"/>
  <c r="I53" i="13" s="1"/>
  <c r="J1238" i="14"/>
  <c r="J1280" i="14"/>
  <c r="J1339" i="14"/>
  <c r="J1221" i="14"/>
  <c r="J994" i="14"/>
  <c r="I315" i="13"/>
  <c r="H314" i="13"/>
  <c r="H313" i="13" s="1"/>
  <c r="G314" i="13"/>
  <c r="I314" i="13" s="1"/>
  <c r="I367" i="13"/>
  <c r="H366" i="13"/>
  <c r="H365" i="13" s="1"/>
  <c r="G366" i="13"/>
  <c r="G365" i="13" s="1"/>
  <c r="H327" i="13"/>
  <c r="I328" i="13"/>
  <c r="G327" i="13"/>
  <c r="G326" i="13"/>
  <c r="H301" i="13"/>
  <c r="I303" i="13"/>
  <c r="I453" i="13"/>
  <c r="H451" i="13"/>
  <c r="H455" i="13"/>
  <c r="I457" i="13"/>
  <c r="G455" i="13"/>
  <c r="H428" i="13"/>
  <c r="J610" i="14"/>
  <c r="J607" i="14" s="1"/>
  <c r="R797" i="14"/>
  <c r="K797" i="14"/>
  <c r="S797" i="14" s="1"/>
  <c r="Q797" i="14"/>
  <c r="J791" i="14"/>
  <c r="J788" i="14" s="1"/>
  <c r="R921" i="14"/>
  <c r="K921" i="14"/>
  <c r="S921" i="14" s="1"/>
  <c r="Q921" i="14"/>
  <c r="K906" i="14"/>
  <c r="S906" i="14" s="1"/>
  <c r="R906" i="14"/>
  <c r="Q906" i="14"/>
  <c r="K917" i="14"/>
  <c r="S917" i="14" s="1"/>
  <c r="R917" i="14"/>
  <c r="Q917" i="14"/>
  <c r="J911" i="14"/>
  <c r="J900" i="14"/>
  <c r="K868" i="14"/>
  <c r="S868" i="14" s="1"/>
  <c r="R868" i="14"/>
  <c r="Q868" i="14"/>
  <c r="J860" i="14"/>
  <c r="J850" i="14"/>
  <c r="J847" i="14" s="1"/>
  <c r="Q843" i="14"/>
  <c r="R843" i="14"/>
  <c r="K843" i="14"/>
  <c r="S843" i="14" s="1"/>
  <c r="J835" i="14"/>
  <c r="J825" i="14"/>
  <c r="J897" i="14" l="1"/>
  <c r="J822" i="14"/>
  <c r="G313" i="13"/>
  <c r="I313" i="13" s="1"/>
  <c r="I365" i="13"/>
  <c r="I366" i="13"/>
  <c r="I327" i="13"/>
  <c r="H326" i="13"/>
  <c r="I326" i="13" l="1"/>
  <c r="H316" i="13"/>
  <c r="K945" i="14"/>
  <c r="S945" i="14" s="1"/>
  <c r="R945" i="14"/>
  <c r="Q945" i="14"/>
  <c r="R935" i="14"/>
  <c r="K935" i="14"/>
  <c r="S935" i="14" s="1"/>
  <c r="Q935" i="14"/>
  <c r="R949" i="14"/>
  <c r="K949" i="14"/>
  <c r="S949" i="14" s="1"/>
  <c r="Q949" i="14"/>
  <c r="J940" i="14"/>
  <c r="J928" i="14"/>
  <c r="J988" i="14"/>
  <c r="J986" i="14" s="1"/>
  <c r="J977" i="14"/>
  <c r="Q993" i="14"/>
  <c r="R993" i="14"/>
  <c r="K993" i="14"/>
  <c r="S993" i="14" s="1"/>
  <c r="R892" i="14"/>
  <c r="K892" i="14"/>
  <c r="S892" i="14" s="1"/>
  <c r="Q892" i="14"/>
  <c r="Q888" i="14"/>
  <c r="K888" i="14"/>
  <c r="S888" i="14" s="1"/>
  <c r="R888" i="14"/>
  <c r="J883" i="14"/>
  <c r="K878" i="14"/>
  <c r="S878" i="14" s="1"/>
  <c r="R878" i="14"/>
  <c r="Q878" i="14"/>
  <c r="J872" i="14"/>
  <c r="J821" i="14"/>
  <c r="R821" i="14" s="1"/>
  <c r="Q821" i="14"/>
  <c r="J812" i="14"/>
  <c r="J802" i="14"/>
  <c r="R973" i="14"/>
  <c r="K973" i="14"/>
  <c r="S973" i="14" s="1"/>
  <c r="Q973" i="14"/>
  <c r="J964" i="14"/>
  <c r="J953" i="14"/>
  <c r="J950" i="14" s="1"/>
  <c r="J787" i="14"/>
  <c r="K821" i="14" l="1"/>
  <c r="S821" i="14" s="1"/>
  <c r="J925" i="14"/>
  <c r="J869" i="14"/>
  <c r="J799" i="14"/>
  <c r="J1375" i="14"/>
  <c r="J1372" i="14" s="1"/>
  <c r="J1356" i="14" s="1"/>
  <c r="J1205" i="14"/>
  <c r="J1202" i="14" s="1"/>
  <c r="J1191" i="14"/>
  <c r="J1188" i="14" s="1"/>
  <c r="I1191" i="14"/>
  <c r="J1184" i="14"/>
  <c r="J1181" i="14" s="1"/>
  <c r="J1176" i="14"/>
  <c r="J1173" i="14" s="1"/>
  <c r="J1168" i="14"/>
  <c r="J1165" i="14" s="1"/>
  <c r="J1212" i="14"/>
  <c r="J1209" i="14" s="1"/>
  <c r="J1195" i="14"/>
  <c r="J1161" i="14"/>
  <c r="J1158" i="14" s="1"/>
  <c r="J1150" i="14"/>
  <c r="J1145" i="14"/>
  <c r="J1142" i="14" s="1"/>
  <c r="J1137" i="14"/>
  <c r="J1134" i="14" s="1"/>
  <c r="J1130" i="14"/>
  <c r="J1127" i="14" s="1"/>
  <c r="J1122" i="14"/>
  <c r="J1119" i="14" s="1"/>
  <c r="J1111" i="14"/>
  <c r="J777" i="14"/>
  <c r="J774" i="14" s="1"/>
  <c r="J765" i="14"/>
  <c r="J762" i="14" s="1"/>
  <c r="J756" i="14"/>
  <c r="J753" i="14" s="1"/>
  <c r="J745" i="14"/>
  <c r="J742" i="14" s="1"/>
  <c r="J733" i="14"/>
  <c r="J730" i="14" s="1"/>
  <c r="J719" i="14"/>
  <c r="J716" i="14" s="1"/>
  <c r="J706" i="14"/>
  <c r="J703" i="14" s="1"/>
  <c r="J697" i="14"/>
  <c r="J694" i="14" s="1"/>
  <c r="J685" i="14"/>
  <c r="J682" i="14" s="1"/>
  <c r="J676" i="14"/>
  <c r="J673" i="14" s="1"/>
  <c r="J667" i="14"/>
  <c r="J664" i="14" s="1"/>
  <c r="J658" i="14"/>
  <c r="J655" i="14" s="1"/>
  <c r="J646" i="14"/>
  <c r="J643" i="14" s="1"/>
  <c r="J637" i="14"/>
  <c r="J634" i="14" s="1"/>
  <c r="J628" i="14"/>
  <c r="J625" i="14" s="1"/>
  <c r="J596" i="14"/>
  <c r="J595" i="14" s="1"/>
  <c r="N220" i="14"/>
  <c r="O205" i="14"/>
  <c r="O202" i="14"/>
  <c r="O201" i="14"/>
  <c r="O200" i="14"/>
  <c r="O196" i="14"/>
  <c r="O192" i="14"/>
  <c r="O191" i="14"/>
  <c r="O190" i="14"/>
  <c r="O189" i="14"/>
  <c r="O188" i="14"/>
  <c r="O187" i="14"/>
  <c r="O185" i="14"/>
  <c r="O184" i="14"/>
  <c r="O183" i="14"/>
  <c r="O182" i="14"/>
  <c r="O181" i="14"/>
  <c r="O178" i="14"/>
  <c r="O177" i="14"/>
  <c r="O174" i="14"/>
  <c r="O173" i="14"/>
  <c r="O172" i="14"/>
  <c r="O171" i="14"/>
  <c r="O170" i="14"/>
  <c r="O169" i="14"/>
  <c r="O168" i="14"/>
  <c r="O167" i="14"/>
  <c r="O166" i="14"/>
  <c r="O165" i="14"/>
  <c r="O164" i="14"/>
  <c r="O163" i="14"/>
  <c r="O161" i="14"/>
  <c r="O160" i="14"/>
  <c r="O159" i="14"/>
  <c r="O158" i="14"/>
  <c r="O157" i="14"/>
  <c r="O156" i="14"/>
  <c r="O153" i="14"/>
  <c r="O151" i="14"/>
  <c r="O150" i="14"/>
  <c r="O149" i="14"/>
  <c r="O146" i="14"/>
  <c r="O145" i="14"/>
  <c r="O144" i="14"/>
  <c r="O143" i="14"/>
  <c r="O142" i="14"/>
  <c r="O141" i="14"/>
  <c r="O140" i="14"/>
  <c r="O139" i="14"/>
  <c r="O137" i="14"/>
  <c r="O136" i="14"/>
  <c r="O135" i="14"/>
  <c r="O134" i="14"/>
  <c r="O131" i="14"/>
  <c r="O130" i="14"/>
  <c r="O129" i="14"/>
  <c r="O125" i="14"/>
  <c r="O124" i="14"/>
  <c r="O123" i="14"/>
  <c r="O121" i="14"/>
  <c r="O120" i="14"/>
  <c r="O119" i="14"/>
  <c r="O117" i="14"/>
  <c r="O116" i="14"/>
  <c r="N114" i="14"/>
  <c r="K198" i="14"/>
  <c r="K197" i="14"/>
  <c r="K196" i="14"/>
  <c r="K195" i="14"/>
  <c r="K194" i="14"/>
  <c r="K193" i="14"/>
  <c r="K191" i="14"/>
  <c r="K189" i="14"/>
  <c r="K188" i="14"/>
  <c r="K180" i="14"/>
  <c r="K179" i="14"/>
  <c r="K178" i="14"/>
  <c r="K177" i="14"/>
  <c r="K176" i="14"/>
  <c r="K175" i="14"/>
  <c r="K171" i="14"/>
  <c r="K161" i="14"/>
  <c r="K157" i="14"/>
  <c r="K156" i="14"/>
  <c r="K155" i="14"/>
  <c r="K154" i="14"/>
  <c r="K153" i="14"/>
  <c r="K152" i="14"/>
  <c r="K151" i="14"/>
  <c r="K150" i="14"/>
  <c r="K149" i="14"/>
  <c r="K148" i="14"/>
  <c r="K147" i="14"/>
  <c r="K145" i="14"/>
  <c r="K144" i="14"/>
  <c r="K133" i="14"/>
  <c r="K132" i="14"/>
  <c r="K130" i="14"/>
  <c r="K127" i="14"/>
  <c r="K126" i="14"/>
  <c r="K124" i="14"/>
  <c r="K121" i="14"/>
  <c r="J114" i="14"/>
  <c r="O89" i="14"/>
  <c r="O88" i="14"/>
  <c r="O87" i="14"/>
  <c r="O86" i="14"/>
  <c r="O85" i="14"/>
  <c r="O84" i="14"/>
  <c r="O83" i="14"/>
  <c r="O82" i="14"/>
  <c r="O81" i="14"/>
  <c r="O80" i="14"/>
  <c r="O79" i="14"/>
  <c r="O78" i="14"/>
  <c r="O77" i="14"/>
  <c r="O76" i="14"/>
  <c r="O75" i="14"/>
  <c r="O74" i="14"/>
  <c r="K89" i="14"/>
  <c r="K86" i="14"/>
  <c r="K83" i="14"/>
  <c r="K76" i="14"/>
  <c r="N73" i="14"/>
  <c r="J73" i="14"/>
  <c r="J1110" i="14" l="1"/>
  <c r="J1102" i="14" s="1"/>
  <c r="J620" i="14"/>
  <c r="J594" i="14" s="1"/>
  <c r="J1929" i="14"/>
  <c r="J1926" i="14" s="1"/>
  <c r="J1920" i="14" s="1"/>
  <c r="J1943" i="14"/>
  <c r="J1942" i="14" s="1"/>
  <c r="J1900" i="14"/>
  <c r="J1899" i="14" s="1"/>
  <c r="J1888" i="14" s="1"/>
  <c r="J1833" i="14"/>
  <c r="J1832" i="14" s="1"/>
  <c r="J1596" i="14"/>
  <c r="J1594" i="14" s="1"/>
  <c r="J1566" i="14" s="1"/>
  <c r="E14" i="15" s="1"/>
  <c r="O1611" i="14"/>
  <c r="O1608" i="14"/>
  <c r="O1607" i="14"/>
  <c r="O1606" i="14"/>
  <c r="O1605" i="14"/>
  <c r="O1602" i="14"/>
  <c r="O1600" i="14"/>
  <c r="O1599" i="14"/>
  <c r="O1598" i="14"/>
  <c r="O1597" i="14"/>
  <c r="O1596" i="14"/>
  <c r="O1595" i="14"/>
  <c r="O1593" i="14"/>
  <c r="O1592" i="14"/>
  <c r="O1591" i="14"/>
  <c r="O1590" i="14"/>
  <c r="O1589" i="14"/>
  <c r="O1588" i="14"/>
  <c r="O1587" i="14"/>
  <c r="O1586" i="14"/>
  <c r="O1585" i="14"/>
  <c r="O1584" i="14"/>
  <c r="O1583" i="14"/>
  <c r="O1582" i="14"/>
  <c r="O1581" i="14"/>
  <c r="O1580" i="14"/>
  <c r="O1579" i="14"/>
  <c r="O1578" i="14"/>
  <c r="O1577" i="14"/>
  <c r="O1576" i="14"/>
  <c r="O1575" i="14"/>
  <c r="O1574" i="14"/>
  <c r="O1573" i="14"/>
  <c r="O1572" i="14"/>
  <c r="O1571" i="14"/>
  <c r="O1570" i="14"/>
  <c r="O1569" i="14"/>
  <c r="O1568" i="14"/>
  <c r="O1567" i="14"/>
  <c r="K1611" i="14"/>
  <c r="K1610" i="14"/>
  <c r="K1609" i="14"/>
  <c r="K1608" i="14"/>
  <c r="K1605" i="14"/>
  <c r="K1604" i="14"/>
  <c r="K1603" i="14"/>
  <c r="K1602" i="14"/>
  <c r="K1601" i="14"/>
  <c r="K1599" i="14"/>
  <c r="K1595" i="14"/>
  <c r="K1588" i="14"/>
  <c r="K1587" i="14"/>
  <c r="K1586" i="14"/>
  <c r="K1585" i="14"/>
  <c r="K1584" i="14"/>
  <c r="K1583" i="14"/>
  <c r="K1582" i="14"/>
  <c r="K1581" i="14"/>
  <c r="K1579" i="14"/>
  <c r="K1578" i="14"/>
  <c r="K1577" i="14"/>
  <c r="K1576" i="14"/>
  <c r="K1574" i="14"/>
  <c r="K1573" i="14"/>
  <c r="K1572" i="14"/>
  <c r="K1571" i="14"/>
  <c r="K1570" i="14"/>
  <c r="O1531" i="14"/>
  <c r="O1530" i="14"/>
  <c r="O1529" i="14"/>
  <c r="O1528" i="14"/>
  <c r="O1527" i="14"/>
  <c r="O1526" i="14"/>
  <c r="O1525" i="14"/>
  <c r="O1524" i="14"/>
  <c r="O1523" i="14"/>
  <c r="O1522" i="14"/>
  <c r="O1521" i="14"/>
  <c r="O1520" i="14"/>
  <c r="O1518" i="14"/>
  <c r="O1517" i="14"/>
  <c r="O1516" i="14"/>
  <c r="O1514" i="14"/>
  <c r="O1513" i="14"/>
  <c r="O1512" i="14"/>
  <c r="O1511" i="14"/>
  <c r="O1510" i="14"/>
  <c r="O1507" i="14"/>
  <c r="O1505" i="14"/>
  <c r="O1503" i="14"/>
  <c r="O1499" i="14"/>
  <c r="O1498" i="14"/>
  <c r="O1497" i="14"/>
  <c r="O1496" i="14"/>
  <c r="O1495" i="14"/>
  <c r="O1494" i="14"/>
  <c r="O1493" i="14"/>
  <c r="O1492" i="14"/>
  <c r="O1491" i="14"/>
  <c r="O1490" i="14"/>
  <c r="O1488" i="14"/>
  <c r="O1485" i="14"/>
  <c r="O1484" i="14"/>
  <c r="O1483" i="14"/>
  <c r="O1482" i="14"/>
  <c r="O1481" i="14"/>
  <c r="O1480" i="14"/>
  <c r="O1479" i="14"/>
  <c r="O1478" i="14"/>
  <c r="O1473" i="14"/>
  <c r="O1469" i="14"/>
  <c r="O1468" i="14"/>
  <c r="O1467" i="14"/>
  <c r="O1466" i="14"/>
  <c r="O1465" i="14"/>
  <c r="O1464" i="14"/>
  <c r="O1463" i="14"/>
  <c r="O1462" i="14"/>
  <c r="O1461" i="14"/>
  <c r="O1460" i="14"/>
  <c r="O1454" i="14"/>
  <c r="O1453" i="14"/>
  <c r="O1450" i="14"/>
  <c r="O1448" i="14"/>
  <c r="O1447" i="14"/>
  <c r="O1446" i="14"/>
  <c r="O1445" i="14"/>
  <c r="O1443" i="14"/>
  <c r="O1442" i="14"/>
  <c r="O1441" i="14"/>
  <c r="O1440" i="14"/>
  <c r="O1438" i="14"/>
  <c r="O1436" i="14"/>
  <c r="O1435" i="14"/>
  <c r="O1434" i="14"/>
  <c r="O1433" i="14"/>
  <c r="O1432" i="14"/>
  <c r="O1431" i="14"/>
  <c r="O1430" i="14"/>
  <c r="O1429" i="14"/>
  <c r="O1428" i="14"/>
  <c r="O1427" i="14"/>
  <c r="O1426" i="14"/>
  <c r="O1425" i="14"/>
  <c r="O1424" i="14"/>
  <c r="O1423" i="14"/>
  <c r="O1422" i="14"/>
  <c r="O1421" i="14"/>
  <c r="O1420" i="14"/>
  <c r="O1419" i="14"/>
  <c r="O1417" i="14"/>
  <c r="O1416" i="14"/>
  <c r="O1415" i="14"/>
  <c r="O1414" i="14"/>
  <c r="K1534" i="14"/>
  <c r="K1533" i="14"/>
  <c r="K1532" i="14"/>
  <c r="K1531" i="14"/>
  <c r="K1530" i="14"/>
  <c r="K1528" i="14"/>
  <c r="K1527" i="14"/>
  <c r="K1525" i="14"/>
  <c r="K1523" i="14"/>
  <c r="K1521" i="14"/>
  <c r="K1520" i="14"/>
  <c r="K1518" i="14"/>
  <c r="K1517" i="14"/>
  <c r="K1516" i="14"/>
  <c r="K1515" i="14"/>
  <c r="K1514" i="14"/>
  <c r="K1513" i="14"/>
  <c r="K1512" i="14"/>
  <c r="K1511" i="14"/>
  <c r="K1510" i="14"/>
  <c r="K1509" i="14"/>
  <c r="K1508" i="14"/>
  <c r="K1507" i="14"/>
  <c r="K1506" i="14"/>
  <c r="K1505" i="14"/>
  <c r="K1504" i="14"/>
  <c r="K1503" i="14"/>
  <c r="K1502" i="14"/>
  <c r="K1501" i="14"/>
  <c r="K1499" i="14"/>
  <c r="K1497" i="14"/>
  <c r="K1496" i="14"/>
  <c r="K1495" i="14"/>
  <c r="K1493" i="14"/>
  <c r="K1492" i="14"/>
  <c r="K1489" i="14"/>
  <c r="K1488" i="14"/>
  <c r="K1487" i="14"/>
  <c r="K1486" i="14"/>
  <c r="K1485" i="14"/>
  <c r="K1482" i="14"/>
  <c r="K1481" i="14"/>
  <c r="K1479" i="14"/>
  <c r="K1478" i="14"/>
  <c r="K1476" i="14"/>
  <c r="K1475" i="14"/>
  <c r="K1474" i="14"/>
  <c r="K1473" i="14"/>
  <c r="K1472" i="14"/>
  <c r="K1471" i="14"/>
  <c r="K1464" i="14"/>
  <c r="K1459" i="14"/>
  <c r="K1458" i="14"/>
  <c r="K1457" i="14"/>
  <c r="K1456" i="14"/>
  <c r="K1455" i="14"/>
  <c r="K1454" i="14"/>
  <c r="K1451" i="14"/>
  <c r="K1450" i="14"/>
  <c r="K1449" i="14"/>
  <c r="K1448" i="14"/>
  <c r="K1447" i="14"/>
  <c r="K1443" i="14"/>
  <c r="K1442" i="14"/>
  <c r="K1438" i="14"/>
  <c r="K1437" i="14"/>
  <c r="K1436" i="14"/>
  <c r="K1435" i="14"/>
  <c r="K1434" i="14"/>
  <c r="K1433" i="14"/>
  <c r="K1432" i="14"/>
  <c r="K1431" i="14"/>
  <c r="K1430" i="14"/>
  <c r="K1429" i="14"/>
  <c r="K1428" i="14"/>
  <c r="K1427" i="14"/>
  <c r="K1426" i="14"/>
  <c r="K1424" i="14"/>
  <c r="K1423" i="14"/>
  <c r="K1422" i="14"/>
  <c r="K1421" i="14"/>
  <c r="K1420" i="14"/>
  <c r="K1417" i="14"/>
  <c r="K1416" i="14"/>
  <c r="J1413" i="14"/>
  <c r="E13" i="15" s="1"/>
  <c r="J460" i="14"/>
  <c r="J459" i="14" s="1"/>
  <c r="N434" i="14"/>
  <c r="H11" i="15" s="1"/>
  <c r="O557" i="14"/>
  <c r="O556" i="14"/>
  <c r="O555" i="14"/>
  <c r="O553" i="14"/>
  <c r="O551" i="14"/>
  <c r="O550" i="14"/>
  <c r="O548" i="14"/>
  <c r="O546" i="14"/>
  <c r="O545" i="14"/>
  <c r="O544" i="14"/>
  <c r="O542" i="14"/>
  <c r="O540" i="14"/>
  <c r="O538" i="14"/>
  <c r="O537" i="14"/>
  <c r="O536" i="14"/>
  <c r="O535" i="14"/>
  <c r="O531" i="14"/>
  <c r="O526" i="14"/>
  <c r="O522" i="14"/>
  <c r="O521" i="14"/>
  <c r="O520" i="14"/>
  <c r="O517" i="14"/>
  <c r="O515" i="14"/>
  <c r="O514" i="14"/>
  <c r="O512" i="14"/>
  <c r="O509" i="14"/>
  <c r="O507" i="14"/>
  <c r="O505" i="14"/>
  <c r="O504" i="14"/>
  <c r="O503" i="14"/>
  <c r="O499" i="14"/>
  <c r="O498" i="14"/>
  <c r="O497" i="14"/>
  <c r="O494" i="14"/>
  <c r="O491" i="14"/>
  <c r="O489" i="14"/>
  <c r="O488" i="14"/>
  <c r="O487" i="14"/>
  <c r="O486" i="14"/>
  <c r="O481" i="14"/>
  <c r="O480" i="14"/>
  <c r="O477" i="14"/>
  <c r="O476" i="14"/>
  <c r="O475" i="14"/>
  <c r="O474" i="14"/>
  <c r="O472" i="14"/>
  <c r="O468" i="14"/>
  <c r="O465" i="14"/>
  <c r="O464" i="14"/>
  <c r="O463" i="14"/>
  <c r="O462" i="14"/>
  <c r="O461" i="14"/>
  <c r="O460" i="14"/>
  <c r="O458" i="14"/>
  <c r="O457" i="14"/>
  <c r="O456" i="14"/>
  <c r="O455" i="14"/>
  <c r="O454" i="14"/>
  <c r="O453" i="14"/>
  <c r="O452" i="14"/>
  <c r="O451" i="14"/>
  <c r="O450" i="14"/>
  <c r="O449" i="14"/>
  <c r="O448" i="14"/>
  <c r="O447" i="14"/>
  <c r="O446" i="14"/>
  <c r="O445" i="14"/>
  <c r="O444" i="14"/>
  <c r="O443" i="14"/>
  <c r="O442" i="14"/>
  <c r="O441" i="14"/>
  <c r="O440" i="14"/>
  <c r="O438" i="14"/>
  <c r="O437" i="14"/>
  <c r="O436" i="14"/>
  <c r="O435" i="14"/>
  <c r="K557" i="14"/>
  <c r="K556" i="14"/>
  <c r="K555" i="14"/>
  <c r="K554" i="14"/>
  <c r="K553" i="14"/>
  <c r="K552" i="14"/>
  <c r="K551" i="14"/>
  <c r="K550" i="14"/>
  <c r="K549" i="14"/>
  <c r="K548" i="14"/>
  <c r="K547" i="14"/>
  <c r="K546" i="14"/>
  <c r="K545" i="14"/>
  <c r="K544" i="14"/>
  <c r="K543" i="14"/>
  <c r="K542" i="14"/>
  <c r="K541" i="14"/>
  <c r="K540" i="14"/>
  <c r="K539" i="14"/>
  <c r="K538" i="14"/>
  <c r="K537" i="14"/>
  <c r="K536" i="14"/>
  <c r="K535" i="14"/>
  <c r="K534" i="14"/>
  <c r="K533" i="14"/>
  <c r="K532" i="14"/>
  <c r="K531" i="14"/>
  <c r="K530" i="14"/>
  <c r="K529" i="14"/>
  <c r="K528" i="14"/>
  <c r="K527" i="14"/>
  <c r="K526" i="14"/>
  <c r="K525" i="14"/>
  <c r="K524" i="14"/>
  <c r="K523" i="14"/>
  <c r="K522" i="14"/>
  <c r="K521" i="14"/>
  <c r="K520" i="14"/>
  <c r="K519" i="14"/>
  <c r="K518" i="14"/>
  <c r="K517" i="14"/>
  <c r="K516" i="14"/>
  <c r="K515" i="14"/>
  <c r="K514" i="14"/>
  <c r="K513" i="14"/>
  <c r="K512" i="14"/>
  <c r="K511" i="14"/>
  <c r="K510" i="14"/>
  <c r="K509" i="14"/>
  <c r="K508" i="14"/>
  <c r="K507" i="14"/>
  <c r="K506" i="14"/>
  <c r="K505" i="14"/>
  <c r="K504" i="14"/>
  <c r="K503" i="14"/>
  <c r="K502" i="14"/>
  <c r="K501" i="14"/>
  <c r="K500" i="14"/>
  <c r="K499" i="14"/>
  <c r="K498" i="14"/>
  <c r="K497" i="14"/>
  <c r="K496" i="14"/>
  <c r="K495" i="14"/>
  <c r="K494" i="14"/>
  <c r="K493" i="14"/>
  <c r="K492" i="14"/>
  <c r="K491" i="14"/>
  <c r="K490" i="14"/>
  <c r="K489" i="14"/>
  <c r="K488" i="14"/>
  <c r="K487" i="14"/>
  <c r="K486" i="14"/>
  <c r="K485" i="14"/>
  <c r="K484" i="14"/>
  <c r="K483" i="14"/>
  <c r="K482" i="14"/>
  <c r="K481" i="14"/>
  <c r="K480" i="14"/>
  <c r="K479" i="14"/>
  <c r="K478" i="14"/>
  <c r="K477" i="14"/>
  <c r="K476" i="14"/>
  <c r="K475" i="14"/>
  <c r="K474" i="14"/>
  <c r="K473" i="14"/>
  <c r="K472" i="14"/>
  <c r="K471" i="14"/>
  <c r="K470" i="14"/>
  <c r="K469" i="14"/>
  <c r="K468" i="14"/>
  <c r="K467" i="14"/>
  <c r="K466" i="14"/>
  <c r="K461" i="14"/>
  <c r="K458" i="14"/>
  <c r="K456" i="14"/>
  <c r="K454" i="14"/>
  <c r="K453" i="14"/>
  <c r="K452" i="14"/>
  <c r="K450" i="14"/>
  <c r="K449" i="14"/>
  <c r="K447" i="14"/>
  <c r="K446" i="14"/>
  <c r="K445" i="14"/>
  <c r="K443" i="14"/>
  <c r="K438" i="14"/>
  <c r="K437" i="14"/>
  <c r="R437" i="14"/>
  <c r="O288" i="14"/>
  <c r="O287" i="14"/>
  <c r="O286" i="14"/>
  <c r="O285" i="14"/>
  <c r="O284" i="14"/>
  <c r="O283" i="14"/>
  <c r="O282" i="14"/>
  <c r="O280" i="14"/>
  <c r="O278" i="14"/>
  <c r="O277" i="14"/>
  <c r="O274" i="14"/>
  <c r="O273" i="14"/>
  <c r="O272" i="14"/>
  <c r="O271" i="14"/>
  <c r="O270" i="14"/>
  <c r="O269" i="14"/>
  <c r="O268" i="14"/>
  <c r="O266" i="14"/>
  <c r="O265" i="14"/>
  <c r="O264" i="14"/>
  <c r="O263" i="14"/>
  <c r="O262" i="14"/>
  <c r="O261" i="14"/>
  <c r="O260" i="14"/>
  <c r="O259" i="14"/>
  <c r="O258" i="14"/>
  <c r="O257" i="14"/>
  <c r="O255" i="14"/>
  <c r="O254" i="14"/>
  <c r="O253" i="14"/>
  <c r="O252" i="14"/>
  <c r="O251" i="14"/>
  <c r="O250" i="14"/>
  <c r="O249" i="14"/>
  <c r="O248" i="14"/>
  <c r="O247" i="14"/>
  <c r="O246" i="14"/>
  <c r="O245" i="14"/>
  <c r="O244" i="14"/>
  <c r="O243" i="14"/>
  <c r="O242" i="14"/>
  <c r="O241" i="14"/>
  <c r="O240" i="14"/>
  <c r="O239" i="14"/>
  <c r="O238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K288" i="14"/>
  <c r="K287" i="14"/>
  <c r="K286" i="14"/>
  <c r="K285" i="14"/>
  <c r="K281" i="14"/>
  <c r="K280" i="14"/>
  <c r="K279" i="14"/>
  <c r="K278" i="14"/>
  <c r="K277" i="14"/>
  <c r="K276" i="14"/>
  <c r="K275" i="14"/>
  <c r="K274" i="14"/>
  <c r="K273" i="14"/>
  <c r="K271" i="14"/>
  <c r="K270" i="14"/>
  <c r="K269" i="14"/>
  <c r="K266" i="14"/>
  <c r="K263" i="14"/>
  <c r="K262" i="14"/>
  <c r="K261" i="14"/>
  <c r="K259" i="14"/>
  <c r="K258" i="14"/>
  <c r="K255" i="14"/>
  <c r="K254" i="14"/>
  <c r="K253" i="14"/>
  <c r="K252" i="14"/>
  <c r="K251" i="14"/>
  <c r="K249" i="14"/>
  <c r="K248" i="14"/>
  <c r="K245" i="14"/>
  <c r="K244" i="14"/>
  <c r="K243" i="14"/>
  <c r="K242" i="14"/>
  <c r="K241" i="14"/>
  <c r="K239" i="14"/>
  <c r="K238" i="14"/>
  <c r="K236" i="14"/>
  <c r="K235" i="14"/>
  <c r="K231" i="14"/>
  <c r="K225" i="14"/>
  <c r="K224" i="14"/>
  <c r="K222" i="14"/>
  <c r="J268" i="14"/>
  <c r="J267" i="14" s="1"/>
  <c r="J220" i="14" s="1"/>
  <c r="E9" i="15" s="1"/>
  <c r="J1736" i="14"/>
  <c r="J1732" i="14" s="1"/>
  <c r="J1670" i="14" s="1"/>
  <c r="E15" i="15" s="1"/>
  <c r="Q1740" i="14"/>
  <c r="R1740" i="14"/>
  <c r="K1740" i="14"/>
  <c r="S1740" i="14" s="1"/>
  <c r="O1785" i="14"/>
  <c r="O1780" i="14"/>
  <c r="O1779" i="14"/>
  <c r="O1778" i="14"/>
  <c r="O1777" i="14"/>
  <c r="O1776" i="14"/>
  <c r="O1775" i="14"/>
  <c r="O1774" i="14"/>
  <c r="O1773" i="14"/>
  <c r="O1772" i="14"/>
  <c r="O1771" i="14"/>
  <c r="O1768" i="14"/>
  <c r="O1767" i="14"/>
  <c r="O1766" i="14"/>
  <c r="O1765" i="14"/>
  <c r="O1764" i="14"/>
  <c r="O1763" i="14"/>
  <c r="O1762" i="14"/>
  <c r="O1761" i="14"/>
  <c r="O1760" i="14"/>
  <c r="O1759" i="14"/>
  <c r="O1758" i="14"/>
  <c r="O1757" i="14"/>
  <c r="O1756" i="14"/>
  <c r="O1755" i="14"/>
  <c r="O1754" i="14"/>
  <c r="O1753" i="14"/>
  <c r="O1751" i="14"/>
  <c r="O1749" i="14"/>
  <c r="O1746" i="14"/>
  <c r="O1745" i="14"/>
  <c r="O1744" i="14"/>
  <c r="O1743" i="14"/>
  <c r="O1742" i="14"/>
  <c r="O1741" i="14"/>
  <c r="O1739" i="14"/>
  <c r="O1738" i="14"/>
  <c r="O1737" i="14"/>
  <c r="O1736" i="14"/>
  <c r="O1735" i="14"/>
  <c r="O1734" i="14"/>
  <c r="O1733" i="14"/>
  <c r="O1731" i="14"/>
  <c r="O1728" i="14"/>
  <c r="O1727" i="14"/>
  <c r="O1720" i="14"/>
  <c r="O1719" i="14"/>
  <c r="O1718" i="14"/>
  <c r="O1717" i="14"/>
  <c r="O1714" i="14"/>
  <c r="O1713" i="14"/>
  <c r="O1710" i="14"/>
  <c r="O1709" i="14"/>
  <c r="O1706" i="14"/>
  <c r="O1705" i="14"/>
  <c r="O1704" i="14"/>
  <c r="O1703" i="14"/>
  <c r="O1702" i="14"/>
  <c r="O1701" i="14"/>
  <c r="O1700" i="14"/>
  <c r="O1699" i="14"/>
  <c r="O1698" i="14"/>
  <c r="O1697" i="14"/>
  <c r="O1696" i="14"/>
  <c r="O1695" i="14"/>
  <c r="O1694" i="14"/>
  <c r="O1693" i="14"/>
  <c r="O1692" i="14"/>
  <c r="O1691" i="14"/>
  <c r="O1690" i="14"/>
  <c r="O1689" i="14"/>
  <c r="O1688" i="14"/>
  <c r="O1687" i="14"/>
  <c r="O1686" i="14"/>
  <c r="O1685" i="14"/>
  <c r="O1684" i="14"/>
  <c r="O1683" i="14"/>
  <c r="O1681" i="14"/>
  <c r="O1679" i="14"/>
  <c r="O1677" i="14"/>
  <c r="O1674" i="14"/>
  <c r="O1673" i="14"/>
  <c r="O1672" i="14"/>
  <c r="K1785" i="14"/>
  <c r="K1784" i="14"/>
  <c r="K1783" i="14"/>
  <c r="K1782" i="14"/>
  <c r="K1781" i="14"/>
  <c r="K1778" i="14"/>
  <c r="K1774" i="14"/>
  <c r="K1768" i="14"/>
  <c r="K1767" i="14"/>
  <c r="K1765" i="14"/>
  <c r="K1761" i="14"/>
  <c r="K1757" i="14"/>
  <c r="K1754" i="14"/>
  <c r="K1753" i="14"/>
  <c r="K1752" i="14"/>
  <c r="K1751" i="14"/>
  <c r="K1750" i="14"/>
  <c r="K1749" i="14"/>
  <c r="K1748" i="14"/>
  <c r="K1747" i="14"/>
  <c r="K1746" i="14"/>
  <c r="K1744" i="14"/>
  <c r="K1743" i="14"/>
  <c r="K1741" i="14"/>
  <c r="K1739" i="14"/>
  <c r="K1734" i="14"/>
  <c r="K1731" i="14"/>
  <c r="K1730" i="14"/>
  <c r="K1729" i="14"/>
  <c r="K1728" i="14"/>
  <c r="K1725" i="14"/>
  <c r="K1724" i="14"/>
  <c r="K1723" i="14"/>
  <c r="K1722" i="14"/>
  <c r="K1721" i="14"/>
  <c r="K1720" i="14"/>
  <c r="K1719" i="14"/>
  <c r="K1718" i="14"/>
  <c r="K1717" i="14"/>
  <c r="K1716" i="14"/>
  <c r="K1715" i="14"/>
  <c r="K1710" i="14"/>
  <c r="K1709" i="14"/>
  <c r="K1708" i="14"/>
  <c r="K1707" i="14"/>
  <c r="K1706" i="14"/>
  <c r="K1704" i="14"/>
  <c r="K1703" i="14"/>
  <c r="K1702" i="14"/>
  <c r="K1701" i="14"/>
  <c r="K1700" i="14"/>
  <c r="K1697" i="14"/>
  <c r="K1694" i="14"/>
  <c r="K1693" i="14"/>
  <c r="K1692" i="14"/>
  <c r="K1689" i="14"/>
  <c r="K1686" i="14"/>
  <c r="K1684" i="14"/>
  <c r="K1683" i="14"/>
  <c r="K1681" i="14"/>
  <c r="K1680" i="14"/>
  <c r="K1679" i="14"/>
  <c r="K1678" i="14"/>
  <c r="K1677" i="14"/>
  <c r="K1676" i="14"/>
  <c r="K1675" i="14"/>
  <c r="K1674" i="14"/>
  <c r="K1673" i="14"/>
  <c r="N1670" i="14"/>
  <c r="H15" i="15" s="1"/>
  <c r="O1383" i="14"/>
  <c r="O1382" i="14"/>
  <c r="O1381" i="14"/>
  <c r="O1380" i="14"/>
  <c r="O1379" i="14"/>
  <c r="O1378" i="14"/>
  <c r="O1377" i="14"/>
  <c r="O1376" i="14"/>
  <c r="O1375" i="14"/>
  <c r="O1374" i="14"/>
  <c r="O1373" i="14"/>
  <c r="O1372" i="14"/>
  <c r="O1371" i="14"/>
  <c r="O1370" i="14"/>
  <c r="O1369" i="14"/>
  <c r="O1368" i="14"/>
  <c r="O1367" i="14"/>
  <c r="O1366" i="14"/>
  <c r="O1365" i="14"/>
  <c r="O1364" i="14"/>
  <c r="O1363" i="14"/>
  <c r="O1362" i="14"/>
  <c r="O1361" i="14"/>
  <c r="O1360" i="14"/>
  <c r="O1359" i="14"/>
  <c r="O1358" i="14"/>
  <c r="O1357" i="14"/>
  <c r="O1356" i="14"/>
  <c r="O1355" i="14"/>
  <c r="O1354" i="14"/>
  <c r="O1353" i="14"/>
  <c r="O1352" i="14"/>
  <c r="O1351" i="14"/>
  <c r="O1350" i="14"/>
  <c r="O1349" i="14"/>
  <c r="O1348" i="14"/>
  <c r="O1347" i="14"/>
  <c r="O1346" i="14"/>
  <c r="O1345" i="14"/>
  <c r="O1344" i="14"/>
  <c r="O1343" i="14"/>
  <c r="O1342" i="14"/>
  <c r="O1341" i="14"/>
  <c r="O1340" i="14"/>
  <c r="O1339" i="14"/>
  <c r="O1338" i="14"/>
  <c r="O1335" i="14"/>
  <c r="O1334" i="14"/>
  <c r="O1333" i="14"/>
  <c r="O1332" i="14"/>
  <c r="O1331" i="14"/>
  <c r="O1330" i="14"/>
  <c r="O1329" i="14"/>
  <c r="O1328" i="14"/>
  <c r="O1327" i="14"/>
  <c r="O1326" i="14"/>
  <c r="O1325" i="14"/>
  <c r="O1324" i="14"/>
  <c r="O1323" i="14"/>
  <c r="O1322" i="14"/>
  <c r="O1321" i="14"/>
  <c r="O1320" i="14"/>
  <c r="O1319" i="14"/>
  <c r="O1317" i="14"/>
  <c r="O1316" i="14"/>
  <c r="O1315" i="14"/>
  <c r="O1314" i="14"/>
  <c r="O1313" i="14"/>
  <c r="O1312" i="14"/>
  <c r="O1311" i="14"/>
  <c r="O1310" i="14"/>
  <c r="O1309" i="14"/>
  <c r="O1308" i="14"/>
  <c r="O1307" i="14"/>
  <c r="O1306" i="14"/>
  <c r="O1305" i="14"/>
  <c r="O1304" i="14"/>
  <c r="O1303" i="14"/>
  <c r="O1302" i="14"/>
  <c r="O1301" i="14"/>
  <c r="O1300" i="14"/>
  <c r="O1299" i="14"/>
  <c r="O1298" i="14"/>
  <c r="O1297" i="14"/>
  <c r="O1295" i="14"/>
  <c r="O1294" i="14"/>
  <c r="O1293" i="14"/>
  <c r="O1292" i="14"/>
  <c r="O1291" i="14"/>
  <c r="O1290" i="14"/>
  <c r="O1289" i="14"/>
  <c r="O1288" i="14"/>
  <c r="O1286" i="14"/>
  <c r="O1285" i="14"/>
  <c r="O1284" i="14"/>
  <c r="O1283" i="14"/>
  <c r="O1282" i="14"/>
  <c r="O1281" i="14"/>
  <c r="O1280" i="14"/>
  <c r="O1275" i="14"/>
  <c r="O1274" i="14"/>
  <c r="O1273" i="14"/>
  <c r="O1272" i="14"/>
  <c r="O1271" i="14"/>
  <c r="O1270" i="14"/>
  <c r="O1269" i="14"/>
  <c r="O1267" i="14"/>
  <c r="O1266" i="14"/>
  <c r="O1265" i="14"/>
  <c r="O1264" i="14"/>
  <c r="O1263" i="14"/>
  <c r="O1262" i="14"/>
  <c r="O1261" i="14"/>
  <c r="O1259" i="14"/>
  <c r="O1258" i="14"/>
  <c r="O1257" i="14"/>
  <c r="O1256" i="14"/>
  <c r="O1255" i="14"/>
  <c r="O1254" i="14"/>
  <c r="O1253" i="14"/>
  <c r="O1252" i="14"/>
  <c r="O1251" i="14"/>
  <c r="O1250" i="14"/>
  <c r="O1249" i="14"/>
  <c r="O1248" i="14"/>
  <c r="O1247" i="14"/>
  <c r="O1246" i="14"/>
  <c r="O1245" i="14"/>
  <c r="O1244" i="14"/>
  <c r="O1243" i="14"/>
  <c r="O1242" i="14"/>
  <c r="O1241" i="14"/>
  <c r="O1240" i="14"/>
  <c r="O1239" i="14"/>
  <c r="O1238" i="14"/>
  <c r="O1237" i="14"/>
  <c r="O1236" i="14"/>
  <c r="O1235" i="14"/>
  <c r="O1234" i="14"/>
  <c r="O1233" i="14"/>
  <c r="O1232" i="14"/>
  <c r="O1231" i="14"/>
  <c r="O1230" i="14"/>
  <c r="O1229" i="14"/>
  <c r="O1228" i="14"/>
  <c r="O1227" i="14"/>
  <c r="O1226" i="14"/>
  <c r="O1225" i="14"/>
  <c r="O1224" i="14"/>
  <c r="O1223" i="14"/>
  <c r="O1222" i="14"/>
  <c r="O1221" i="14"/>
  <c r="O1220" i="14"/>
  <c r="O1217" i="14"/>
  <c r="O1216" i="14"/>
  <c r="O1215" i="14"/>
  <c r="O1214" i="14"/>
  <c r="O1213" i="14"/>
  <c r="O1212" i="14"/>
  <c r="O1211" i="14"/>
  <c r="O1210" i="14"/>
  <c r="O1208" i="14"/>
  <c r="O1207" i="14"/>
  <c r="O1206" i="14"/>
  <c r="O1205" i="14"/>
  <c r="O1204" i="14"/>
  <c r="O1203" i="14"/>
  <c r="O1202" i="14"/>
  <c r="O1201" i="14"/>
  <c r="O1200" i="14"/>
  <c r="O1199" i="14"/>
  <c r="O1198" i="14"/>
  <c r="O1197" i="14"/>
  <c r="O1196" i="14"/>
  <c r="O1195" i="14"/>
  <c r="O1194" i="14"/>
  <c r="O1193" i="14"/>
  <c r="O1192" i="14"/>
  <c r="O1191" i="14"/>
  <c r="O1190" i="14"/>
  <c r="O1189" i="14"/>
  <c r="O1188" i="14"/>
  <c r="O1187" i="14"/>
  <c r="O1186" i="14"/>
  <c r="O1185" i="14"/>
  <c r="O1184" i="14"/>
  <c r="O1183" i="14"/>
  <c r="O1182" i="14"/>
  <c r="O1181" i="14"/>
  <c r="O1180" i="14"/>
  <c r="O1179" i="14"/>
  <c r="O1178" i="14"/>
  <c r="O1177" i="14"/>
  <c r="O1176" i="14"/>
  <c r="O1175" i="14"/>
  <c r="O1174" i="14"/>
  <c r="O1173" i="14"/>
  <c r="O1172" i="14"/>
  <c r="O1171" i="14"/>
  <c r="O1170" i="14"/>
  <c r="O1169" i="14"/>
  <c r="O1168" i="14"/>
  <c r="O1167" i="14"/>
  <c r="O1166" i="14"/>
  <c r="O1165" i="14"/>
  <c r="O1164" i="14"/>
  <c r="O1163" i="14"/>
  <c r="O1162" i="14"/>
  <c r="O1161" i="14"/>
  <c r="O1160" i="14"/>
  <c r="O1159" i="14"/>
  <c r="O1158" i="14"/>
  <c r="O1157" i="14"/>
  <c r="O1156" i="14"/>
  <c r="O1155" i="14"/>
  <c r="O1154" i="14"/>
  <c r="O1153" i="14"/>
  <c r="O1152" i="14"/>
  <c r="O1151" i="14"/>
  <c r="O1150" i="14"/>
  <c r="O1149" i="14"/>
  <c r="O1148" i="14"/>
  <c r="O1147" i="14"/>
  <c r="O1146" i="14"/>
  <c r="O1145" i="14"/>
  <c r="O1144" i="14"/>
  <c r="O1143" i="14"/>
  <c r="O1142" i="14"/>
  <c r="O1141" i="14"/>
  <c r="O1140" i="14"/>
  <c r="O1139" i="14"/>
  <c r="O1138" i="14"/>
  <c r="O1137" i="14"/>
  <c r="O1136" i="14"/>
  <c r="O1135" i="14"/>
  <c r="O1134" i="14"/>
  <c r="O1133" i="14"/>
  <c r="O1132" i="14"/>
  <c r="O1131" i="14"/>
  <c r="O1130" i="14"/>
  <c r="O1129" i="14"/>
  <c r="O1128" i="14"/>
  <c r="O1127" i="14"/>
  <c r="O1126" i="14"/>
  <c r="O1125" i="14"/>
  <c r="O1124" i="14"/>
  <c r="O1123" i="14"/>
  <c r="O1122" i="14"/>
  <c r="O1121" i="14"/>
  <c r="O1120" i="14"/>
  <c r="O1119" i="14"/>
  <c r="O1118" i="14"/>
  <c r="O1117" i="14"/>
  <c r="O1116" i="14"/>
  <c r="O1115" i="14"/>
  <c r="O1114" i="14"/>
  <c r="O1113" i="14"/>
  <c r="O1112" i="14"/>
  <c r="O1111" i="14"/>
  <c r="O1110" i="14"/>
  <c r="O1109" i="14"/>
  <c r="O1108" i="14"/>
  <c r="O1107" i="14"/>
  <c r="O1106" i="14"/>
  <c r="O1105" i="14"/>
  <c r="O1104" i="14"/>
  <c r="O1103" i="14"/>
  <c r="O1101" i="14"/>
  <c r="O1100" i="14"/>
  <c r="O1099" i="14"/>
  <c r="O1098" i="14"/>
  <c r="O1097" i="14"/>
  <c r="O1096" i="14"/>
  <c r="O1095" i="14"/>
  <c r="O1094" i="14"/>
  <c r="O1093" i="14"/>
  <c r="O1092" i="14"/>
  <c r="O1091" i="14"/>
  <c r="O1090" i="14"/>
  <c r="O1089" i="14"/>
  <c r="O1088" i="14"/>
  <c r="O1087" i="14"/>
  <c r="O1086" i="14"/>
  <c r="O1085" i="14"/>
  <c r="O1084" i="14"/>
  <c r="O1083" i="14"/>
  <c r="O1082" i="14"/>
  <c r="O1081" i="14"/>
  <c r="O1080" i="14"/>
  <c r="O1079" i="14"/>
  <c r="O1078" i="14"/>
  <c r="O1077" i="14"/>
  <c r="O1076" i="14"/>
  <c r="O1075" i="14"/>
  <c r="O1074" i="14"/>
  <c r="O1073" i="14"/>
  <c r="O1072" i="14"/>
  <c r="O1071" i="14"/>
  <c r="O1070" i="14"/>
  <c r="O1069" i="14"/>
  <c r="O1068" i="14"/>
  <c r="O1067" i="14"/>
  <c r="O1066" i="14"/>
  <c r="O1065" i="14"/>
  <c r="O1064" i="14"/>
  <c r="O1063" i="14"/>
  <c r="O1062" i="14"/>
  <c r="O1061" i="14"/>
  <c r="O1060" i="14"/>
  <c r="O1059" i="14"/>
  <c r="O1058" i="14"/>
  <c r="O1057" i="14"/>
  <c r="O1056" i="14"/>
  <c r="O1054" i="14"/>
  <c r="O1053" i="14"/>
  <c r="O1052" i="14"/>
  <c r="O1051" i="14"/>
  <c r="O1050" i="14"/>
  <c r="O1049" i="14"/>
  <c r="O1048" i="14"/>
  <c r="O1047" i="14"/>
  <c r="O1046" i="14"/>
  <c r="O1045" i="14"/>
  <c r="O1044" i="14"/>
  <c r="O1043" i="14"/>
  <c r="O1042" i="14"/>
  <c r="O1041" i="14"/>
  <c r="O1040" i="14"/>
  <c r="O1039" i="14"/>
  <c r="O1038" i="14"/>
  <c r="O1037" i="14"/>
  <c r="O1036" i="14"/>
  <c r="O1035" i="14"/>
  <c r="O1034" i="14"/>
  <c r="O1033" i="14"/>
  <c r="O1032" i="14"/>
  <c r="O1031" i="14"/>
  <c r="O1030" i="14"/>
  <c r="O1029" i="14"/>
  <c r="O1028" i="14"/>
  <c r="O1027" i="14"/>
  <c r="O1026" i="14"/>
  <c r="O1025" i="14"/>
  <c r="O1024" i="14"/>
  <c r="O1023" i="14"/>
  <c r="O1022" i="14"/>
  <c r="O1021" i="14"/>
  <c r="O1020" i="14"/>
  <c r="O1019" i="14"/>
  <c r="O1018" i="14"/>
  <c r="O1017" i="14"/>
  <c r="O1016" i="14"/>
  <c r="O1015" i="14"/>
  <c r="O1013" i="14"/>
  <c r="O1012" i="14"/>
  <c r="O1011" i="14"/>
  <c r="O1010" i="14"/>
  <c r="O1009" i="14"/>
  <c r="O1008" i="14"/>
  <c r="O1007" i="14"/>
  <c r="O1006" i="14"/>
  <c r="O1005" i="14"/>
  <c r="O1004" i="14"/>
  <c r="O1003" i="14"/>
  <c r="O1002" i="14"/>
  <c r="O1001" i="14"/>
  <c r="O1000" i="14"/>
  <c r="O999" i="14"/>
  <c r="O998" i="14"/>
  <c r="O997" i="14"/>
  <c r="O996" i="14"/>
  <c r="O995" i="14"/>
  <c r="O994" i="14"/>
  <c r="O992" i="14"/>
  <c r="O991" i="14"/>
  <c r="O990" i="14"/>
  <c r="O989" i="14"/>
  <c r="O988" i="14"/>
  <c r="O987" i="14"/>
  <c r="O986" i="14"/>
  <c r="O985" i="14"/>
  <c r="O984" i="14"/>
  <c r="O983" i="14"/>
  <c r="O982" i="14"/>
  <c r="O981" i="14"/>
  <c r="O980" i="14"/>
  <c r="O979" i="14"/>
  <c r="O978" i="14"/>
  <c r="O977" i="14"/>
  <c r="O976" i="14"/>
  <c r="O975" i="14"/>
  <c r="O974" i="14"/>
  <c r="O972" i="14"/>
  <c r="O971" i="14"/>
  <c r="O970" i="14"/>
  <c r="O969" i="14"/>
  <c r="O968" i="14"/>
  <c r="O967" i="14"/>
  <c r="O966" i="14"/>
  <c r="O965" i="14"/>
  <c r="O964" i="14"/>
  <c r="O963" i="14"/>
  <c r="O962" i="14"/>
  <c r="O961" i="14"/>
  <c r="O960" i="14"/>
  <c r="O959" i="14"/>
  <c r="O958" i="14"/>
  <c r="O957" i="14"/>
  <c r="O956" i="14"/>
  <c r="O955" i="14"/>
  <c r="O954" i="14"/>
  <c r="O953" i="14"/>
  <c r="O952" i="14"/>
  <c r="O951" i="14"/>
  <c r="O950" i="14"/>
  <c r="O948" i="14"/>
  <c r="O947" i="14"/>
  <c r="O946" i="14"/>
  <c r="O944" i="14"/>
  <c r="O943" i="14"/>
  <c r="O942" i="14"/>
  <c r="O941" i="14"/>
  <c r="O940" i="14"/>
  <c r="O939" i="14"/>
  <c r="O938" i="14"/>
  <c r="O937" i="14"/>
  <c r="O936" i="14"/>
  <c r="O934" i="14"/>
  <c r="O933" i="14"/>
  <c r="O932" i="14"/>
  <c r="O931" i="14"/>
  <c r="O930" i="14"/>
  <c r="O929" i="14"/>
  <c r="O928" i="14"/>
  <c r="O927" i="14"/>
  <c r="O926" i="14"/>
  <c r="O925" i="14"/>
  <c r="O920" i="14"/>
  <c r="O919" i="14"/>
  <c r="O918" i="14"/>
  <c r="O916" i="14"/>
  <c r="O915" i="14"/>
  <c r="O914" i="14"/>
  <c r="O913" i="14"/>
  <c r="O912" i="14"/>
  <c r="O911" i="14"/>
  <c r="O910" i="14"/>
  <c r="O909" i="14"/>
  <c r="O908" i="14"/>
  <c r="O907" i="14"/>
  <c r="O905" i="14"/>
  <c r="O904" i="14"/>
  <c r="O903" i="14"/>
  <c r="O902" i="14"/>
  <c r="O901" i="14"/>
  <c r="O900" i="14"/>
  <c r="O899" i="14"/>
  <c r="O898" i="14"/>
  <c r="O896" i="14"/>
  <c r="O891" i="14"/>
  <c r="O890" i="14"/>
  <c r="O889" i="14"/>
  <c r="O887" i="14"/>
  <c r="O886" i="14"/>
  <c r="O885" i="14"/>
  <c r="O884" i="14"/>
  <c r="O883" i="14"/>
  <c r="O882" i="14"/>
  <c r="O881" i="14"/>
  <c r="O880" i="14"/>
  <c r="O879" i="14"/>
  <c r="O877" i="14"/>
  <c r="O876" i="14"/>
  <c r="O875" i="14"/>
  <c r="O874" i="14"/>
  <c r="O873" i="14"/>
  <c r="O872" i="14"/>
  <c r="O871" i="14"/>
  <c r="O870" i="14"/>
  <c r="O867" i="14"/>
  <c r="O866" i="14"/>
  <c r="O865" i="14"/>
  <c r="O864" i="14"/>
  <c r="O863" i="14"/>
  <c r="O862" i="14"/>
  <c r="O861" i="14"/>
  <c r="O860" i="14"/>
  <c r="O859" i="14"/>
  <c r="O858" i="14"/>
  <c r="O857" i="14"/>
  <c r="O856" i="14"/>
  <c r="O855" i="14"/>
  <c r="O854" i="14"/>
  <c r="O853" i="14"/>
  <c r="O852" i="14"/>
  <c r="O851" i="14"/>
  <c r="O850" i="14"/>
  <c r="O849" i="14"/>
  <c r="O848" i="14"/>
  <c r="O847" i="14"/>
  <c r="O842" i="14"/>
  <c r="O841" i="14"/>
  <c r="O840" i="14"/>
  <c r="O839" i="14"/>
  <c r="O838" i="14"/>
  <c r="O837" i="14"/>
  <c r="O836" i="14"/>
  <c r="O835" i="14"/>
  <c r="O834" i="14"/>
  <c r="O833" i="14"/>
  <c r="O832" i="14"/>
  <c r="O831" i="14"/>
  <c r="O830" i="14"/>
  <c r="O829" i="14"/>
  <c r="O828" i="14"/>
  <c r="O827" i="14"/>
  <c r="O826" i="14"/>
  <c r="O825" i="14"/>
  <c r="O824" i="14"/>
  <c r="O823" i="14"/>
  <c r="O820" i="14"/>
  <c r="O819" i="14"/>
  <c r="O818" i="14"/>
  <c r="O817" i="14"/>
  <c r="O816" i="14"/>
  <c r="O815" i="14"/>
  <c r="O814" i="14"/>
  <c r="O813" i="14"/>
  <c r="O812" i="14"/>
  <c r="O811" i="14"/>
  <c r="O810" i="14"/>
  <c r="O809" i="14"/>
  <c r="O808" i="14"/>
  <c r="O807" i="14"/>
  <c r="O806" i="14"/>
  <c r="O805" i="14"/>
  <c r="O804" i="14"/>
  <c r="O803" i="14"/>
  <c r="O802" i="14"/>
  <c r="O801" i="14"/>
  <c r="O800" i="14"/>
  <c r="O799" i="14"/>
  <c r="O798" i="14"/>
  <c r="O796" i="14"/>
  <c r="O795" i="14"/>
  <c r="O794" i="14"/>
  <c r="O793" i="14"/>
  <c r="O792" i="14"/>
  <c r="O791" i="14"/>
  <c r="O790" i="14"/>
  <c r="O789" i="14"/>
  <c r="O788" i="14"/>
  <c r="O787" i="14"/>
  <c r="O786" i="14"/>
  <c r="O785" i="14"/>
  <c r="O783" i="14"/>
  <c r="O782" i="14"/>
  <c r="O781" i="14"/>
  <c r="O780" i="14"/>
  <c r="O779" i="14"/>
  <c r="O778" i="14"/>
  <c r="O777" i="14"/>
  <c r="O776" i="14"/>
  <c r="O775" i="14"/>
  <c r="O774" i="14"/>
  <c r="O773" i="14"/>
  <c r="O771" i="14"/>
  <c r="O770" i="14"/>
  <c r="O769" i="14"/>
  <c r="O768" i="14"/>
  <c r="O767" i="14"/>
  <c r="O766" i="14"/>
  <c r="O765" i="14"/>
  <c r="O764" i="14"/>
  <c r="O763" i="14"/>
  <c r="O761" i="14"/>
  <c r="O760" i="14"/>
  <c r="O759" i="14"/>
  <c r="O758" i="14"/>
  <c r="O757" i="14"/>
  <c r="O756" i="14"/>
  <c r="O755" i="14"/>
  <c r="O754" i="14"/>
  <c r="O753" i="14"/>
  <c r="O752" i="14"/>
  <c r="O749" i="14"/>
  <c r="O748" i="14"/>
  <c r="O747" i="14"/>
  <c r="O746" i="14"/>
  <c r="O745" i="14"/>
  <c r="O744" i="14"/>
  <c r="O743" i="14"/>
  <c r="O738" i="14"/>
  <c r="O737" i="14"/>
  <c r="O736" i="14"/>
  <c r="O735" i="14"/>
  <c r="O734" i="14"/>
  <c r="O733" i="14"/>
  <c r="O732" i="14"/>
  <c r="O731" i="14"/>
  <c r="O727" i="14"/>
  <c r="O724" i="14"/>
  <c r="O723" i="14"/>
  <c r="O722" i="14"/>
  <c r="O721" i="14"/>
  <c r="O720" i="14"/>
  <c r="O719" i="14"/>
  <c r="O718" i="14"/>
  <c r="O717" i="14"/>
  <c r="O715" i="14"/>
  <c r="O711" i="14"/>
  <c r="O710" i="14"/>
  <c r="O709" i="14"/>
  <c r="O708" i="14"/>
  <c r="O707" i="14"/>
  <c r="O706" i="14"/>
  <c r="O705" i="14"/>
  <c r="O704" i="14"/>
  <c r="O702" i="14"/>
  <c r="O701" i="14"/>
  <c r="O700" i="14"/>
  <c r="O699" i="14"/>
  <c r="O698" i="14"/>
  <c r="O697" i="14"/>
  <c r="O696" i="14"/>
  <c r="O695" i="14"/>
  <c r="O694" i="14"/>
  <c r="O693" i="14"/>
  <c r="O690" i="14"/>
  <c r="O689" i="14"/>
  <c r="O688" i="14"/>
  <c r="O687" i="14"/>
  <c r="O686" i="14"/>
  <c r="O685" i="14"/>
  <c r="O684" i="14"/>
  <c r="O683" i="14"/>
  <c r="O681" i="14"/>
  <c r="O680" i="14"/>
  <c r="O679" i="14"/>
  <c r="O678" i="14"/>
  <c r="O677" i="14"/>
  <c r="O676" i="14"/>
  <c r="O675" i="14"/>
  <c r="O674" i="14"/>
  <c r="O673" i="14"/>
  <c r="O672" i="14"/>
  <c r="O671" i="14"/>
  <c r="O670" i="14"/>
  <c r="O669" i="14"/>
  <c r="O668" i="14"/>
  <c r="O667" i="14"/>
  <c r="O666" i="14"/>
  <c r="O665" i="14"/>
  <c r="O664" i="14"/>
  <c r="O663" i="14"/>
  <c r="O662" i="14"/>
  <c r="O661" i="14"/>
  <c r="O660" i="14"/>
  <c r="O659" i="14"/>
  <c r="O658" i="14"/>
  <c r="O657" i="14"/>
  <c r="O656" i="14"/>
  <c r="O655" i="14"/>
  <c r="O654" i="14"/>
  <c r="O651" i="14"/>
  <c r="O650" i="14"/>
  <c r="O649" i="14"/>
  <c r="O648" i="14"/>
  <c r="O647" i="14"/>
  <c r="O646" i="14"/>
  <c r="O645" i="14"/>
  <c r="O644" i="14"/>
  <c r="O642" i="14"/>
  <c r="O641" i="14"/>
  <c r="O640" i="14"/>
  <c r="O639" i="14"/>
  <c r="O638" i="14"/>
  <c r="O637" i="14"/>
  <c r="O636" i="14"/>
  <c r="O635" i="14"/>
  <c r="O634" i="14"/>
  <c r="O633" i="14"/>
  <c r="O632" i="14"/>
  <c r="O631" i="14"/>
  <c r="O630" i="14"/>
  <c r="O629" i="14"/>
  <c r="O628" i="14"/>
  <c r="O627" i="14"/>
  <c r="O626" i="14"/>
  <c r="O625" i="14"/>
  <c r="O624" i="14"/>
  <c r="O623" i="14"/>
  <c r="O622" i="14"/>
  <c r="O621" i="14"/>
  <c r="O616" i="14"/>
  <c r="O615" i="14"/>
  <c r="O614" i="14"/>
  <c r="O613" i="14"/>
  <c r="O612" i="14"/>
  <c r="O611" i="14"/>
  <c r="O610" i="14"/>
  <c r="O609" i="14"/>
  <c r="O608" i="14"/>
  <c r="O606" i="14"/>
  <c r="O605" i="14"/>
  <c r="O604" i="14"/>
  <c r="O603" i="14"/>
  <c r="O602" i="14"/>
  <c r="O601" i="14"/>
  <c r="O600" i="14"/>
  <c r="O599" i="14"/>
  <c r="O598" i="14"/>
  <c r="O597" i="14"/>
  <c r="O596" i="14"/>
  <c r="O595" i="14"/>
  <c r="K1383" i="14"/>
  <c r="K1381" i="14"/>
  <c r="K1380" i="14"/>
  <c r="K1379" i="14"/>
  <c r="K1378" i="14"/>
  <c r="K1377" i="14"/>
  <c r="K1376" i="14"/>
  <c r="K1374" i="14"/>
  <c r="K1371" i="14"/>
  <c r="K1370" i="14"/>
  <c r="K1369" i="14"/>
  <c r="K1366" i="14"/>
  <c r="K1361" i="14"/>
  <c r="K1359" i="14"/>
  <c r="K1355" i="14"/>
  <c r="K1354" i="14"/>
  <c r="K1353" i="14"/>
  <c r="K1351" i="14"/>
  <c r="K1350" i="14"/>
  <c r="K1348" i="14"/>
  <c r="K1347" i="14"/>
  <c r="K1346" i="14"/>
  <c r="K1345" i="14"/>
  <c r="K1344" i="14"/>
  <c r="K1343" i="14"/>
  <c r="K1341" i="14"/>
  <c r="K1340" i="14"/>
  <c r="K1338" i="14"/>
  <c r="K1337" i="14"/>
  <c r="K1336" i="14"/>
  <c r="K1335" i="14"/>
  <c r="K1334" i="14"/>
  <c r="K1333" i="14"/>
  <c r="K1332" i="14"/>
  <c r="K1331" i="14"/>
  <c r="K1330" i="14"/>
  <c r="K1328" i="14"/>
  <c r="K1327" i="14"/>
  <c r="K1326" i="14"/>
  <c r="K1325" i="14"/>
  <c r="K1324" i="14"/>
  <c r="K1323" i="14"/>
  <c r="K1322" i="14"/>
  <c r="K1320" i="14"/>
  <c r="K1319" i="14"/>
  <c r="K1317" i="14"/>
  <c r="K1316" i="14"/>
  <c r="K1315" i="14"/>
  <c r="K1314" i="14"/>
  <c r="K1313" i="14"/>
  <c r="K1312" i="14"/>
  <c r="K1308" i="14"/>
  <c r="K1307" i="14"/>
  <c r="K1306" i="14"/>
  <c r="K1305" i="14"/>
  <c r="K1304" i="14"/>
  <c r="K1303" i="14"/>
  <c r="K1298" i="14"/>
  <c r="K1297" i="14"/>
  <c r="K1294" i="14"/>
  <c r="K1289" i="14"/>
  <c r="K1288" i="14"/>
  <c r="K1285" i="14"/>
  <c r="K1279" i="14"/>
  <c r="K1278" i="14"/>
  <c r="K1277" i="14"/>
  <c r="K1274" i="14"/>
  <c r="K1272" i="14"/>
  <c r="K1267" i="14"/>
  <c r="K1266" i="14"/>
  <c r="K1264" i="14"/>
  <c r="K1259" i="14"/>
  <c r="K1257" i="14"/>
  <c r="K1254" i="14"/>
  <c r="K1253" i="14"/>
  <c r="K1252" i="14"/>
  <c r="K1250" i="14"/>
  <c r="K1248" i="14"/>
  <c r="K1247" i="14"/>
  <c r="K1246" i="14"/>
  <c r="K1245" i="14"/>
  <c r="K1244" i="14"/>
  <c r="K1243" i="14"/>
  <c r="K1242" i="14"/>
  <c r="K1237" i="14"/>
  <c r="K1236" i="14"/>
  <c r="K1231" i="14"/>
  <c r="K1230" i="14"/>
  <c r="K1229" i="14"/>
  <c r="K1228" i="14"/>
  <c r="K1226" i="14"/>
  <c r="K1223" i="14"/>
  <c r="K1222" i="14"/>
  <c r="K1220" i="14"/>
  <c r="K1219" i="14"/>
  <c r="K1218" i="14"/>
  <c r="K1217" i="14"/>
  <c r="K1216" i="14"/>
  <c r="K1213" i="14"/>
  <c r="K1208" i="14"/>
  <c r="K1207" i="14"/>
  <c r="K1206" i="14"/>
  <c r="K1204" i="14"/>
  <c r="K1203" i="14"/>
  <c r="K1201" i="14"/>
  <c r="K1200" i="14"/>
  <c r="K1199" i="14"/>
  <c r="K1197" i="14"/>
  <c r="K1196" i="14"/>
  <c r="K1194" i="14"/>
  <c r="K1193" i="14"/>
  <c r="K1192" i="14"/>
  <c r="K1191" i="14"/>
  <c r="K1190" i="14"/>
  <c r="K1189" i="14"/>
  <c r="K1187" i="14"/>
  <c r="K1183" i="14"/>
  <c r="K1182" i="14"/>
  <c r="K1180" i="14"/>
  <c r="K1179" i="14"/>
  <c r="K1178" i="14"/>
  <c r="K1175" i="14"/>
  <c r="K1174" i="14"/>
  <c r="K1172" i="14"/>
  <c r="K1171" i="14"/>
  <c r="K1170" i="14"/>
  <c r="K1169" i="14"/>
  <c r="K1167" i="14"/>
  <c r="K1166" i="14"/>
  <c r="K1164" i="14"/>
  <c r="K1160" i="14"/>
  <c r="K1159" i="14"/>
  <c r="K1157" i="14"/>
  <c r="K1156" i="14"/>
  <c r="K1152" i="14"/>
  <c r="K1151" i="14"/>
  <c r="K1149" i="14"/>
  <c r="K1148" i="14"/>
  <c r="K1147" i="14"/>
  <c r="K1146" i="14"/>
  <c r="K1144" i="14"/>
  <c r="K1143" i="14"/>
  <c r="K1141" i="14"/>
  <c r="K1140" i="14"/>
  <c r="K1139" i="14"/>
  <c r="K1138" i="14"/>
  <c r="K1136" i="14"/>
  <c r="K1135" i="14"/>
  <c r="K1133" i="14"/>
  <c r="K1132" i="14"/>
  <c r="K1131" i="14"/>
  <c r="K1129" i="14"/>
  <c r="K1128" i="14"/>
  <c r="K1126" i="14"/>
  <c r="K1125" i="14"/>
  <c r="K1124" i="14"/>
  <c r="K1123" i="14"/>
  <c r="K1121" i="14"/>
  <c r="K1120" i="14"/>
  <c r="K1118" i="14"/>
  <c r="K1117" i="14"/>
  <c r="K1113" i="14"/>
  <c r="K1112" i="14"/>
  <c r="K1101" i="14"/>
  <c r="K1099" i="14"/>
  <c r="K1095" i="14"/>
  <c r="K1090" i="14"/>
  <c r="K1089" i="14"/>
  <c r="K1088" i="14"/>
  <c r="K1087" i="14"/>
  <c r="K1085" i="14"/>
  <c r="K1084" i="14"/>
  <c r="K1082" i="14"/>
  <c r="K1081" i="14"/>
  <c r="K1080" i="14"/>
  <c r="K1079" i="14"/>
  <c r="K1077" i="14"/>
  <c r="K1076" i="14"/>
  <c r="K1074" i="14"/>
  <c r="K1073" i="14"/>
  <c r="K1071" i="14"/>
  <c r="K1066" i="14"/>
  <c r="K1065" i="14"/>
  <c r="K1064" i="14"/>
  <c r="K1063" i="14"/>
  <c r="K1058" i="14"/>
  <c r="K1057" i="14"/>
  <c r="K1056" i="14"/>
  <c r="K1054" i="14"/>
  <c r="K1053" i="14"/>
  <c r="K1048" i="14"/>
  <c r="K1047" i="14"/>
  <c r="K1045" i="14"/>
  <c r="K1039" i="14"/>
  <c r="K1038" i="14"/>
  <c r="K1037" i="14"/>
  <c r="K1036" i="14"/>
  <c r="K1031" i="14"/>
  <c r="K1030" i="14"/>
  <c r="K1029" i="14"/>
  <c r="K1028" i="14"/>
  <c r="K1026" i="14"/>
  <c r="K1025" i="14"/>
  <c r="K1023" i="14"/>
  <c r="K1022" i="14"/>
  <c r="K1021" i="14"/>
  <c r="K1012" i="14"/>
  <c r="K1010" i="14"/>
  <c r="K1006" i="14"/>
  <c r="K992" i="14"/>
  <c r="K991" i="14"/>
  <c r="K983" i="14"/>
  <c r="K982" i="14"/>
  <c r="K981" i="14"/>
  <c r="K980" i="14"/>
  <c r="K979" i="14"/>
  <c r="K978" i="14"/>
  <c r="K972" i="14"/>
  <c r="K971" i="14"/>
  <c r="K969" i="14"/>
  <c r="K968" i="14"/>
  <c r="K966" i="14"/>
  <c r="K965" i="14"/>
  <c r="K960" i="14"/>
  <c r="K959" i="14"/>
  <c r="K957" i="14"/>
  <c r="K956" i="14"/>
  <c r="K955" i="14"/>
  <c r="K954" i="14"/>
  <c r="K948" i="14"/>
  <c r="K947" i="14"/>
  <c r="K944" i="14"/>
  <c r="K943" i="14"/>
  <c r="K942" i="14"/>
  <c r="K941" i="14"/>
  <c r="K937" i="14"/>
  <c r="K936" i="14"/>
  <c r="K934" i="14"/>
  <c r="K933" i="14"/>
  <c r="K932" i="14"/>
  <c r="K931" i="14"/>
  <c r="K929" i="14"/>
  <c r="K924" i="14"/>
  <c r="K923" i="14"/>
  <c r="K922" i="14"/>
  <c r="K920" i="14"/>
  <c r="K918" i="14"/>
  <c r="K916" i="14"/>
  <c r="K915" i="14"/>
  <c r="K912" i="14"/>
  <c r="K907" i="14"/>
  <c r="K905" i="14"/>
  <c r="K904" i="14"/>
  <c r="K902" i="14"/>
  <c r="K901" i="14"/>
  <c r="K896" i="14"/>
  <c r="K895" i="14"/>
  <c r="K894" i="14"/>
  <c r="K893" i="14"/>
  <c r="K891" i="14"/>
  <c r="K887" i="14"/>
  <c r="K884" i="14"/>
  <c r="K877" i="14"/>
  <c r="K876" i="14"/>
  <c r="K873" i="14"/>
  <c r="K867" i="14"/>
  <c r="K866" i="14"/>
  <c r="K865" i="14"/>
  <c r="K864" i="14"/>
  <c r="K862" i="14"/>
  <c r="K861" i="14"/>
  <c r="K857" i="14"/>
  <c r="K856" i="14"/>
  <c r="K855" i="14"/>
  <c r="K854" i="14"/>
  <c r="K853" i="14"/>
  <c r="K851" i="14"/>
  <c r="K846" i="14"/>
  <c r="K845" i="14"/>
  <c r="K844" i="14"/>
  <c r="K842" i="14"/>
  <c r="K841" i="14"/>
  <c r="K837" i="14"/>
  <c r="K836" i="14"/>
  <c r="K832" i="14"/>
  <c r="K829" i="14"/>
  <c r="K827" i="14"/>
  <c r="K826" i="14"/>
  <c r="K820" i="14"/>
  <c r="K819" i="14"/>
  <c r="K816" i="14"/>
  <c r="K813" i="14"/>
  <c r="K809" i="14"/>
  <c r="K808" i="14"/>
  <c r="K807" i="14"/>
  <c r="K805" i="14"/>
  <c r="K803" i="14"/>
  <c r="K798" i="14"/>
  <c r="K796" i="14"/>
  <c r="K795" i="14"/>
  <c r="K794" i="14"/>
  <c r="K792" i="14"/>
  <c r="K786" i="14"/>
  <c r="K783" i="14"/>
  <c r="K781" i="14"/>
  <c r="K778" i="14"/>
  <c r="K773" i="14"/>
  <c r="K772" i="14"/>
  <c r="K771" i="14"/>
  <c r="K769" i="14"/>
  <c r="K768" i="14"/>
  <c r="K766" i="14"/>
  <c r="K761" i="14"/>
  <c r="K760" i="14"/>
  <c r="K759" i="14"/>
  <c r="K757" i="14"/>
  <c r="K752" i="14"/>
  <c r="K751" i="14"/>
  <c r="K750" i="14"/>
  <c r="K748" i="14"/>
  <c r="K746" i="14"/>
  <c r="K741" i="14"/>
  <c r="K740" i="14"/>
  <c r="K739" i="14"/>
  <c r="K738" i="14"/>
  <c r="K736" i="14"/>
  <c r="K734" i="14"/>
  <c r="K729" i="14"/>
  <c r="K728" i="14"/>
  <c r="K727" i="14"/>
  <c r="K726" i="14"/>
  <c r="K725" i="14"/>
  <c r="K724" i="14"/>
  <c r="K722" i="14"/>
  <c r="K720" i="14"/>
  <c r="K715" i="14"/>
  <c r="K714" i="14"/>
  <c r="K713" i="14"/>
  <c r="K712" i="14"/>
  <c r="K711" i="14"/>
  <c r="K707" i="14"/>
  <c r="K702" i="14"/>
  <c r="K700" i="14"/>
  <c r="K698" i="14"/>
  <c r="K693" i="14"/>
  <c r="K690" i="14"/>
  <c r="K686" i="14"/>
  <c r="K681" i="14"/>
  <c r="K679" i="14"/>
  <c r="K677" i="14"/>
  <c r="K672" i="14"/>
  <c r="K668" i="14"/>
  <c r="K663" i="14"/>
  <c r="K661" i="14"/>
  <c r="K659" i="14"/>
  <c r="K654" i="14"/>
  <c r="K651" i="14"/>
  <c r="K650" i="14"/>
  <c r="K647" i="14"/>
  <c r="K640" i="14"/>
  <c r="K638" i="14"/>
  <c r="K633" i="14"/>
  <c r="K631" i="14"/>
  <c r="K629" i="14"/>
  <c r="K624" i="14"/>
  <c r="K622" i="14"/>
  <c r="K619" i="14"/>
  <c r="K618" i="14"/>
  <c r="K617" i="14"/>
  <c r="K616" i="14"/>
  <c r="K614" i="14"/>
  <c r="K611" i="14"/>
  <c r="J974" i="14"/>
  <c r="H17" i="15"/>
  <c r="H14" i="15"/>
  <c r="H13" i="15"/>
  <c r="H12" i="15"/>
  <c r="H9" i="15"/>
  <c r="H8" i="15"/>
  <c r="H7" i="15"/>
  <c r="L40" i="15"/>
  <c r="L39" i="15"/>
  <c r="L38" i="15"/>
  <c r="L37" i="15"/>
  <c r="L35" i="15"/>
  <c r="L34" i="15"/>
  <c r="L32" i="15"/>
  <c r="L31" i="15"/>
  <c r="L30" i="15"/>
  <c r="L29" i="15"/>
  <c r="L28" i="15"/>
  <c r="L19" i="15"/>
  <c r="L18" i="15"/>
  <c r="E17" i="15"/>
  <c r="E8" i="15"/>
  <c r="E7" i="15"/>
  <c r="N9" i="14"/>
  <c r="H6" i="15" s="1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4" i="14"/>
  <c r="O43" i="14"/>
  <c r="O41" i="14"/>
  <c r="O39" i="14"/>
  <c r="O36" i="14"/>
  <c r="O35" i="14"/>
  <c r="O34" i="14"/>
  <c r="O33" i="14"/>
  <c r="O32" i="14"/>
  <c r="O31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K64" i="14"/>
  <c r="K63" i="14"/>
  <c r="K60" i="14"/>
  <c r="K57" i="14"/>
  <c r="K52" i="14"/>
  <c r="K51" i="14"/>
  <c r="K50" i="14"/>
  <c r="K49" i="14"/>
  <c r="K48" i="14"/>
  <c r="K47" i="14"/>
  <c r="K46" i="14"/>
  <c r="K45" i="14"/>
  <c r="K41" i="14"/>
  <c r="K40" i="14"/>
  <c r="K39" i="14"/>
  <c r="K38" i="14"/>
  <c r="K37" i="14"/>
  <c r="K35" i="14"/>
  <c r="K34" i="14"/>
  <c r="K33" i="14"/>
  <c r="K28" i="14"/>
  <c r="K27" i="14"/>
  <c r="K23" i="14"/>
  <c r="K20" i="14"/>
  <c r="K16" i="14"/>
  <c r="K13" i="14"/>
  <c r="J43" i="14"/>
  <c r="J42" i="14" s="1"/>
  <c r="J9" i="14" s="1"/>
  <c r="E6" i="15" s="1"/>
  <c r="H410" i="13"/>
  <c r="I425" i="13"/>
  <c r="O1983" i="14"/>
  <c r="O1982" i="14"/>
  <c r="O1981" i="14"/>
  <c r="O1980" i="14"/>
  <c r="O1979" i="14"/>
  <c r="O1978" i="14"/>
  <c r="O1977" i="14"/>
  <c r="O1976" i="14"/>
  <c r="O1975" i="14"/>
  <c r="O1974" i="14"/>
  <c r="O1973" i="14"/>
  <c r="O1972" i="14"/>
  <c r="O1971" i="14"/>
  <c r="O1970" i="14"/>
  <c r="O1969" i="14"/>
  <c r="O1968" i="14"/>
  <c r="O1967" i="14"/>
  <c r="O1966" i="14"/>
  <c r="O1965" i="14"/>
  <c r="O1964" i="14"/>
  <c r="O1963" i="14"/>
  <c r="O1962" i="14"/>
  <c r="O1961" i="14"/>
  <c r="O1960" i="14"/>
  <c r="O1959" i="14"/>
  <c r="O1958" i="14"/>
  <c r="O1957" i="14"/>
  <c r="O1956" i="14"/>
  <c r="O1955" i="14"/>
  <c r="O1954" i="14"/>
  <c r="O1951" i="14"/>
  <c r="O1950" i="14"/>
  <c r="O1949" i="14"/>
  <c r="O1948" i="14"/>
  <c r="O1947" i="14"/>
  <c r="O1946" i="14"/>
  <c r="O1945" i="14"/>
  <c r="O1944" i="14"/>
  <c r="O1936" i="14"/>
  <c r="O1935" i="14"/>
  <c r="O1934" i="14"/>
  <c r="O1933" i="14"/>
  <c r="O1932" i="14"/>
  <c r="O1931" i="14"/>
  <c r="O1930" i="14"/>
  <c r="O1929" i="14"/>
  <c r="O1928" i="14"/>
  <c r="O1927" i="14"/>
  <c r="O1925" i="14"/>
  <c r="O1924" i="14"/>
  <c r="O1923" i="14"/>
  <c r="O1922" i="14"/>
  <c r="O1921" i="14"/>
  <c r="O1919" i="14"/>
  <c r="O1918" i="14"/>
  <c r="O1917" i="14"/>
  <c r="O1916" i="14"/>
  <c r="O1915" i="14"/>
  <c r="O1914" i="14"/>
  <c r="O1913" i="14"/>
  <c r="O1912" i="14"/>
  <c r="O1911" i="14"/>
  <c r="O1910" i="14"/>
  <c r="O1909" i="14"/>
  <c r="O1908" i="14"/>
  <c r="O1907" i="14"/>
  <c r="O1906" i="14"/>
  <c r="O1905" i="14"/>
  <c r="O1904" i="14"/>
  <c r="O1903" i="14"/>
  <c r="O1902" i="14"/>
  <c r="O1901" i="14"/>
  <c r="O1900" i="14"/>
  <c r="O1899" i="14"/>
  <c r="O1898" i="14"/>
  <c r="O1897" i="14"/>
  <c r="O1896" i="14"/>
  <c r="O1895" i="14"/>
  <c r="O1894" i="14"/>
  <c r="O1893" i="14"/>
  <c r="O1892" i="14"/>
  <c r="O1891" i="14"/>
  <c r="O1890" i="14"/>
  <c r="O1889" i="14"/>
  <c r="O1888" i="14"/>
  <c r="O1887" i="14"/>
  <c r="O1886" i="14"/>
  <c r="O1885" i="14"/>
  <c r="O1884" i="14"/>
  <c r="O1883" i="14"/>
  <c r="O1882" i="14"/>
  <c r="O1881" i="14"/>
  <c r="O1880" i="14"/>
  <c r="O1879" i="14"/>
  <c r="O1878" i="14"/>
  <c r="O1874" i="14"/>
  <c r="O1873" i="14"/>
  <c r="O1872" i="14"/>
  <c r="O1871" i="14"/>
  <c r="O1870" i="14"/>
  <c r="O1869" i="14"/>
  <c r="O1868" i="14"/>
  <c r="O1867" i="14"/>
  <c r="O1863" i="14"/>
  <c r="O1862" i="14"/>
  <c r="O1861" i="14"/>
  <c r="O1860" i="14"/>
  <c r="O1859" i="14"/>
  <c r="O1858" i="14"/>
  <c r="O1857" i="14"/>
  <c r="O1856" i="14"/>
  <c r="O1855" i="14"/>
  <c r="O1854" i="14"/>
  <c r="O1853" i="14"/>
  <c r="O1852" i="14"/>
  <c r="O1851" i="14"/>
  <c r="O1850" i="14"/>
  <c r="O1849" i="14"/>
  <c r="O1848" i="14"/>
  <c r="O1847" i="14"/>
  <c r="O1846" i="14"/>
  <c r="O1845" i="14"/>
  <c r="O1844" i="14"/>
  <c r="O1843" i="14"/>
  <c r="O1842" i="14"/>
  <c r="O1841" i="14"/>
  <c r="O1840" i="14"/>
  <c r="O1839" i="14"/>
  <c r="O1838" i="14"/>
  <c r="O1837" i="14"/>
  <c r="O1836" i="14"/>
  <c r="O1835" i="14"/>
  <c r="O1834" i="14"/>
  <c r="O1833" i="14"/>
  <c r="O1832" i="14"/>
  <c r="K1983" i="14"/>
  <c r="K1981" i="14"/>
  <c r="K1980" i="14"/>
  <c r="K1979" i="14"/>
  <c r="K1978" i="14"/>
  <c r="K1977" i="14"/>
  <c r="K1975" i="14"/>
  <c r="K1974" i="14"/>
  <c r="K1971" i="14"/>
  <c r="K1970" i="14"/>
  <c r="K1969" i="14"/>
  <c r="K1968" i="14"/>
  <c r="K1966" i="14"/>
  <c r="K1965" i="14"/>
  <c r="K1954" i="14"/>
  <c r="K1953" i="14"/>
  <c r="K1952" i="14"/>
  <c r="K1948" i="14"/>
  <c r="K1947" i="14"/>
  <c r="K1945" i="14"/>
  <c r="K1944" i="14"/>
  <c r="K1941" i="14"/>
  <c r="K1940" i="14"/>
  <c r="K1939" i="14"/>
  <c r="K1938" i="14"/>
  <c r="K1937" i="14"/>
  <c r="K1933" i="14"/>
  <c r="K1931" i="14"/>
  <c r="K1930" i="14"/>
  <c r="K1928" i="14"/>
  <c r="K1927" i="14"/>
  <c r="K1923" i="14"/>
  <c r="K1907" i="14"/>
  <c r="K1905" i="14"/>
  <c r="K1904" i="14"/>
  <c r="K1902" i="14"/>
  <c r="K1901" i="14"/>
  <c r="K1898" i="14"/>
  <c r="K1897" i="14"/>
  <c r="K1896" i="14"/>
  <c r="K1893" i="14"/>
  <c r="K1887" i="14"/>
  <c r="K1885" i="14"/>
  <c r="K1884" i="14"/>
  <c r="K1883" i="14"/>
  <c r="K1881" i="14"/>
  <c r="K1877" i="14"/>
  <c r="K1876" i="14"/>
  <c r="K1875" i="14"/>
  <c r="K1874" i="14"/>
  <c r="K1873" i="14"/>
  <c r="K1870" i="14"/>
  <c r="K1868" i="14"/>
  <c r="K1867" i="14"/>
  <c r="K1863" i="14"/>
  <c r="K1862" i="14"/>
  <c r="K1861" i="14"/>
  <c r="K1860" i="14"/>
  <c r="K1859" i="14"/>
  <c r="K1858" i="14"/>
  <c r="K1857" i="14"/>
  <c r="K1856" i="14"/>
  <c r="K1855" i="14"/>
  <c r="K1853" i="14"/>
  <c r="K1851" i="14"/>
  <c r="K1850" i="14"/>
  <c r="K1840" i="14"/>
  <c r="K1837" i="14"/>
  <c r="K1835" i="14"/>
  <c r="K1834" i="14"/>
  <c r="J1956" i="14"/>
  <c r="J1955" i="14" s="1"/>
  <c r="J1961" i="14"/>
  <c r="J1958" i="14" s="1"/>
  <c r="N1831" i="14"/>
  <c r="N373" i="14"/>
  <c r="N349" i="14"/>
  <c r="N328" i="14"/>
  <c r="O392" i="14"/>
  <c r="O391" i="14"/>
  <c r="O390" i="14"/>
  <c r="O389" i="14"/>
  <c r="O388" i="14"/>
  <c r="O387" i="14"/>
  <c r="O386" i="14"/>
  <c r="O385" i="14"/>
  <c r="O384" i="14"/>
  <c r="O383" i="14"/>
  <c r="O382" i="14"/>
  <c r="O381" i="14"/>
  <c r="O380" i="14"/>
  <c r="O379" i="14"/>
  <c r="O378" i="14"/>
  <c r="O375" i="14"/>
  <c r="O374" i="14"/>
  <c r="O372" i="14"/>
  <c r="O369" i="14"/>
  <c r="O368" i="14"/>
  <c r="O367" i="14"/>
  <c r="O366" i="14"/>
  <c r="O365" i="14"/>
  <c r="O364" i="14"/>
  <c r="O363" i="14"/>
  <c r="O362" i="14"/>
  <c r="O361" i="14"/>
  <c r="O360" i="14"/>
  <c r="O358" i="14"/>
  <c r="O356" i="14"/>
  <c r="O355" i="14"/>
  <c r="O353" i="14"/>
  <c r="O351" i="14"/>
  <c r="O350" i="14"/>
  <c r="O348" i="14"/>
  <c r="O341" i="14"/>
  <c r="O340" i="14"/>
  <c r="O339" i="14"/>
  <c r="O338" i="14"/>
  <c r="O337" i="14"/>
  <c r="O336" i="14"/>
  <c r="O335" i="14"/>
  <c r="O334" i="14"/>
  <c r="O333" i="14"/>
  <c r="O332" i="14"/>
  <c r="O331" i="14"/>
  <c r="O330" i="14"/>
  <c r="O329" i="14"/>
  <c r="K392" i="14"/>
  <c r="K391" i="14"/>
  <c r="K390" i="14"/>
  <c r="K387" i="14"/>
  <c r="K386" i="14"/>
  <c r="K385" i="14"/>
  <c r="K384" i="14"/>
  <c r="K381" i="14"/>
  <c r="K378" i="14"/>
  <c r="K377" i="14"/>
  <c r="K376" i="14"/>
  <c r="K375" i="14"/>
  <c r="K372" i="14"/>
  <c r="K371" i="14"/>
  <c r="K370" i="14"/>
  <c r="K369" i="14"/>
  <c r="K368" i="14"/>
  <c r="K367" i="14"/>
  <c r="K366" i="14"/>
  <c r="K365" i="14"/>
  <c r="K364" i="14"/>
  <c r="K363" i="14"/>
  <c r="K361" i="14"/>
  <c r="K360" i="14"/>
  <c r="K358" i="14"/>
  <c r="K357" i="14"/>
  <c r="K356" i="14"/>
  <c r="K355" i="14"/>
  <c r="K354" i="14"/>
  <c r="K353" i="14"/>
  <c r="K352" i="14"/>
  <c r="K351" i="14"/>
  <c r="K348" i="14"/>
  <c r="K347" i="14"/>
  <c r="K346" i="14"/>
  <c r="K345" i="14"/>
  <c r="K344" i="14"/>
  <c r="K343" i="14"/>
  <c r="K342" i="14"/>
  <c r="K340" i="14"/>
  <c r="K338" i="14"/>
  <c r="K335" i="14"/>
  <c r="K333" i="14"/>
  <c r="K332" i="14"/>
  <c r="K330" i="14"/>
  <c r="J331" i="14"/>
  <c r="J328" i="14" s="1"/>
  <c r="J327" i="14" s="1"/>
  <c r="E10" i="15" s="1"/>
  <c r="J439" i="14" l="1"/>
  <c r="H16" i="15"/>
  <c r="J784" i="14"/>
  <c r="J1831" i="14"/>
  <c r="E16" i="15" s="1"/>
  <c r="N327" i="14"/>
  <c r="R327" i="14" s="1"/>
  <c r="K23" i="15"/>
  <c r="K33" i="15"/>
  <c r="K6" i="15"/>
  <c r="K7" i="15"/>
  <c r="K8" i="15"/>
  <c r="K9" i="15"/>
  <c r="K13" i="15"/>
  <c r="K14" i="15"/>
  <c r="K15" i="15"/>
  <c r="K17" i="15"/>
  <c r="R1993" i="14"/>
  <c r="R1994" i="14"/>
  <c r="R1995" i="14"/>
  <c r="R1996" i="14"/>
  <c r="R1997" i="14"/>
  <c r="S1997" i="14"/>
  <c r="R1998" i="14"/>
  <c r="R1999" i="14"/>
  <c r="R2000" i="14"/>
  <c r="R2001" i="14"/>
  <c r="R2002" i="14"/>
  <c r="R2003" i="14"/>
  <c r="S2003" i="14"/>
  <c r="R2004" i="14"/>
  <c r="R2005" i="14"/>
  <c r="R2006" i="14"/>
  <c r="S2006" i="14"/>
  <c r="R2007" i="14"/>
  <c r="R2008" i="14"/>
  <c r="S2008" i="14"/>
  <c r="R2009" i="14"/>
  <c r="S2009" i="14"/>
  <c r="R2010" i="14"/>
  <c r="R2011" i="14"/>
  <c r="S2011" i="14"/>
  <c r="R2012" i="14"/>
  <c r="S2012" i="14"/>
  <c r="R2013" i="14"/>
  <c r="S2013" i="14"/>
  <c r="R2014" i="14"/>
  <c r="S2014" i="14"/>
  <c r="R2015" i="14"/>
  <c r="R2016" i="14"/>
  <c r="R2017" i="14"/>
  <c r="S2017" i="14"/>
  <c r="R2018" i="14"/>
  <c r="S2018" i="14"/>
  <c r="R1832" i="14"/>
  <c r="R1833" i="14"/>
  <c r="R1834" i="14"/>
  <c r="S1834" i="14"/>
  <c r="R1835" i="14"/>
  <c r="S1835" i="14"/>
  <c r="R1836" i="14"/>
  <c r="R1837" i="14"/>
  <c r="S1837" i="14"/>
  <c r="R1838" i="14"/>
  <c r="R1839" i="14"/>
  <c r="R1840" i="14"/>
  <c r="S1840" i="14"/>
  <c r="R1841" i="14"/>
  <c r="R1842" i="14"/>
  <c r="R1843" i="14"/>
  <c r="R1844" i="14"/>
  <c r="R1845" i="14"/>
  <c r="R1846" i="14"/>
  <c r="R1847" i="14"/>
  <c r="R1848" i="14"/>
  <c r="R1849" i="14"/>
  <c r="R1850" i="14"/>
  <c r="S1850" i="14"/>
  <c r="R1851" i="14"/>
  <c r="S1851" i="14"/>
  <c r="R1852" i="14"/>
  <c r="R1853" i="14"/>
  <c r="S1853" i="14"/>
  <c r="R1854" i="14"/>
  <c r="R1855" i="14"/>
  <c r="S1855" i="14"/>
  <c r="R1856" i="14"/>
  <c r="S1856" i="14"/>
  <c r="R1857" i="14"/>
  <c r="S1857" i="14"/>
  <c r="R1858" i="14"/>
  <c r="S1858" i="14"/>
  <c r="R1859" i="14"/>
  <c r="S1859" i="14"/>
  <c r="R1860" i="14"/>
  <c r="S1860" i="14"/>
  <c r="R1861" i="14"/>
  <c r="S1861" i="14"/>
  <c r="R1862" i="14"/>
  <c r="S1862" i="14"/>
  <c r="R1863" i="14"/>
  <c r="S1863" i="14"/>
  <c r="R1864" i="14"/>
  <c r="R1865" i="14"/>
  <c r="R1866" i="14"/>
  <c r="R1867" i="14"/>
  <c r="S1867" i="14"/>
  <c r="R1868" i="14"/>
  <c r="S1868" i="14"/>
  <c r="R1869" i="14"/>
  <c r="R1870" i="14"/>
  <c r="S1870" i="14"/>
  <c r="R1871" i="14"/>
  <c r="R1872" i="14"/>
  <c r="R1873" i="14"/>
  <c r="S1873" i="14"/>
  <c r="R1874" i="14"/>
  <c r="S1874" i="14"/>
  <c r="R1875" i="14"/>
  <c r="R1876" i="14"/>
  <c r="R1877" i="14"/>
  <c r="R1878" i="14"/>
  <c r="R1879" i="14"/>
  <c r="R1880" i="14"/>
  <c r="R1881" i="14"/>
  <c r="S1881" i="14"/>
  <c r="R1882" i="14"/>
  <c r="R1883" i="14"/>
  <c r="S1883" i="14"/>
  <c r="R1884" i="14"/>
  <c r="S1884" i="14"/>
  <c r="R1885" i="14"/>
  <c r="S1885" i="14"/>
  <c r="R1886" i="14"/>
  <c r="R1887" i="14"/>
  <c r="S1887" i="14"/>
  <c r="R1888" i="14"/>
  <c r="R1889" i="14"/>
  <c r="R1890" i="14"/>
  <c r="R1891" i="14"/>
  <c r="R1892" i="14"/>
  <c r="R1893" i="14"/>
  <c r="S1893" i="14"/>
  <c r="R1894" i="14"/>
  <c r="R1895" i="14"/>
  <c r="R1896" i="14"/>
  <c r="S1896" i="14"/>
  <c r="R1897" i="14"/>
  <c r="S1897" i="14"/>
  <c r="R1898" i="14"/>
  <c r="S1898" i="14"/>
  <c r="R1899" i="14"/>
  <c r="R1900" i="14"/>
  <c r="R1901" i="14"/>
  <c r="S1901" i="14"/>
  <c r="R1902" i="14"/>
  <c r="S1902" i="14"/>
  <c r="R1903" i="14"/>
  <c r="R1904" i="14"/>
  <c r="S1904" i="14"/>
  <c r="R1905" i="14"/>
  <c r="S1905" i="14"/>
  <c r="R1906" i="14"/>
  <c r="R1907" i="14"/>
  <c r="S1907" i="14"/>
  <c r="R1908" i="14"/>
  <c r="R1909" i="14"/>
  <c r="R1910" i="14"/>
  <c r="R1911" i="14"/>
  <c r="R1912" i="14"/>
  <c r="R1913" i="14"/>
  <c r="R1914" i="14"/>
  <c r="R1915" i="14"/>
  <c r="R1916" i="14"/>
  <c r="R1917" i="14"/>
  <c r="R1918" i="14"/>
  <c r="R1919" i="14"/>
  <c r="R1920" i="14"/>
  <c r="R1921" i="14"/>
  <c r="R1922" i="14"/>
  <c r="R1923" i="14"/>
  <c r="S1923" i="14"/>
  <c r="R1924" i="14"/>
  <c r="R1925" i="14"/>
  <c r="R1926" i="14"/>
  <c r="R1927" i="14"/>
  <c r="S1927" i="14"/>
  <c r="R1928" i="14"/>
  <c r="S1928" i="14"/>
  <c r="R1929" i="14"/>
  <c r="R1930" i="14"/>
  <c r="S1930" i="14"/>
  <c r="R1931" i="14"/>
  <c r="S1931" i="14"/>
  <c r="R1932" i="14"/>
  <c r="R1933" i="14"/>
  <c r="S1933" i="14"/>
  <c r="R1934" i="14"/>
  <c r="R1935" i="14"/>
  <c r="R1936" i="14"/>
  <c r="R1937" i="14"/>
  <c r="R1938" i="14"/>
  <c r="R1939" i="14"/>
  <c r="R1940" i="14"/>
  <c r="R1941" i="14"/>
  <c r="R1942" i="14"/>
  <c r="R1943" i="14"/>
  <c r="R1944" i="14"/>
  <c r="S1944" i="14"/>
  <c r="R1945" i="14"/>
  <c r="S1945" i="14"/>
  <c r="R1946" i="14"/>
  <c r="R1947" i="14"/>
  <c r="S1947" i="14"/>
  <c r="R1948" i="14"/>
  <c r="S1948" i="14"/>
  <c r="R1949" i="14"/>
  <c r="R1950" i="14"/>
  <c r="R1951" i="14"/>
  <c r="R1952" i="14"/>
  <c r="R1953" i="14"/>
  <c r="R1954" i="14"/>
  <c r="S1954" i="14"/>
  <c r="R1955" i="14"/>
  <c r="R1956" i="14"/>
  <c r="R1957" i="14"/>
  <c r="R1958" i="14"/>
  <c r="R1959" i="14"/>
  <c r="R1960" i="14"/>
  <c r="R1961" i="14"/>
  <c r="R1962" i="14"/>
  <c r="R1963" i="14"/>
  <c r="R1964" i="14"/>
  <c r="R1965" i="14"/>
  <c r="S1965" i="14"/>
  <c r="R1966" i="14"/>
  <c r="S1966" i="14"/>
  <c r="R1967" i="14"/>
  <c r="R1968" i="14"/>
  <c r="S1968" i="14"/>
  <c r="R1969" i="14"/>
  <c r="S1969" i="14"/>
  <c r="R1970" i="14"/>
  <c r="S1970" i="14"/>
  <c r="R1971" i="14"/>
  <c r="S1971" i="14"/>
  <c r="R1972" i="14"/>
  <c r="R1973" i="14"/>
  <c r="R1974" i="14"/>
  <c r="S1974" i="14"/>
  <c r="R1975" i="14"/>
  <c r="S1975" i="14"/>
  <c r="R1976" i="14"/>
  <c r="R1977" i="14"/>
  <c r="S1977" i="14"/>
  <c r="R1978" i="14"/>
  <c r="S1978" i="14"/>
  <c r="R1979" i="14"/>
  <c r="S1979" i="14"/>
  <c r="R1980" i="14"/>
  <c r="S1980" i="14"/>
  <c r="R1981" i="14"/>
  <c r="S1981" i="14"/>
  <c r="R1982" i="14"/>
  <c r="R1983" i="14"/>
  <c r="S1983" i="14"/>
  <c r="R1670" i="14"/>
  <c r="R1671" i="14"/>
  <c r="R1672" i="14"/>
  <c r="R1673" i="14"/>
  <c r="R1674" i="14"/>
  <c r="R1675" i="14"/>
  <c r="R1676" i="14"/>
  <c r="R1677" i="14"/>
  <c r="R1678" i="14"/>
  <c r="R1679" i="14"/>
  <c r="R1680" i="14"/>
  <c r="R1681" i="14"/>
  <c r="S1681" i="14"/>
  <c r="R1682" i="14"/>
  <c r="R1683" i="14"/>
  <c r="R1684" i="14"/>
  <c r="R1685" i="14"/>
  <c r="R1686" i="14"/>
  <c r="R1687" i="14"/>
  <c r="R1688" i="14"/>
  <c r="R1689" i="14"/>
  <c r="R1690" i="14"/>
  <c r="R1691" i="14"/>
  <c r="R1692" i="14"/>
  <c r="R1693" i="14"/>
  <c r="R1694" i="14"/>
  <c r="R1695" i="14"/>
  <c r="R1696" i="14"/>
  <c r="R1697" i="14"/>
  <c r="R1698" i="14"/>
  <c r="R1699" i="14"/>
  <c r="R1700" i="14"/>
  <c r="R1701" i="14"/>
  <c r="R1702" i="14"/>
  <c r="R1703" i="14"/>
  <c r="R1704" i="14"/>
  <c r="R1705" i="14"/>
  <c r="R1706" i="14"/>
  <c r="R1707" i="14"/>
  <c r="R1708" i="14"/>
  <c r="R1709" i="14"/>
  <c r="R1710" i="14"/>
  <c r="R1711" i="14"/>
  <c r="R1712" i="14"/>
  <c r="R1713" i="14"/>
  <c r="R1714" i="14"/>
  <c r="R1715" i="14"/>
  <c r="R1716" i="14"/>
  <c r="R1717" i="14"/>
  <c r="R1718" i="14"/>
  <c r="R1719" i="14"/>
  <c r="R1720" i="14"/>
  <c r="R1721" i="14"/>
  <c r="R1722" i="14"/>
  <c r="R1723" i="14"/>
  <c r="R1724" i="14"/>
  <c r="R1725" i="14"/>
  <c r="R1726" i="14"/>
  <c r="R1727" i="14"/>
  <c r="R1728" i="14"/>
  <c r="R1729" i="14"/>
  <c r="R1730" i="14"/>
  <c r="R1731" i="14"/>
  <c r="R1732" i="14"/>
  <c r="R1733" i="14"/>
  <c r="R1734" i="14"/>
  <c r="R1735" i="14"/>
  <c r="R1736" i="14"/>
  <c r="R1737" i="14"/>
  <c r="R1738" i="14"/>
  <c r="R1739" i="14"/>
  <c r="R1741" i="14"/>
  <c r="R1742" i="14"/>
  <c r="R1743" i="14"/>
  <c r="R1744" i="14"/>
  <c r="R1745" i="14"/>
  <c r="R1746" i="14"/>
  <c r="R1747" i="14"/>
  <c r="R1748" i="14"/>
  <c r="R1749" i="14"/>
  <c r="S1749" i="14"/>
  <c r="R1750" i="14"/>
  <c r="R1751" i="14"/>
  <c r="S1751" i="14"/>
  <c r="R1752" i="14"/>
  <c r="R1753" i="14"/>
  <c r="R1754" i="14"/>
  <c r="R1755" i="14"/>
  <c r="R1756" i="14"/>
  <c r="R1757" i="14"/>
  <c r="R1758" i="14"/>
  <c r="R1759" i="14"/>
  <c r="R1760" i="14"/>
  <c r="R1761" i="14"/>
  <c r="R1762" i="14"/>
  <c r="R1763" i="14"/>
  <c r="R1764" i="14"/>
  <c r="R1765" i="14"/>
  <c r="R1766" i="14"/>
  <c r="R1767" i="14"/>
  <c r="R1768" i="14"/>
  <c r="R1769" i="14"/>
  <c r="R1770" i="14"/>
  <c r="R1771" i="14"/>
  <c r="R1772" i="14"/>
  <c r="R1773" i="14"/>
  <c r="R1774" i="14"/>
  <c r="R1775" i="14"/>
  <c r="R1776" i="14"/>
  <c r="R1777" i="14"/>
  <c r="R1778" i="14"/>
  <c r="R1779" i="14"/>
  <c r="R1780" i="14"/>
  <c r="R1781" i="14"/>
  <c r="R1782" i="14"/>
  <c r="R1783" i="14"/>
  <c r="R1784" i="14"/>
  <c r="R1785" i="14"/>
  <c r="S1785" i="14"/>
  <c r="R1566" i="14"/>
  <c r="R1567" i="14"/>
  <c r="R1568" i="14"/>
  <c r="R1569" i="14"/>
  <c r="R1570" i="14"/>
  <c r="S1570" i="14"/>
  <c r="R1571" i="14"/>
  <c r="S1571" i="14"/>
  <c r="R1572" i="14"/>
  <c r="S1572" i="14"/>
  <c r="R1573" i="14"/>
  <c r="S1573" i="14"/>
  <c r="R1574" i="14"/>
  <c r="S1574" i="14"/>
  <c r="R1575" i="14"/>
  <c r="R1576" i="14"/>
  <c r="S1576" i="14"/>
  <c r="R1577" i="14"/>
  <c r="S1577" i="14"/>
  <c r="R1578" i="14"/>
  <c r="S1578" i="14"/>
  <c r="R1579" i="14"/>
  <c r="S1579" i="14"/>
  <c r="R1580" i="14"/>
  <c r="R1581" i="14"/>
  <c r="S1581" i="14"/>
  <c r="R1582" i="14"/>
  <c r="S1582" i="14"/>
  <c r="R1583" i="14"/>
  <c r="S1583" i="14"/>
  <c r="R1584" i="14"/>
  <c r="S1584" i="14"/>
  <c r="R1585" i="14"/>
  <c r="S1585" i="14"/>
  <c r="R1586" i="14"/>
  <c r="S1586" i="14"/>
  <c r="R1587" i="14"/>
  <c r="S1587" i="14"/>
  <c r="R1588" i="14"/>
  <c r="S1588" i="14"/>
  <c r="R1589" i="14"/>
  <c r="R1590" i="14"/>
  <c r="R1591" i="14"/>
  <c r="R1592" i="14"/>
  <c r="R1593" i="14"/>
  <c r="R1594" i="14"/>
  <c r="R1595" i="14"/>
  <c r="S1595" i="14"/>
  <c r="R1596" i="14"/>
  <c r="R1597" i="14"/>
  <c r="R1598" i="14"/>
  <c r="R1599" i="14"/>
  <c r="S1599" i="14"/>
  <c r="R1600" i="14"/>
  <c r="R1601" i="14"/>
  <c r="R1602" i="14"/>
  <c r="S1602" i="14"/>
  <c r="R1603" i="14"/>
  <c r="R1604" i="14"/>
  <c r="R1605" i="14"/>
  <c r="S1605" i="14"/>
  <c r="R1606" i="14"/>
  <c r="R1607" i="14"/>
  <c r="R1608" i="14"/>
  <c r="S1608" i="14"/>
  <c r="R1609" i="14"/>
  <c r="R1610" i="14"/>
  <c r="R1611" i="14"/>
  <c r="S1611" i="14"/>
  <c r="R1413" i="14"/>
  <c r="R1414" i="14"/>
  <c r="R1415" i="14"/>
  <c r="R1416" i="14"/>
  <c r="S1416" i="14"/>
  <c r="R1417" i="14"/>
  <c r="S1417" i="14"/>
  <c r="R1418" i="14"/>
  <c r="R1419" i="14"/>
  <c r="R1420" i="14"/>
  <c r="S1420" i="14"/>
  <c r="R1421" i="14"/>
  <c r="S1421" i="14"/>
  <c r="R1422" i="14"/>
  <c r="S1422" i="14"/>
  <c r="R1423" i="14"/>
  <c r="S1423" i="14"/>
  <c r="R1424" i="14"/>
  <c r="S1424" i="14"/>
  <c r="R1425" i="14"/>
  <c r="R1426" i="14"/>
  <c r="S1426" i="14"/>
  <c r="R1427" i="14"/>
  <c r="S1427" i="14"/>
  <c r="R1428" i="14"/>
  <c r="S1428" i="14"/>
  <c r="R1429" i="14"/>
  <c r="S1429" i="14"/>
  <c r="R1430" i="14"/>
  <c r="S1430" i="14"/>
  <c r="R1431" i="14"/>
  <c r="S1431" i="14"/>
  <c r="R1432" i="14"/>
  <c r="S1432" i="14"/>
  <c r="R1433" i="14"/>
  <c r="S1433" i="14"/>
  <c r="R1434" i="14"/>
  <c r="S1434" i="14"/>
  <c r="R1435" i="14"/>
  <c r="S1435" i="14"/>
  <c r="R1436" i="14"/>
  <c r="S1436" i="14"/>
  <c r="R1437" i="14"/>
  <c r="R1438" i="14"/>
  <c r="S1438" i="14"/>
  <c r="R1439" i="14"/>
  <c r="R1440" i="14"/>
  <c r="R1441" i="14"/>
  <c r="R1442" i="14"/>
  <c r="S1442" i="14"/>
  <c r="R1443" i="14"/>
  <c r="S1443" i="14"/>
  <c r="R1444" i="14"/>
  <c r="R1445" i="14"/>
  <c r="R1446" i="14"/>
  <c r="R1447" i="14"/>
  <c r="S1447" i="14"/>
  <c r="R1448" i="14"/>
  <c r="S1448" i="14"/>
  <c r="R1449" i="14"/>
  <c r="R1450" i="14"/>
  <c r="S1450" i="14"/>
  <c r="R1451" i="14"/>
  <c r="R1452" i="14"/>
  <c r="R1453" i="14"/>
  <c r="R1454" i="14"/>
  <c r="S1454" i="14"/>
  <c r="R1455" i="14"/>
  <c r="R1456" i="14"/>
  <c r="R1457" i="14"/>
  <c r="R1458" i="14"/>
  <c r="R1459" i="14"/>
  <c r="R1460" i="14"/>
  <c r="R1461" i="14"/>
  <c r="R1462" i="14"/>
  <c r="R1463" i="14"/>
  <c r="R1464" i="14"/>
  <c r="S1464" i="14"/>
  <c r="R1465" i="14"/>
  <c r="R1466" i="14"/>
  <c r="R1467" i="14"/>
  <c r="R1468" i="14"/>
  <c r="R1469" i="14"/>
  <c r="R1470" i="14"/>
  <c r="R1471" i="14"/>
  <c r="R1472" i="14"/>
  <c r="R1473" i="14"/>
  <c r="S1473" i="14"/>
  <c r="R1474" i="14"/>
  <c r="R1475" i="14"/>
  <c r="R1476" i="14"/>
  <c r="R1477" i="14"/>
  <c r="R1478" i="14"/>
  <c r="S1478" i="14"/>
  <c r="R1479" i="14"/>
  <c r="S1479" i="14"/>
  <c r="R1480" i="14"/>
  <c r="R1481" i="14"/>
  <c r="S1481" i="14"/>
  <c r="R1482" i="14"/>
  <c r="S1482" i="14"/>
  <c r="R1483" i="14"/>
  <c r="R1484" i="14"/>
  <c r="R1485" i="14"/>
  <c r="S1485" i="14"/>
  <c r="R1486" i="14"/>
  <c r="R1487" i="14"/>
  <c r="R1488" i="14"/>
  <c r="S1488" i="14"/>
  <c r="R1489" i="14"/>
  <c r="R1490" i="14"/>
  <c r="R1491" i="14"/>
  <c r="R1492" i="14"/>
  <c r="S1492" i="14"/>
  <c r="R1493" i="14"/>
  <c r="S1493" i="14"/>
  <c r="R1494" i="14"/>
  <c r="R1495" i="14"/>
  <c r="S1495" i="14"/>
  <c r="R1496" i="14"/>
  <c r="S1496" i="14"/>
  <c r="R1497" i="14"/>
  <c r="S1497" i="14"/>
  <c r="R1498" i="14"/>
  <c r="R1499" i="14"/>
  <c r="S1499" i="14"/>
  <c r="R1500" i="14"/>
  <c r="R1501" i="14"/>
  <c r="R1502" i="14"/>
  <c r="R1503" i="14"/>
  <c r="S1503" i="14"/>
  <c r="R1504" i="14"/>
  <c r="R1505" i="14"/>
  <c r="S1505" i="14"/>
  <c r="R1506" i="14"/>
  <c r="R1507" i="14"/>
  <c r="S1507" i="14"/>
  <c r="R1508" i="14"/>
  <c r="R1509" i="14"/>
  <c r="R1510" i="14"/>
  <c r="S1510" i="14"/>
  <c r="R1511" i="14"/>
  <c r="S1511" i="14"/>
  <c r="R1512" i="14"/>
  <c r="S1512" i="14"/>
  <c r="R1513" i="14"/>
  <c r="S1513" i="14"/>
  <c r="R1514" i="14"/>
  <c r="S1514" i="14"/>
  <c r="R1515" i="14"/>
  <c r="R1516" i="14"/>
  <c r="S1516" i="14"/>
  <c r="R1517" i="14"/>
  <c r="S1517" i="14"/>
  <c r="R1518" i="14"/>
  <c r="S1518" i="14"/>
  <c r="R1519" i="14"/>
  <c r="R1520" i="14"/>
  <c r="S1520" i="14"/>
  <c r="R1521" i="14"/>
  <c r="S1521" i="14"/>
  <c r="R1522" i="14"/>
  <c r="R1523" i="14"/>
  <c r="S1523" i="14"/>
  <c r="R1524" i="14"/>
  <c r="R1525" i="14"/>
  <c r="S1525" i="14"/>
  <c r="R1526" i="14"/>
  <c r="R1527" i="14"/>
  <c r="S1527" i="14"/>
  <c r="R1528" i="14"/>
  <c r="S1528" i="14"/>
  <c r="R1529" i="14"/>
  <c r="R1530" i="14"/>
  <c r="S1530" i="14"/>
  <c r="R1531" i="14"/>
  <c r="S1531" i="14"/>
  <c r="R1532" i="14"/>
  <c r="R1533" i="14"/>
  <c r="R1534" i="14"/>
  <c r="R594" i="14"/>
  <c r="R595" i="14"/>
  <c r="R596" i="14"/>
  <c r="R597" i="14"/>
  <c r="R598" i="14"/>
  <c r="R599" i="14"/>
  <c r="R600" i="14"/>
  <c r="R601" i="14"/>
  <c r="R602" i="14"/>
  <c r="R603" i="14"/>
  <c r="R604" i="14"/>
  <c r="R605" i="14"/>
  <c r="R606" i="14"/>
  <c r="R607" i="14"/>
  <c r="R608" i="14"/>
  <c r="R609" i="14"/>
  <c r="R610" i="14"/>
  <c r="R611" i="14"/>
  <c r="S611" i="14"/>
  <c r="R612" i="14"/>
  <c r="R613" i="14"/>
  <c r="R614" i="14"/>
  <c r="S614" i="14"/>
  <c r="R615" i="14"/>
  <c r="R616" i="14"/>
  <c r="S616" i="14"/>
  <c r="R617" i="14"/>
  <c r="R618" i="14"/>
  <c r="R619" i="14"/>
  <c r="R620" i="14"/>
  <c r="R621" i="14"/>
  <c r="R622" i="14"/>
  <c r="S622" i="14"/>
  <c r="R623" i="14"/>
  <c r="R624" i="14"/>
  <c r="S624" i="14"/>
  <c r="R625" i="14"/>
  <c r="R626" i="14"/>
  <c r="R627" i="14"/>
  <c r="R628" i="14"/>
  <c r="R629" i="14"/>
  <c r="S629" i="14"/>
  <c r="R630" i="14"/>
  <c r="R631" i="14"/>
  <c r="S631" i="14"/>
  <c r="R632" i="14"/>
  <c r="R633" i="14"/>
  <c r="S633" i="14"/>
  <c r="R634" i="14"/>
  <c r="R635" i="14"/>
  <c r="R636" i="14"/>
  <c r="R637" i="14"/>
  <c r="R638" i="14"/>
  <c r="S638" i="14"/>
  <c r="R639" i="14"/>
  <c r="R640" i="14"/>
  <c r="S640" i="14"/>
  <c r="R641" i="14"/>
  <c r="R642" i="14"/>
  <c r="R643" i="14"/>
  <c r="R644" i="14"/>
  <c r="R645" i="14"/>
  <c r="R646" i="14"/>
  <c r="R647" i="14"/>
  <c r="S647" i="14"/>
  <c r="R648" i="14"/>
  <c r="R649" i="14"/>
  <c r="R650" i="14"/>
  <c r="S650" i="14"/>
  <c r="R651" i="14"/>
  <c r="S651" i="14"/>
  <c r="R652" i="14"/>
  <c r="R653" i="14"/>
  <c r="R654" i="14"/>
  <c r="S654" i="14"/>
  <c r="R655" i="14"/>
  <c r="R656" i="14"/>
  <c r="R657" i="14"/>
  <c r="R658" i="14"/>
  <c r="R659" i="14"/>
  <c r="S659" i="14"/>
  <c r="R660" i="14"/>
  <c r="R661" i="14"/>
  <c r="S661" i="14"/>
  <c r="R662" i="14"/>
  <c r="R663" i="14"/>
  <c r="S663" i="14"/>
  <c r="R664" i="14"/>
  <c r="R665" i="14"/>
  <c r="R666" i="14"/>
  <c r="R667" i="14"/>
  <c r="R668" i="14"/>
  <c r="S668" i="14"/>
  <c r="R669" i="14"/>
  <c r="R670" i="14"/>
  <c r="R671" i="14"/>
  <c r="R672" i="14"/>
  <c r="S672" i="14"/>
  <c r="R673" i="14"/>
  <c r="R674" i="14"/>
  <c r="R675" i="14"/>
  <c r="R676" i="14"/>
  <c r="R677" i="14"/>
  <c r="S677" i="14"/>
  <c r="R678" i="14"/>
  <c r="R679" i="14"/>
  <c r="S679" i="14"/>
  <c r="R680" i="14"/>
  <c r="R681" i="14"/>
  <c r="S681" i="14"/>
  <c r="R682" i="14"/>
  <c r="R683" i="14"/>
  <c r="R684" i="14"/>
  <c r="R685" i="14"/>
  <c r="R686" i="14"/>
  <c r="S686" i="14"/>
  <c r="R687" i="14"/>
  <c r="R688" i="14"/>
  <c r="R689" i="14"/>
  <c r="R690" i="14"/>
  <c r="S690" i="14"/>
  <c r="R693" i="14"/>
  <c r="R692" i="14" s="1"/>
  <c r="R691" i="14" s="1"/>
  <c r="S693" i="14"/>
  <c r="S692" i="14" s="1"/>
  <c r="S691" i="14" s="1"/>
  <c r="R694" i="14"/>
  <c r="R695" i="14"/>
  <c r="R696" i="14"/>
  <c r="R697" i="14"/>
  <c r="R698" i="14"/>
  <c r="S698" i="14"/>
  <c r="R699" i="14"/>
  <c r="R700" i="14"/>
  <c r="S700" i="14"/>
  <c r="R701" i="14"/>
  <c r="R702" i="14"/>
  <c r="S702" i="14"/>
  <c r="R703" i="14"/>
  <c r="R704" i="14"/>
  <c r="R705" i="14"/>
  <c r="R706" i="14"/>
  <c r="R707" i="14"/>
  <c r="S707" i="14"/>
  <c r="R708" i="14"/>
  <c r="R709" i="14"/>
  <c r="R710" i="14"/>
  <c r="R711" i="14"/>
  <c r="S711" i="14"/>
  <c r="R712" i="14"/>
  <c r="R713" i="14"/>
  <c r="R714" i="14"/>
  <c r="R715" i="14"/>
  <c r="S715" i="14"/>
  <c r="R716" i="14"/>
  <c r="R717" i="14"/>
  <c r="R718" i="14"/>
  <c r="R719" i="14"/>
  <c r="R720" i="14"/>
  <c r="S720" i="14"/>
  <c r="R721" i="14"/>
  <c r="R722" i="14"/>
  <c r="S722" i="14"/>
  <c r="R723" i="14"/>
  <c r="R724" i="14"/>
  <c r="S724" i="14"/>
  <c r="R725" i="14"/>
  <c r="R726" i="14"/>
  <c r="R727" i="14"/>
  <c r="S727" i="14"/>
  <c r="R728" i="14"/>
  <c r="R729" i="14"/>
  <c r="R730" i="14"/>
  <c r="R731" i="14"/>
  <c r="R732" i="14"/>
  <c r="R733" i="14"/>
  <c r="R734" i="14"/>
  <c r="S734" i="14"/>
  <c r="R735" i="14"/>
  <c r="R736" i="14"/>
  <c r="S736" i="14"/>
  <c r="R737" i="14"/>
  <c r="R738" i="14"/>
  <c r="S738" i="14"/>
  <c r="R739" i="14"/>
  <c r="R740" i="14"/>
  <c r="R741" i="14"/>
  <c r="R742" i="14"/>
  <c r="R743" i="14"/>
  <c r="R744" i="14"/>
  <c r="R745" i="14"/>
  <c r="R746" i="14"/>
  <c r="S746" i="14"/>
  <c r="R747" i="14"/>
  <c r="R748" i="14"/>
  <c r="S748" i="14"/>
  <c r="R749" i="14"/>
  <c r="R750" i="14"/>
  <c r="R751" i="14"/>
  <c r="R752" i="14"/>
  <c r="S752" i="14"/>
  <c r="R753" i="14"/>
  <c r="R754" i="14"/>
  <c r="R755" i="14"/>
  <c r="R756" i="14"/>
  <c r="R757" i="14"/>
  <c r="S757" i="14"/>
  <c r="R758" i="14"/>
  <c r="R759" i="14"/>
  <c r="S759" i="14"/>
  <c r="R760" i="14"/>
  <c r="S760" i="14"/>
  <c r="R761" i="14"/>
  <c r="S761" i="14"/>
  <c r="R762" i="14"/>
  <c r="R763" i="14"/>
  <c r="R764" i="14"/>
  <c r="R765" i="14"/>
  <c r="R766" i="14"/>
  <c r="S766" i="14"/>
  <c r="R767" i="14"/>
  <c r="R768" i="14"/>
  <c r="S768" i="14"/>
  <c r="R769" i="14"/>
  <c r="S769" i="14"/>
  <c r="R770" i="14"/>
  <c r="R771" i="14"/>
  <c r="S771" i="14"/>
  <c r="R772" i="14"/>
  <c r="R773" i="14"/>
  <c r="S773" i="14"/>
  <c r="R774" i="14"/>
  <c r="R775" i="14"/>
  <c r="R776" i="14"/>
  <c r="R777" i="14"/>
  <c r="R778" i="14"/>
  <c r="S778" i="14"/>
  <c r="R779" i="14"/>
  <c r="R780" i="14"/>
  <c r="R781" i="14"/>
  <c r="S781" i="14"/>
  <c r="R782" i="14"/>
  <c r="R783" i="14"/>
  <c r="S783" i="14"/>
  <c r="R785" i="14"/>
  <c r="R786" i="14"/>
  <c r="S786" i="14"/>
  <c r="R787" i="14"/>
  <c r="R788" i="14"/>
  <c r="R789" i="14"/>
  <c r="R790" i="14"/>
  <c r="R791" i="14"/>
  <c r="R792" i="14"/>
  <c r="S792" i="14"/>
  <c r="R793" i="14"/>
  <c r="R794" i="14"/>
  <c r="S794" i="14"/>
  <c r="R795" i="14"/>
  <c r="S795" i="14"/>
  <c r="R796" i="14"/>
  <c r="S796" i="14"/>
  <c r="R798" i="14"/>
  <c r="S798" i="14"/>
  <c r="R799" i="14"/>
  <c r="R800" i="14"/>
  <c r="R801" i="14"/>
  <c r="R802" i="14"/>
  <c r="R803" i="14"/>
  <c r="S803" i="14"/>
  <c r="R804" i="14"/>
  <c r="R805" i="14"/>
  <c r="S805" i="14"/>
  <c r="R806" i="14"/>
  <c r="R807" i="14"/>
  <c r="S807" i="14"/>
  <c r="R808" i="14"/>
  <c r="S808" i="14"/>
  <c r="R809" i="14"/>
  <c r="S809" i="14"/>
  <c r="R810" i="14"/>
  <c r="R811" i="14"/>
  <c r="R812" i="14"/>
  <c r="R813" i="14"/>
  <c r="S813" i="14"/>
  <c r="R814" i="14"/>
  <c r="R815" i="14"/>
  <c r="R816" i="14"/>
  <c r="S816" i="14"/>
  <c r="R817" i="14"/>
  <c r="R818" i="14"/>
  <c r="R819" i="14"/>
  <c r="S819" i="14"/>
  <c r="R820" i="14"/>
  <c r="S820" i="14"/>
  <c r="R822" i="14"/>
  <c r="R823" i="14"/>
  <c r="R824" i="14"/>
  <c r="R825" i="14"/>
  <c r="R826" i="14"/>
  <c r="S826" i="14"/>
  <c r="R827" i="14"/>
  <c r="S827" i="14"/>
  <c r="R828" i="14"/>
  <c r="R829" i="14"/>
  <c r="S829" i="14"/>
  <c r="R830" i="14"/>
  <c r="R831" i="14"/>
  <c r="R832" i="14"/>
  <c r="S832" i="14"/>
  <c r="R833" i="14"/>
  <c r="R834" i="14"/>
  <c r="R835" i="14"/>
  <c r="R836" i="14"/>
  <c r="S836" i="14"/>
  <c r="R837" i="14"/>
  <c r="S837" i="14"/>
  <c r="R838" i="14"/>
  <c r="R839" i="14"/>
  <c r="R840" i="14"/>
  <c r="R841" i="14"/>
  <c r="S841" i="14"/>
  <c r="R842" i="14"/>
  <c r="S842" i="14"/>
  <c r="R844" i="14"/>
  <c r="R845" i="14"/>
  <c r="R846" i="14"/>
  <c r="R847" i="14"/>
  <c r="R848" i="14"/>
  <c r="R849" i="14"/>
  <c r="R850" i="14"/>
  <c r="R851" i="14"/>
  <c r="S851" i="14"/>
  <c r="R852" i="14"/>
  <c r="R853" i="14"/>
  <c r="S853" i="14"/>
  <c r="R854" i="14"/>
  <c r="S854" i="14"/>
  <c r="R855" i="14"/>
  <c r="S855" i="14"/>
  <c r="R856" i="14"/>
  <c r="S856" i="14"/>
  <c r="R857" i="14"/>
  <c r="S857" i="14"/>
  <c r="R858" i="14"/>
  <c r="R859" i="14"/>
  <c r="R860" i="14"/>
  <c r="R861" i="14"/>
  <c r="S861" i="14"/>
  <c r="R862" i="14"/>
  <c r="S862" i="14"/>
  <c r="R863" i="14"/>
  <c r="R864" i="14"/>
  <c r="S864" i="14"/>
  <c r="R865" i="14"/>
  <c r="S865" i="14"/>
  <c r="R866" i="14"/>
  <c r="S866" i="14"/>
  <c r="R867" i="14"/>
  <c r="S867" i="14"/>
  <c r="R869" i="14"/>
  <c r="R870" i="14"/>
  <c r="R871" i="14"/>
  <c r="R872" i="14"/>
  <c r="R873" i="14"/>
  <c r="S873" i="14"/>
  <c r="R874" i="14"/>
  <c r="R875" i="14"/>
  <c r="R876" i="14"/>
  <c r="S876" i="14"/>
  <c r="R877" i="14"/>
  <c r="S877" i="14"/>
  <c r="R879" i="14"/>
  <c r="R880" i="14"/>
  <c r="R881" i="14"/>
  <c r="R882" i="14"/>
  <c r="R883" i="14"/>
  <c r="R884" i="14"/>
  <c r="S884" i="14"/>
  <c r="R885" i="14"/>
  <c r="R886" i="14"/>
  <c r="R887" i="14"/>
  <c r="S887" i="14"/>
  <c r="R889" i="14"/>
  <c r="R890" i="14"/>
  <c r="R891" i="14"/>
  <c r="S891" i="14"/>
  <c r="R893" i="14"/>
  <c r="R894" i="14"/>
  <c r="R895" i="14"/>
  <c r="R896" i="14"/>
  <c r="S896" i="14"/>
  <c r="R897" i="14"/>
  <c r="R898" i="14"/>
  <c r="R899" i="14"/>
  <c r="R900" i="14"/>
  <c r="R901" i="14"/>
  <c r="S901" i="14"/>
  <c r="R902" i="14"/>
  <c r="S902" i="14"/>
  <c r="R903" i="14"/>
  <c r="R904" i="14"/>
  <c r="S904" i="14"/>
  <c r="R905" i="14"/>
  <c r="S905" i="14"/>
  <c r="R907" i="14"/>
  <c r="S907" i="14"/>
  <c r="R908" i="14"/>
  <c r="R909" i="14"/>
  <c r="R910" i="14"/>
  <c r="R911" i="14"/>
  <c r="R912" i="14"/>
  <c r="S912" i="14"/>
  <c r="R913" i="14"/>
  <c r="R914" i="14"/>
  <c r="R915" i="14"/>
  <c r="S915" i="14"/>
  <c r="R916" i="14"/>
  <c r="S916" i="14"/>
  <c r="R918" i="14"/>
  <c r="S918" i="14"/>
  <c r="R919" i="14"/>
  <c r="R920" i="14"/>
  <c r="S920" i="14"/>
  <c r="R922" i="14"/>
  <c r="R923" i="14"/>
  <c r="R924" i="14"/>
  <c r="R925" i="14"/>
  <c r="R926" i="14"/>
  <c r="R927" i="14"/>
  <c r="R928" i="14"/>
  <c r="R929" i="14"/>
  <c r="S929" i="14"/>
  <c r="R930" i="14"/>
  <c r="R931" i="14"/>
  <c r="S931" i="14"/>
  <c r="R932" i="14"/>
  <c r="S932" i="14"/>
  <c r="R933" i="14"/>
  <c r="S933" i="14"/>
  <c r="R934" i="14"/>
  <c r="S934" i="14"/>
  <c r="R936" i="14"/>
  <c r="S936" i="14"/>
  <c r="R937" i="14"/>
  <c r="S937" i="14"/>
  <c r="R938" i="14"/>
  <c r="R939" i="14"/>
  <c r="R940" i="14"/>
  <c r="R941" i="14"/>
  <c r="S941" i="14"/>
  <c r="R942" i="14"/>
  <c r="S942" i="14"/>
  <c r="R943" i="14"/>
  <c r="S943" i="14"/>
  <c r="R944" i="14"/>
  <c r="S944" i="14"/>
  <c r="R946" i="14"/>
  <c r="R947" i="14"/>
  <c r="S947" i="14"/>
  <c r="R948" i="14"/>
  <c r="S948" i="14"/>
  <c r="R950" i="14"/>
  <c r="R951" i="14"/>
  <c r="R952" i="14"/>
  <c r="R953" i="14"/>
  <c r="R954" i="14"/>
  <c r="S954" i="14"/>
  <c r="R955" i="14"/>
  <c r="S955" i="14"/>
  <c r="R956" i="14"/>
  <c r="S956" i="14"/>
  <c r="R957" i="14"/>
  <c r="S957" i="14"/>
  <c r="R958" i="14"/>
  <c r="R959" i="14"/>
  <c r="S959" i="14"/>
  <c r="R960" i="14"/>
  <c r="S960" i="14"/>
  <c r="R961" i="14"/>
  <c r="R962" i="14"/>
  <c r="R963" i="14"/>
  <c r="R964" i="14"/>
  <c r="R965" i="14"/>
  <c r="S965" i="14"/>
  <c r="R966" i="14"/>
  <c r="S966" i="14"/>
  <c r="R967" i="14"/>
  <c r="R968" i="14"/>
  <c r="S968" i="14"/>
  <c r="R969" i="14"/>
  <c r="S969" i="14"/>
  <c r="R970" i="14"/>
  <c r="R971" i="14"/>
  <c r="S971" i="14"/>
  <c r="R972" i="14"/>
  <c r="S972" i="14"/>
  <c r="R974" i="14"/>
  <c r="R975" i="14"/>
  <c r="R976" i="14"/>
  <c r="R977" i="14"/>
  <c r="R978" i="14"/>
  <c r="S978" i="14"/>
  <c r="R979" i="14"/>
  <c r="S979" i="14"/>
  <c r="R980" i="14"/>
  <c r="S980" i="14"/>
  <c r="R981" i="14"/>
  <c r="S981" i="14"/>
  <c r="R982" i="14"/>
  <c r="S982" i="14"/>
  <c r="R983" i="14"/>
  <c r="S983" i="14"/>
  <c r="R984" i="14"/>
  <c r="R985" i="14"/>
  <c r="R986" i="14"/>
  <c r="R987" i="14"/>
  <c r="R988" i="14"/>
  <c r="R989" i="14"/>
  <c r="R990" i="14"/>
  <c r="R991" i="14"/>
  <c r="S991" i="14"/>
  <c r="R992" i="14"/>
  <c r="S992" i="14"/>
  <c r="R994" i="14"/>
  <c r="R995" i="14"/>
  <c r="R996" i="14"/>
  <c r="R997" i="14"/>
  <c r="R998" i="14"/>
  <c r="R999" i="14"/>
  <c r="R1000" i="14"/>
  <c r="R1001" i="14"/>
  <c r="R1002" i="14"/>
  <c r="R1003" i="14"/>
  <c r="R1004" i="14"/>
  <c r="R1005" i="14"/>
  <c r="R1006" i="14"/>
  <c r="S1006" i="14"/>
  <c r="R1007" i="14"/>
  <c r="R1008" i="14"/>
  <c r="R1009" i="14"/>
  <c r="R1010" i="14"/>
  <c r="S1010" i="14"/>
  <c r="R1011" i="14"/>
  <c r="R1012" i="14"/>
  <c r="S1012" i="14"/>
  <c r="R1013" i="14"/>
  <c r="R1015" i="14"/>
  <c r="R1016" i="14"/>
  <c r="R1017" i="14"/>
  <c r="R1018" i="14"/>
  <c r="R1019" i="14"/>
  <c r="R1020" i="14"/>
  <c r="R1021" i="14"/>
  <c r="S1021" i="14"/>
  <c r="R1022" i="14"/>
  <c r="S1022" i="14"/>
  <c r="R1023" i="14"/>
  <c r="S1023" i="14"/>
  <c r="R1024" i="14"/>
  <c r="R1025" i="14"/>
  <c r="S1025" i="14"/>
  <c r="R1026" i="14"/>
  <c r="S1026" i="14"/>
  <c r="R1027" i="14"/>
  <c r="R1028" i="14"/>
  <c r="S1028" i="14"/>
  <c r="R1029" i="14"/>
  <c r="S1029" i="14"/>
  <c r="R1030" i="14"/>
  <c r="S1030" i="14"/>
  <c r="R1031" i="14"/>
  <c r="S1031" i="14"/>
  <c r="R1032" i="14"/>
  <c r="R1033" i="14"/>
  <c r="R1034" i="14"/>
  <c r="R1035" i="14"/>
  <c r="R1036" i="14"/>
  <c r="S1036" i="14"/>
  <c r="R1037" i="14"/>
  <c r="S1037" i="14"/>
  <c r="R1038" i="14"/>
  <c r="S1038" i="14"/>
  <c r="R1039" i="14"/>
  <c r="S1039" i="14"/>
  <c r="R1040" i="14"/>
  <c r="R1041" i="14"/>
  <c r="R1042" i="14"/>
  <c r="R1043" i="14"/>
  <c r="R1044" i="14"/>
  <c r="R1045" i="14"/>
  <c r="S1045" i="14"/>
  <c r="R1046" i="14"/>
  <c r="R1047" i="14"/>
  <c r="S1047" i="14"/>
  <c r="R1048" i="14"/>
  <c r="S1048" i="14"/>
  <c r="R1049" i="14"/>
  <c r="R1050" i="14"/>
  <c r="R1051" i="14"/>
  <c r="R1052" i="14"/>
  <c r="R1053" i="14"/>
  <c r="S1053" i="14"/>
  <c r="R1054" i="14"/>
  <c r="S1054" i="14"/>
  <c r="R1056" i="14"/>
  <c r="S1056" i="14"/>
  <c r="R1057" i="14"/>
  <c r="S1057" i="14"/>
  <c r="R1058" i="14"/>
  <c r="S1058" i="14"/>
  <c r="R1059" i="14"/>
  <c r="R1060" i="14"/>
  <c r="R1061" i="14"/>
  <c r="R1062" i="14"/>
  <c r="R1063" i="14"/>
  <c r="S1063" i="14"/>
  <c r="R1064" i="14"/>
  <c r="S1064" i="14"/>
  <c r="R1065" i="14"/>
  <c r="S1065" i="14"/>
  <c r="R1066" i="14"/>
  <c r="S1066" i="14"/>
  <c r="R1067" i="14"/>
  <c r="R1068" i="14"/>
  <c r="R1069" i="14"/>
  <c r="R1070" i="14"/>
  <c r="R1071" i="14"/>
  <c r="S1071" i="14"/>
  <c r="R1072" i="14"/>
  <c r="R1073" i="14"/>
  <c r="S1073" i="14"/>
  <c r="R1074" i="14"/>
  <c r="S1074" i="14"/>
  <c r="R1075" i="14"/>
  <c r="R1076" i="14"/>
  <c r="S1076" i="14"/>
  <c r="R1077" i="14"/>
  <c r="S1077" i="14"/>
  <c r="R1078" i="14"/>
  <c r="R1079" i="14"/>
  <c r="S1079" i="14"/>
  <c r="R1080" i="14"/>
  <c r="S1080" i="14"/>
  <c r="R1081" i="14"/>
  <c r="S1081" i="14"/>
  <c r="R1082" i="14"/>
  <c r="S1082" i="14"/>
  <c r="R1083" i="14"/>
  <c r="R1084" i="14"/>
  <c r="S1084" i="14"/>
  <c r="R1085" i="14"/>
  <c r="S1085" i="14"/>
  <c r="R1086" i="14"/>
  <c r="R1087" i="14"/>
  <c r="S1087" i="14"/>
  <c r="R1088" i="14"/>
  <c r="S1088" i="14"/>
  <c r="R1089" i="14"/>
  <c r="S1089" i="14"/>
  <c r="R1090" i="14"/>
  <c r="S1090" i="14"/>
  <c r="R1091" i="14"/>
  <c r="R1092" i="14"/>
  <c r="R1093" i="14"/>
  <c r="R1094" i="14"/>
  <c r="R1095" i="14"/>
  <c r="S1095" i="14"/>
  <c r="R1096" i="14"/>
  <c r="R1097" i="14"/>
  <c r="R1098" i="14"/>
  <c r="R1099" i="14"/>
  <c r="S1099" i="14"/>
  <c r="R1100" i="14"/>
  <c r="R1101" i="14"/>
  <c r="S1101" i="14"/>
  <c r="R1102" i="14"/>
  <c r="R1103" i="14"/>
  <c r="R1104" i="14"/>
  <c r="R1105" i="14"/>
  <c r="R1106" i="14"/>
  <c r="R1107" i="14"/>
  <c r="R1108" i="14"/>
  <c r="R1109" i="14"/>
  <c r="R1110" i="14"/>
  <c r="R1111" i="14"/>
  <c r="R1112" i="14"/>
  <c r="S1112" i="14"/>
  <c r="R1113" i="14"/>
  <c r="S1113" i="14"/>
  <c r="R1114" i="14"/>
  <c r="R1115" i="14"/>
  <c r="R1116" i="14"/>
  <c r="R1117" i="14"/>
  <c r="S1117" i="14"/>
  <c r="R1118" i="14"/>
  <c r="S1118" i="14"/>
  <c r="R1119" i="14"/>
  <c r="R1120" i="14"/>
  <c r="S1120" i="14"/>
  <c r="R1121" i="14"/>
  <c r="S1121" i="14"/>
  <c r="R1122" i="14"/>
  <c r="R1123" i="14"/>
  <c r="S1123" i="14"/>
  <c r="R1124" i="14"/>
  <c r="S1124" i="14"/>
  <c r="R1125" i="14"/>
  <c r="S1125" i="14"/>
  <c r="R1126" i="14"/>
  <c r="S1126" i="14"/>
  <c r="R1127" i="14"/>
  <c r="R1128" i="14"/>
  <c r="S1128" i="14"/>
  <c r="R1129" i="14"/>
  <c r="S1129" i="14"/>
  <c r="R1130" i="14"/>
  <c r="R1131" i="14"/>
  <c r="S1131" i="14"/>
  <c r="R1132" i="14"/>
  <c r="S1132" i="14"/>
  <c r="R1133" i="14"/>
  <c r="S1133" i="14"/>
  <c r="R1134" i="14"/>
  <c r="R1135" i="14"/>
  <c r="S1135" i="14"/>
  <c r="R1136" i="14"/>
  <c r="S1136" i="14"/>
  <c r="R1137" i="14"/>
  <c r="R1138" i="14"/>
  <c r="S1138" i="14"/>
  <c r="R1139" i="14"/>
  <c r="S1139" i="14"/>
  <c r="R1140" i="14"/>
  <c r="S1140" i="14"/>
  <c r="R1141" i="14"/>
  <c r="S1141" i="14"/>
  <c r="R1142" i="14"/>
  <c r="R1143" i="14"/>
  <c r="S1143" i="14"/>
  <c r="R1144" i="14"/>
  <c r="S1144" i="14"/>
  <c r="R1145" i="14"/>
  <c r="R1146" i="14"/>
  <c r="S1146" i="14"/>
  <c r="R1147" i="14"/>
  <c r="S1147" i="14"/>
  <c r="R1148" i="14"/>
  <c r="S1148" i="14"/>
  <c r="R1149" i="14"/>
  <c r="S1149" i="14"/>
  <c r="R1150" i="14"/>
  <c r="R1151" i="14"/>
  <c r="S1151" i="14"/>
  <c r="R1152" i="14"/>
  <c r="S1152" i="14"/>
  <c r="R1153" i="14"/>
  <c r="R1154" i="14"/>
  <c r="R1155" i="14"/>
  <c r="R1156" i="14"/>
  <c r="S1156" i="14"/>
  <c r="R1157" i="14"/>
  <c r="S1157" i="14"/>
  <c r="R1158" i="14"/>
  <c r="R1159" i="14"/>
  <c r="S1159" i="14"/>
  <c r="R1160" i="14"/>
  <c r="S1160" i="14"/>
  <c r="R1161" i="14"/>
  <c r="R1162" i="14"/>
  <c r="R1163" i="14"/>
  <c r="R1164" i="14"/>
  <c r="S1164" i="14"/>
  <c r="R1165" i="14"/>
  <c r="R1166" i="14"/>
  <c r="S1166" i="14"/>
  <c r="R1167" i="14"/>
  <c r="S1167" i="14"/>
  <c r="R1168" i="14"/>
  <c r="R1169" i="14"/>
  <c r="S1169" i="14"/>
  <c r="R1170" i="14"/>
  <c r="S1170" i="14"/>
  <c r="R1171" i="14"/>
  <c r="S1171" i="14"/>
  <c r="R1172" i="14"/>
  <c r="S1172" i="14"/>
  <c r="R1173" i="14"/>
  <c r="R1174" i="14"/>
  <c r="S1174" i="14"/>
  <c r="R1175" i="14"/>
  <c r="S1175" i="14"/>
  <c r="R1176" i="14"/>
  <c r="R1177" i="14"/>
  <c r="R1178" i="14"/>
  <c r="S1178" i="14"/>
  <c r="R1179" i="14"/>
  <c r="S1179" i="14"/>
  <c r="R1180" i="14"/>
  <c r="S1180" i="14"/>
  <c r="R1181" i="14"/>
  <c r="R1182" i="14"/>
  <c r="S1182" i="14"/>
  <c r="R1183" i="14"/>
  <c r="S1183" i="14"/>
  <c r="R1184" i="14"/>
  <c r="R1185" i="14"/>
  <c r="R1186" i="14"/>
  <c r="R1187" i="14"/>
  <c r="S1187" i="14"/>
  <c r="R1188" i="14"/>
  <c r="R1189" i="14"/>
  <c r="S1189" i="14"/>
  <c r="R1190" i="14"/>
  <c r="S1190" i="14"/>
  <c r="R1191" i="14"/>
  <c r="S1191" i="14"/>
  <c r="R1192" i="14"/>
  <c r="S1192" i="14"/>
  <c r="R1193" i="14"/>
  <c r="S1193" i="14"/>
  <c r="R1194" i="14"/>
  <c r="S1194" i="14"/>
  <c r="R1195" i="14"/>
  <c r="R1196" i="14"/>
  <c r="S1196" i="14"/>
  <c r="R1197" i="14"/>
  <c r="S1197" i="14"/>
  <c r="R1198" i="14"/>
  <c r="R1199" i="14"/>
  <c r="S1199" i="14"/>
  <c r="R1200" i="14"/>
  <c r="S1200" i="14"/>
  <c r="R1201" i="14"/>
  <c r="S1201" i="14"/>
  <c r="R1202" i="14"/>
  <c r="R1203" i="14"/>
  <c r="S1203" i="14"/>
  <c r="R1204" i="14"/>
  <c r="S1204" i="14"/>
  <c r="R1205" i="14"/>
  <c r="R1206" i="14"/>
  <c r="S1206" i="14"/>
  <c r="R1207" i="14"/>
  <c r="S1207" i="14"/>
  <c r="R1208" i="14"/>
  <c r="S1208" i="14"/>
  <c r="R1209" i="14"/>
  <c r="R1210" i="14"/>
  <c r="R1211" i="14"/>
  <c r="R1212" i="14"/>
  <c r="R1213" i="14"/>
  <c r="S1213" i="14"/>
  <c r="R1214" i="14"/>
  <c r="R1215" i="14"/>
  <c r="R1216" i="14"/>
  <c r="S1216" i="14"/>
  <c r="R1217" i="14"/>
  <c r="S1217" i="14"/>
  <c r="R1218" i="14"/>
  <c r="R1219" i="14"/>
  <c r="R1220" i="14"/>
  <c r="S1220" i="14"/>
  <c r="R1221" i="14"/>
  <c r="R1222" i="14"/>
  <c r="S1222" i="14"/>
  <c r="R1223" i="14"/>
  <c r="S1223" i="14"/>
  <c r="R1224" i="14"/>
  <c r="R1225" i="14"/>
  <c r="R1226" i="14"/>
  <c r="S1226" i="14"/>
  <c r="R1227" i="14"/>
  <c r="R1228" i="14"/>
  <c r="S1228" i="14"/>
  <c r="R1229" i="14"/>
  <c r="S1229" i="14"/>
  <c r="R1230" i="14"/>
  <c r="S1230" i="14"/>
  <c r="R1231" i="14"/>
  <c r="S1231" i="14"/>
  <c r="R1232" i="14"/>
  <c r="R1233" i="14"/>
  <c r="R1234" i="14"/>
  <c r="R1235" i="14"/>
  <c r="R1236" i="14"/>
  <c r="S1236" i="14"/>
  <c r="R1237" i="14"/>
  <c r="S1237" i="14"/>
  <c r="R1238" i="14"/>
  <c r="R1239" i="14"/>
  <c r="R1240" i="14"/>
  <c r="R1241" i="14"/>
  <c r="R1242" i="14"/>
  <c r="S1242" i="14"/>
  <c r="R1243" i="14"/>
  <c r="S1243" i="14"/>
  <c r="R1244" i="14"/>
  <c r="S1244" i="14"/>
  <c r="R1245" i="14"/>
  <c r="S1245" i="14"/>
  <c r="R1246" i="14"/>
  <c r="S1246" i="14"/>
  <c r="R1247" i="14"/>
  <c r="S1247" i="14"/>
  <c r="R1248" i="14"/>
  <c r="S1248" i="14"/>
  <c r="R1249" i="14"/>
  <c r="R1250" i="14"/>
  <c r="S1250" i="14"/>
  <c r="R1251" i="14"/>
  <c r="R1252" i="14"/>
  <c r="S1252" i="14"/>
  <c r="R1253" i="14"/>
  <c r="S1253" i="14"/>
  <c r="R1254" i="14"/>
  <c r="S1254" i="14"/>
  <c r="R1255" i="14"/>
  <c r="R1256" i="14"/>
  <c r="R1257" i="14"/>
  <c r="S1257" i="14"/>
  <c r="R1258" i="14"/>
  <c r="R1259" i="14"/>
  <c r="S1259" i="14"/>
  <c r="R1260" i="14"/>
  <c r="R1261" i="14"/>
  <c r="R1262" i="14"/>
  <c r="R1263" i="14"/>
  <c r="R1264" i="14"/>
  <c r="S1264" i="14"/>
  <c r="R1265" i="14"/>
  <c r="R1266" i="14"/>
  <c r="S1266" i="14"/>
  <c r="R1267" i="14"/>
  <c r="S1267" i="14"/>
  <c r="R1269" i="14"/>
  <c r="R1270" i="14"/>
  <c r="R1271" i="14"/>
  <c r="R1272" i="14"/>
  <c r="S1272" i="14"/>
  <c r="R1273" i="14"/>
  <c r="R1274" i="14"/>
  <c r="S1274" i="14"/>
  <c r="R1275" i="14"/>
  <c r="R1277" i="14"/>
  <c r="R1278" i="14"/>
  <c r="R1279" i="14"/>
  <c r="R1280" i="14"/>
  <c r="R1281" i="14"/>
  <c r="R1282" i="14"/>
  <c r="R1283" i="14"/>
  <c r="R1284" i="14"/>
  <c r="R1285" i="14"/>
  <c r="S1285" i="14"/>
  <c r="R1286" i="14"/>
  <c r="R1288" i="14"/>
  <c r="S1288" i="14"/>
  <c r="R1289" i="14"/>
  <c r="S1289" i="14"/>
  <c r="R1290" i="14"/>
  <c r="R1291" i="14"/>
  <c r="R1292" i="14"/>
  <c r="R1293" i="14"/>
  <c r="R1294" i="14"/>
  <c r="S1294" i="14"/>
  <c r="R1295" i="14"/>
  <c r="R1297" i="14"/>
  <c r="S1297" i="14"/>
  <c r="R1298" i="14"/>
  <c r="S1298" i="14"/>
  <c r="R1299" i="14"/>
  <c r="R1300" i="14"/>
  <c r="R1301" i="14"/>
  <c r="R1302" i="14"/>
  <c r="R1303" i="14"/>
  <c r="S1303" i="14"/>
  <c r="R1304" i="14"/>
  <c r="S1304" i="14"/>
  <c r="R1305" i="14"/>
  <c r="S1305" i="14"/>
  <c r="R1306" i="14"/>
  <c r="S1306" i="14"/>
  <c r="R1307" i="14"/>
  <c r="S1307" i="14"/>
  <c r="R1308" i="14"/>
  <c r="S1308" i="14"/>
  <c r="R1309" i="14"/>
  <c r="R1310" i="14"/>
  <c r="R1311" i="14"/>
  <c r="R1312" i="14"/>
  <c r="S1312" i="14"/>
  <c r="R1313" i="14"/>
  <c r="S1313" i="14"/>
  <c r="R1314" i="14"/>
  <c r="S1314" i="14"/>
  <c r="R1315" i="14"/>
  <c r="S1315" i="14"/>
  <c r="R1316" i="14"/>
  <c r="S1316" i="14"/>
  <c r="R1317" i="14"/>
  <c r="S1317" i="14"/>
  <c r="R1318" i="14"/>
  <c r="R1319" i="14"/>
  <c r="S1319" i="14"/>
  <c r="R1320" i="14"/>
  <c r="S1320" i="14"/>
  <c r="R1321" i="14"/>
  <c r="R1322" i="14"/>
  <c r="S1322" i="14"/>
  <c r="R1323" i="14"/>
  <c r="S1323" i="14"/>
  <c r="R1324" i="14"/>
  <c r="S1324" i="14"/>
  <c r="R1325" i="14"/>
  <c r="S1325" i="14"/>
  <c r="R1326" i="14"/>
  <c r="S1326" i="14"/>
  <c r="R1327" i="14"/>
  <c r="S1327" i="14"/>
  <c r="R1328" i="14"/>
  <c r="S1328" i="14"/>
  <c r="R1329" i="14"/>
  <c r="R1330" i="14"/>
  <c r="S1330" i="14"/>
  <c r="R1331" i="14"/>
  <c r="S1331" i="14"/>
  <c r="R1332" i="14"/>
  <c r="S1332" i="14"/>
  <c r="R1333" i="14"/>
  <c r="S1333" i="14"/>
  <c r="R1334" i="14"/>
  <c r="S1334" i="14"/>
  <c r="R1335" i="14"/>
  <c r="S1335" i="14"/>
  <c r="R1336" i="14"/>
  <c r="R1337" i="14"/>
  <c r="R1338" i="14"/>
  <c r="S1338" i="14"/>
  <c r="R1339" i="14"/>
  <c r="R1340" i="14"/>
  <c r="S1340" i="14"/>
  <c r="R1341" i="14"/>
  <c r="S1341" i="14"/>
  <c r="R1342" i="14"/>
  <c r="R1343" i="14"/>
  <c r="S1343" i="14"/>
  <c r="R1344" i="14"/>
  <c r="S1344" i="14"/>
  <c r="R1345" i="14"/>
  <c r="S1345" i="14"/>
  <c r="R1346" i="14"/>
  <c r="S1346" i="14"/>
  <c r="R1347" i="14"/>
  <c r="S1347" i="14"/>
  <c r="R1348" i="14"/>
  <c r="S1348" i="14"/>
  <c r="R1349" i="14"/>
  <c r="R1350" i="14"/>
  <c r="S1350" i="14"/>
  <c r="R1351" i="14"/>
  <c r="S1351" i="14"/>
  <c r="R1352" i="14"/>
  <c r="R1353" i="14"/>
  <c r="S1353" i="14"/>
  <c r="R1354" i="14"/>
  <c r="S1354" i="14"/>
  <c r="R1355" i="14"/>
  <c r="S1355" i="14"/>
  <c r="R1356" i="14"/>
  <c r="R1357" i="14"/>
  <c r="R1358" i="14"/>
  <c r="R1359" i="14"/>
  <c r="S1359" i="14"/>
  <c r="R1360" i="14"/>
  <c r="R1361" i="14"/>
  <c r="S1361" i="14"/>
  <c r="R1362" i="14"/>
  <c r="R1363" i="14"/>
  <c r="R1364" i="14"/>
  <c r="R1365" i="14"/>
  <c r="R1366" i="14"/>
  <c r="S1366" i="14"/>
  <c r="R1367" i="14"/>
  <c r="R1368" i="14"/>
  <c r="R1369" i="14"/>
  <c r="S1369" i="14"/>
  <c r="R1370" i="14"/>
  <c r="S1370" i="14"/>
  <c r="R1371" i="14"/>
  <c r="S1371" i="14"/>
  <c r="R1372" i="14"/>
  <c r="R1373" i="14"/>
  <c r="R1374" i="14"/>
  <c r="S1374" i="14"/>
  <c r="R1375" i="14"/>
  <c r="R1376" i="14"/>
  <c r="S1376" i="14"/>
  <c r="R1377" i="14"/>
  <c r="S1377" i="14"/>
  <c r="R1378" i="14"/>
  <c r="S1378" i="14"/>
  <c r="R1379" i="14"/>
  <c r="S1379" i="14"/>
  <c r="R1380" i="14"/>
  <c r="S1380" i="14"/>
  <c r="R1381" i="14"/>
  <c r="S1381" i="14"/>
  <c r="R1382" i="14"/>
  <c r="R1383" i="14"/>
  <c r="S1383" i="14"/>
  <c r="R435" i="14"/>
  <c r="R436" i="14"/>
  <c r="S437" i="14"/>
  <c r="R438" i="14"/>
  <c r="S438" i="14"/>
  <c r="R439" i="14"/>
  <c r="R440" i="14"/>
  <c r="R441" i="14"/>
  <c r="R442" i="14"/>
  <c r="R443" i="14"/>
  <c r="S443" i="14"/>
  <c r="R444" i="14"/>
  <c r="R445" i="14"/>
  <c r="S445" i="14"/>
  <c r="R446" i="14"/>
  <c r="S446" i="14"/>
  <c r="R447" i="14"/>
  <c r="S447" i="14"/>
  <c r="R448" i="14"/>
  <c r="R449" i="14"/>
  <c r="S449" i="14"/>
  <c r="R450" i="14"/>
  <c r="S450" i="14"/>
  <c r="R451" i="14"/>
  <c r="R452" i="14"/>
  <c r="S452" i="14"/>
  <c r="R453" i="14"/>
  <c r="S453" i="14"/>
  <c r="R454" i="14"/>
  <c r="S454" i="14"/>
  <c r="R455" i="14"/>
  <c r="R456" i="14"/>
  <c r="S456" i="14"/>
  <c r="R457" i="14"/>
  <c r="R458" i="14"/>
  <c r="S458" i="14"/>
  <c r="R459" i="14"/>
  <c r="R460" i="14"/>
  <c r="R461" i="14"/>
  <c r="S461" i="14"/>
  <c r="R462" i="14"/>
  <c r="R463" i="14"/>
  <c r="R464" i="14"/>
  <c r="R465" i="14"/>
  <c r="R466" i="14"/>
  <c r="R467" i="14"/>
  <c r="R468" i="14"/>
  <c r="S468" i="14"/>
  <c r="R469" i="14"/>
  <c r="R470" i="14"/>
  <c r="R472" i="14"/>
  <c r="R471" i="14" s="1"/>
  <c r="S472" i="14"/>
  <c r="S471" i="14" s="1"/>
  <c r="R473" i="14"/>
  <c r="R474" i="14"/>
  <c r="S474" i="14"/>
  <c r="R475" i="14"/>
  <c r="S475" i="14"/>
  <c r="R476" i="14"/>
  <c r="S476" i="14"/>
  <c r="R477" i="14"/>
  <c r="S477" i="14"/>
  <c r="R478" i="14"/>
  <c r="R479" i="14"/>
  <c r="R480" i="14"/>
  <c r="S480" i="14"/>
  <c r="R481" i="14"/>
  <c r="S481" i="14"/>
  <c r="R482" i="14"/>
  <c r="R483" i="14"/>
  <c r="R484" i="14"/>
  <c r="R485" i="14"/>
  <c r="R486" i="14"/>
  <c r="S486" i="14"/>
  <c r="R487" i="14"/>
  <c r="S487" i="14"/>
  <c r="R488" i="14"/>
  <c r="S488" i="14"/>
  <c r="R489" i="14"/>
  <c r="S489" i="14"/>
  <c r="R490" i="14"/>
  <c r="R491" i="14"/>
  <c r="S491" i="14"/>
  <c r="R492" i="14"/>
  <c r="R493" i="14"/>
  <c r="R494" i="14"/>
  <c r="S494" i="14"/>
  <c r="R495" i="14"/>
  <c r="R496" i="14"/>
  <c r="R497" i="14"/>
  <c r="S497" i="14"/>
  <c r="R498" i="14"/>
  <c r="S498" i="14"/>
  <c r="R499" i="14"/>
  <c r="S499" i="14"/>
  <c r="R500" i="14"/>
  <c r="R501" i="14"/>
  <c r="R502" i="14"/>
  <c r="R503" i="14"/>
  <c r="S503" i="14"/>
  <c r="R504" i="14"/>
  <c r="S504" i="14"/>
  <c r="R505" i="14"/>
  <c r="S505" i="14"/>
  <c r="R506" i="14"/>
  <c r="R507" i="14"/>
  <c r="S507" i="14"/>
  <c r="R508" i="14"/>
  <c r="R509" i="14"/>
  <c r="S509" i="14"/>
  <c r="R510" i="14"/>
  <c r="R511" i="14"/>
  <c r="R512" i="14"/>
  <c r="S512" i="14"/>
  <c r="R513" i="14"/>
  <c r="R514" i="14"/>
  <c r="S514" i="14"/>
  <c r="R515" i="14"/>
  <c r="S515" i="14"/>
  <c r="R516" i="14"/>
  <c r="R517" i="14"/>
  <c r="S517" i="14"/>
  <c r="R518" i="14"/>
  <c r="R519" i="14"/>
  <c r="R520" i="14"/>
  <c r="S520" i="14"/>
  <c r="R521" i="14"/>
  <c r="S521" i="14"/>
  <c r="R522" i="14"/>
  <c r="S522" i="14"/>
  <c r="R523" i="14"/>
  <c r="R524" i="14"/>
  <c r="R525" i="14"/>
  <c r="R526" i="14"/>
  <c r="S526" i="14"/>
  <c r="R527" i="14"/>
  <c r="R528" i="14"/>
  <c r="R529" i="14"/>
  <c r="R530" i="14"/>
  <c r="R531" i="14"/>
  <c r="S531" i="14"/>
  <c r="R532" i="14"/>
  <c r="R533" i="14"/>
  <c r="R534" i="14"/>
  <c r="R535" i="14"/>
  <c r="S535" i="14"/>
  <c r="R536" i="14"/>
  <c r="S536" i="14"/>
  <c r="R537" i="14"/>
  <c r="S537" i="14"/>
  <c r="R538" i="14"/>
  <c r="S538" i="14"/>
  <c r="R539" i="14"/>
  <c r="R540" i="14"/>
  <c r="S540" i="14"/>
  <c r="R541" i="14"/>
  <c r="R542" i="14"/>
  <c r="S542" i="14"/>
  <c r="R543" i="14"/>
  <c r="R544" i="14"/>
  <c r="S544" i="14"/>
  <c r="R545" i="14"/>
  <c r="S545" i="14"/>
  <c r="R546" i="14"/>
  <c r="S546" i="14"/>
  <c r="R547" i="14"/>
  <c r="R548" i="14"/>
  <c r="S548" i="14"/>
  <c r="R549" i="14"/>
  <c r="R550" i="14"/>
  <c r="S550" i="14"/>
  <c r="R551" i="14"/>
  <c r="S551" i="14"/>
  <c r="R552" i="14"/>
  <c r="R553" i="14"/>
  <c r="S553" i="14"/>
  <c r="R554" i="14"/>
  <c r="R555" i="14"/>
  <c r="S555" i="14"/>
  <c r="R556" i="14"/>
  <c r="S556" i="14"/>
  <c r="R557" i="14"/>
  <c r="S557" i="14"/>
  <c r="R328" i="14"/>
  <c r="R329" i="14"/>
  <c r="R330" i="14"/>
  <c r="S330" i="14"/>
  <c r="R331" i="14"/>
  <c r="R332" i="14"/>
  <c r="S332" i="14"/>
  <c r="R333" i="14"/>
  <c r="S333" i="14"/>
  <c r="R334" i="14"/>
  <c r="R335" i="14"/>
  <c r="S335" i="14"/>
  <c r="R336" i="14"/>
  <c r="R337" i="14"/>
  <c r="R338" i="14"/>
  <c r="S338" i="14"/>
  <c r="R339" i="14"/>
  <c r="R340" i="14"/>
  <c r="S340" i="14"/>
  <c r="R341" i="14"/>
  <c r="R342" i="14"/>
  <c r="R343" i="14"/>
  <c r="R344" i="14"/>
  <c r="R345" i="14"/>
  <c r="R346" i="14"/>
  <c r="R347" i="14"/>
  <c r="R348" i="14"/>
  <c r="S348" i="14"/>
  <c r="R349" i="14"/>
  <c r="R350" i="14"/>
  <c r="R351" i="14"/>
  <c r="S351" i="14"/>
  <c r="R352" i="14"/>
  <c r="R353" i="14"/>
  <c r="S353" i="14"/>
  <c r="R354" i="14"/>
  <c r="R355" i="14"/>
  <c r="S355" i="14"/>
  <c r="R356" i="14"/>
  <c r="S356" i="14"/>
  <c r="R357" i="14"/>
  <c r="R358" i="14"/>
  <c r="S358" i="14"/>
  <c r="R359" i="14"/>
  <c r="R360" i="14"/>
  <c r="S360" i="14"/>
  <c r="R361" i="14"/>
  <c r="S361" i="14"/>
  <c r="R362" i="14"/>
  <c r="R363" i="14"/>
  <c r="S363" i="14"/>
  <c r="R364" i="14"/>
  <c r="S364" i="14"/>
  <c r="R365" i="14"/>
  <c r="S365" i="14"/>
  <c r="R366" i="14"/>
  <c r="S366" i="14"/>
  <c r="R367" i="14"/>
  <c r="S367" i="14"/>
  <c r="R368" i="14"/>
  <c r="S368" i="14"/>
  <c r="R369" i="14"/>
  <c r="S369" i="14"/>
  <c r="R370" i="14"/>
  <c r="R371" i="14"/>
  <c r="R372" i="14"/>
  <c r="S372" i="14"/>
  <c r="R373" i="14"/>
  <c r="R374" i="14"/>
  <c r="R375" i="14"/>
  <c r="S375" i="14"/>
  <c r="R376" i="14"/>
  <c r="R377" i="14"/>
  <c r="R378" i="14"/>
  <c r="S378" i="14"/>
  <c r="R379" i="14"/>
  <c r="R380" i="14"/>
  <c r="R381" i="14"/>
  <c r="S381" i="14"/>
  <c r="R382" i="14"/>
  <c r="R383" i="14"/>
  <c r="R384" i="14"/>
  <c r="S384" i="14"/>
  <c r="R385" i="14"/>
  <c r="S385" i="14"/>
  <c r="R386" i="14"/>
  <c r="S386" i="14"/>
  <c r="R387" i="14"/>
  <c r="S387" i="14"/>
  <c r="R388" i="14"/>
  <c r="R389" i="14"/>
  <c r="R390" i="14"/>
  <c r="S390" i="14"/>
  <c r="R391" i="14"/>
  <c r="S391" i="14"/>
  <c r="R392" i="14"/>
  <c r="S392" i="14"/>
  <c r="R220" i="14"/>
  <c r="R221" i="14"/>
  <c r="R222" i="14"/>
  <c r="S222" i="14"/>
  <c r="R223" i="14"/>
  <c r="R224" i="14"/>
  <c r="S224" i="14"/>
  <c r="R225" i="14"/>
  <c r="S225" i="14"/>
  <c r="R226" i="14"/>
  <c r="R227" i="14"/>
  <c r="R228" i="14"/>
  <c r="R229" i="14"/>
  <c r="R230" i="14"/>
  <c r="R231" i="14"/>
  <c r="S231" i="14"/>
  <c r="R232" i="14"/>
  <c r="R233" i="14"/>
  <c r="R234" i="14"/>
  <c r="R235" i="14"/>
  <c r="S235" i="14"/>
  <c r="R236" i="14"/>
  <c r="S236" i="14"/>
  <c r="R237" i="14"/>
  <c r="R238" i="14"/>
  <c r="S238" i="14"/>
  <c r="R239" i="14"/>
  <c r="S239" i="14"/>
  <c r="R240" i="14"/>
  <c r="R241" i="14"/>
  <c r="S241" i="14"/>
  <c r="R242" i="14"/>
  <c r="S242" i="14"/>
  <c r="R243" i="14"/>
  <c r="S243" i="14"/>
  <c r="R244" i="14"/>
  <c r="S244" i="14"/>
  <c r="R245" i="14"/>
  <c r="S245" i="14"/>
  <c r="R246" i="14"/>
  <c r="R247" i="14"/>
  <c r="R248" i="14"/>
  <c r="S248" i="14"/>
  <c r="R249" i="14"/>
  <c r="S249" i="14"/>
  <c r="R250" i="14"/>
  <c r="R251" i="14"/>
  <c r="S251" i="14"/>
  <c r="R252" i="14"/>
  <c r="S252" i="14"/>
  <c r="R253" i="14"/>
  <c r="S253" i="14"/>
  <c r="R254" i="14"/>
  <c r="S254" i="14"/>
  <c r="R255" i="14"/>
  <c r="S255" i="14"/>
  <c r="R256" i="14"/>
  <c r="R257" i="14"/>
  <c r="R258" i="14"/>
  <c r="S258" i="14"/>
  <c r="R259" i="14"/>
  <c r="S259" i="14"/>
  <c r="R260" i="14"/>
  <c r="R261" i="14"/>
  <c r="S261" i="14"/>
  <c r="R262" i="14"/>
  <c r="S262" i="14"/>
  <c r="R263" i="14"/>
  <c r="S263" i="14"/>
  <c r="R264" i="14"/>
  <c r="R265" i="14"/>
  <c r="R266" i="14"/>
  <c r="S266" i="14"/>
  <c r="R267" i="14"/>
  <c r="R268" i="14"/>
  <c r="R269" i="14"/>
  <c r="S269" i="14"/>
  <c r="R270" i="14"/>
  <c r="S270" i="14"/>
  <c r="R271" i="14"/>
  <c r="S271" i="14"/>
  <c r="R272" i="14"/>
  <c r="R273" i="14"/>
  <c r="S273" i="14"/>
  <c r="R274" i="14"/>
  <c r="S274" i="14"/>
  <c r="R275" i="14"/>
  <c r="R276" i="14"/>
  <c r="R277" i="14"/>
  <c r="S277" i="14"/>
  <c r="R278" i="14"/>
  <c r="S278" i="14"/>
  <c r="R279" i="14"/>
  <c r="R280" i="14"/>
  <c r="S280" i="14"/>
  <c r="R281" i="14"/>
  <c r="R282" i="14"/>
  <c r="R283" i="14"/>
  <c r="R284" i="14"/>
  <c r="R285" i="14"/>
  <c r="S285" i="14"/>
  <c r="R286" i="14"/>
  <c r="S286" i="14"/>
  <c r="R287" i="14"/>
  <c r="S287" i="14"/>
  <c r="R288" i="14"/>
  <c r="S288" i="14"/>
  <c r="R114" i="14"/>
  <c r="R115" i="14"/>
  <c r="R116" i="14"/>
  <c r="R117" i="14"/>
  <c r="R118" i="14"/>
  <c r="R119" i="14"/>
  <c r="R120" i="14"/>
  <c r="R121" i="14"/>
  <c r="S121" i="14"/>
  <c r="R122" i="14"/>
  <c r="R123" i="14"/>
  <c r="R124" i="14"/>
  <c r="S124" i="14"/>
  <c r="R125" i="14"/>
  <c r="R126" i="14"/>
  <c r="R127" i="14"/>
  <c r="R128" i="14"/>
  <c r="R129" i="14"/>
  <c r="R130" i="14"/>
  <c r="S130" i="14"/>
  <c r="R131" i="14"/>
  <c r="R132" i="14"/>
  <c r="R133" i="14"/>
  <c r="R134" i="14"/>
  <c r="R135" i="14"/>
  <c r="R136" i="14"/>
  <c r="R137" i="14"/>
  <c r="R138" i="14"/>
  <c r="R139" i="14"/>
  <c r="R140" i="14"/>
  <c r="R141" i="14"/>
  <c r="R142" i="14"/>
  <c r="R143" i="14"/>
  <c r="R144" i="14"/>
  <c r="S144" i="14"/>
  <c r="R145" i="14"/>
  <c r="S145" i="14"/>
  <c r="R146" i="14"/>
  <c r="R147" i="14"/>
  <c r="R148" i="14"/>
  <c r="R149" i="14"/>
  <c r="S149" i="14"/>
  <c r="R150" i="14"/>
  <c r="S150" i="14"/>
  <c r="R151" i="14"/>
  <c r="S151" i="14"/>
  <c r="R152" i="14"/>
  <c r="R153" i="14"/>
  <c r="S153" i="14"/>
  <c r="R154" i="14"/>
  <c r="R155" i="14"/>
  <c r="R156" i="14"/>
  <c r="S156" i="14"/>
  <c r="R157" i="14"/>
  <c r="S157" i="14"/>
  <c r="R158" i="14"/>
  <c r="R159" i="14"/>
  <c r="R160" i="14"/>
  <c r="R161" i="14"/>
  <c r="S161" i="14"/>
  <c r="R162" i="14"/>
  <c r="R163" i="14"/>
  <c r="R164" i="14"/>
  <c r="R165" i="14"/>
  <c r="R166" i="14"/>
  <c r="R167" i="14"/>
  <c r="R168" i="14"/>
  <c r="R169" i="14"/>
  <c r="R170" i="14"/>
  <c r="R171" i="14"/>
  <c r="S171" i="14"/>
  <c r="R172" i="14"/>
  <c r="R173" i="14"/>
  <c r="R174" i="14"/>
  <c r="R175" i="14"/>
  <c r="R176" i="14"/>
  <c r="R177" i="14"/>
  <c r="S177" i="14"/>
  <c r="R178" i="14"/>
  <c r="S178" i="14"/>
  <c r="R179" i="14"/>
  <c r="R180" i="14"/>
  <c r="R181" i="14"/>
  <c r="R182" i="14"/>
  <c r="R183" i="14"/>
  <c r="R184" i="14"/>
  <c r="R185" i="14"/>
  <c r="R186" i="14"/>
  <c r="R187" i="14"/>
  <c r="R188" i="14"/>
  <c r="S188" i="14"/>
  <c r="R189" i="14"/>
  <c r="S189" i="14"/>
  <c r="R190" i="14"/>
  <c r="R191" i="14"/>
  <c r="S191" i="14"/>
  <c r="R192" i="14"/>
  <c r="R193" i="14"/>
  <c r="R194" i="14"/>
  <c r="R195" i="14"/>
  <c r="R196" i="14"/>
  <c r="S196" i="14"/>
  <c r="R197" i="14"/>
  <c r="R198" i="14"/>
  <c r="R199" i="14"/>
  <c r="R200" i="14"/>
  <c r="R201" i="14"/>
  <c r="R202" i="14"/>
  <c r="S202" i="14"/>
  <c r="R203" i="14"/>
  <c r="R204" i="14"/>
  <c r="R205" i="14"/>
  <c r="S205" i="14"/>
  <c r="R73" i="14"/>
  <c r="R74" i="14"/>
  <c r="R75" i="14"/>
  <c r="R76" i="14"/>
  <c r="S76" i="14"/>
  <c r="R77" i="14"/>
  <c r="R78" i="14"/>
  <c r="R79" i="14"/>
  <c r="R80" i="14"/>
  <c r="R81" i="14"/>
  <c r="R82" i="14"/>
  <c r="R83" i="14"/>
  <c r="S83" i="14"/>
  <c r="R84" i="14"/>
  <c r="R85" i="14"/>
  <c r="R86" i="14"/>
  <c r="S86" i="14"/>
  <c r="R87" i="14"/>
  <c r="R88" i="14"/>
  <c r="R89" i="14"/>
  <c r="S89" i="14"/>
  <c r="R9" i="14"/>
  <c r="R10" i="14"/>
  <c r="R11" i="14"/>
  <c r="R12" i="14"/>
  <c r="R13" i="14"/>
  <c r="S13" i="14"/>
  <c r="R14" i="14"/>
  <c r="R15" i="14"/>
  <c r="R16" i="14"/>
  <c r="S16" i="14"/>
  <c r="R17" i="14"/>
  <c r="R18" i="14"/>
  <c r="R19" i="14"/>
  <c r="R20" i="14"/>
  <c r="S20" i="14"/>
  <c r="R21" i="14"/>
  <c r="R22" i="14"/>
  <c r="R23" i="14"/>
  <c r="S23" i="14"/>
  <c r="R24" i="14"/>
  <c r="R25" i="14"/>
  <c r="R26" i="14"/>
  <c r="R27" i="14"/>
  <c r="S27" i="14"/>
  <c r="R28" i="14"/>
  <c r="S28" i="14"/>
  <c r="R29" i="14"/>
  <c r="R30" i="14"/>
  <c r="R31" i="14"/>
  <c r="R32" i="14"/>
  <c r="R33" i="14"/>
  <c r="S33" i="14"/>
  <c r="R34" i="14"/>
  <c r="S34" i="14"/>
  <c r="R35" i="14"/>
  <c r="S35" i="14"/>
  <c r="R36" i="14"/>
  <c r="R37" i="14"/>
  <c r="R38" i="14"/>
  <c r="R39" i="14"/>
  <c r="S39" i="14"/>
  <c r="R40" i="14"/>
  <c r="R41" i="14"/>
  <c r="S41" i="14"/>
  <c r="R42" i="14"/>
  <c r="R43" i="14"/>
  <c r="R44" i="14"/>
  <c r="R45" i="14"/>
  <c r="R46" i="14"/>
  <c r="R47" i="14"/>
  <c r="R48" i="14"/>
  <c r="R49" i="14"/>
  <c r="R50" i="14"/>
  <c r="S50" i="14"/>
  <c r="R51" i="14"/>
  <c r="S51" i="14"/>
  <c r="R52" i="14"/>
  <c r="S52" i="14"/>
  <c r="R53" i="14"/>
  <c r="R54" i="14"/>
  <c r="R55" i="14"/>
  <c r="R56" i="14"/>
  <c r="R57" i="14"/>
  <c r="S57" i="14"/>
  <c r="R58" i="14"/>
  <c r="R59" i="14"/>
  <c r="R60" i="14"/>
  <c r="S60" i="14"/>
  <c r="R61" i="14"/>
  <c r="R62" i="14"/>
  <c r="R63" i="14"/>
  <c r="S63" i="14"/>
  <c r="R64" i="14"/>
  <c r="S64" i="14"/>
  <c r="Q2018" i="14"/>
  <c r="Q2017" i="14"/>
  <c r="M2016" i="14"/>
  <c r="Q2014" i="14"/>
  <c r="Q2013" i="14"/>
  <c r="Q2012" i="14"/>
  <c r="Q2011" i="14"/>
  <c r="I2010" i="14"/>
  <c r="Q2009" i="14"/>
  <c r="Q2008" i="14"/>
  <c r="Q2006" i="14"/>
  <c r="M2005" i="14"/>
  <c r="Q2003" i="14"/>
  <c r="M2002" i="14"/>
  <c r="I2000" i="14"/>
  <c r="I1998" i="14"/>
  <c r="Q1997" i="14"/>
  <c r="B1993" i="14"/>
  <c r="B1994" i="14" s="1"/>
  <c r="B1995" i="14" s="1"/>
  <c r="B1996" i="14" s="1"/>
  <c r="B1997" i="14" s="1"/>
  <c r="B1998" i="14" s="1"/>
  <c r="B1999" i="14" s="1"/>
  <c r="B2000" i="14" s="1"/>
  <c r="B2001" i="14" s="1"/>
  <c r="B2002" i="14" s="1"/>
  <c r="B2003" i="14" s="1"/>
  <c r="B2004" i="14" s="1"/>
  <c r="B2005" i="14" s="1"/>
  <c r="B2006" i="14" s="1"/>
  <c r="B2007" i="14" s="1"/>
  <c r="B2008" i="14" s="1"/>
  <c r="B2009" i="14" s="1"/>
  <c r="B2010" i="14" s="1"/>
  <c r="B2011" i="14" s="1"/>
  <c r="B2012" i="14" s="1"/>
  <c r="B2013" i="14" s="1"/>
  <c r="B2014" i="14" s="1"/>
  <c r="B2015" i="14" s="1"/>
  <c r="B2016" i="14" s="1"/>
  <c r="B2017" i="14" s="1"/>
  <c r="B2018" i="14" s="1"/>
  <c r="Q1983" i="14"/>
  <c r="I1982" i="14"/>
  <c r="Q1981" i="14"/>
  <c r="Q1980" i="14"/>
  <c r="Q1979" i="14"/>
  <c r="Q1978" i="14"/>
  <c r="Q1977" i="14"/>
  <c r="Q1975" i="14"/>
  <c r="Q1974" i="14"/>
  <c r="Q1971" i="14"/>
  <c r="Q1970" i="14"/>
  <c r="Q1969" i="14"/>
  <c r="Q1968" i="14"/>
  <c r="I1967" i="14"/>
  <c r="I1964" i="14" s="1"/>
  <c r="Q1966" i="14"/>
  <c r="Q1965" i="14"/>
  <c r="I1962" i="14"/>
  <c r="K1962" i="14" s="1"/>
  <c r="S1962" i="14" s="1"/>
  <c r="I1960" i="14"/>
  <c r="I1957" i="14"/>
  <c r="Q1954" i="14"/>
  <c r="M1953" i="14"/>
  <c r="O1953" i="14" s="1"/>
  <c r="S1953" i="14" s="1"/>
  <c r="I1951" i="14"/>
  <c r="I1950" i="14"/>
  <c r="I1949" i="14"/>
  <c r="K1949" i="14" s="1"/>
  <c r="S1949" i="14" s="1"/>
  <c r="Q1948" i="14"/>
  <c r="Q1947" i="14"/>
  <c r="Q1945" i="14"/>
  <c r="Q1944" i="14"/>
  <c r="M1941" i="14"/>
  <c r="M1939" i="14"/>
  <c r="O1939" i="14" s="1"/>
  <c r="S1939" i="14" s="1"/>
  <c r="I1936" i="14"/>
  <c r="I1935" i="14"/>
  <c r="K1935" i="14" s="1"/>
  <c r="S1935" i="14" s="1"/>
  <c r="I1934" i="14"/>
  <c r="Q1933" i="14"/>
  <c r="I1932" i="14"/>
  <c r="K1932" i="14" s="1"/>
  <c r="S1932" i="14" s="1"/>
  <c r="Q1931" i="14"/>
  <c r="Q1930" i="14"/>
  <c r="Q1928" i="14"/>
  <c r="Q1927" i="14"/>
  <c r="I1925" i="14"/>
  <c r="K1925" i="14" s="1"/>
  <c r="S1925" i="14" s="1"/>
  <c r="Q1923" i="14"/>
  <c r="I1922" i="14"/>
  <c r="K1922" i="14" s="1"/>
  <c r="S1922" i="14" s="1"/>
  <c r="I1921" i="14"/>
  <c r="I1919" i="14"/>
  <c r="I1916" i="14"/>
  <c r="I1915" i="14"/>
  <c r="I1914" i="14"/>
  <c r="K1914" i="14" s="1"/>
  <c r="S1914" i="14" s="1"/>
  <c r="I1913" i="14"/>
  <c r="K1913" i="14" s="1"/>
  <c r="S1913" i="14" s="1"/>
  <c r="I1910" i="14"/>
  <c r="I1909" i="14"/>
  <c r="I1908" i="14"/>
  <c r="Q1907" i="14"/>
  <c r="I1906" i="14"/>
  <c r="Q1905" i="14"/>
  <c r="Q1904" i="14"/>
  <c r="Q1902" i="14"/>
  <c r="Q1901" i="14"/>
  <c r="Q1898" i="14"/>
  <c r="Q1897" i="14"/>
  <c r="Q1896" i="14"/>
  <c r="I1895" i="14"/>
  <c r="Q1893" i="14"/>
  <c r="I1892" i="14"/>
  <c r="I1891" i="14"/>
  <c r="K1891" i="14" s="1"/>
  <c r="S1891" i="14" s="1"/>
  <c r="Q1887" i="14"/>
  <c r="I1886" i="14"/>
  <c r="Q1885" i="14"/>
  <c r="Q1884" i="14"/>
  <c r="Q1883" i="14"/>
  <c r="Q1881" i="14"/>
  <c r="I1880" i="14"/>
  <c r="K1880" i="14" s="1"/>
  <c r="S1880" i="14" s="1"/>
  <c r="M1877" i="14"/>
  <c r="Q1874" i="14"/>
  <c r="Q1873" i="14"/>
  <c r="I1872" i="14"/>
  <c r="I1871" i="14"/>
  <c r="Q1870" i="14"/>
  <c r="Q1868" i="14"/>
  <c r="Q1867" i="14"/>
  <c r="Q1863" i="14"/>
  <c r="Q1862" i="14"/>
  <c r="Q1861" i="14"/>
  <c r="Q1860" i="14"/>
  <c r="Q1859" i="14"/>
  <c r="Q1858" i="14"/>
  <c r="Q1857" i="14"/>
  <c r="Q1856" i="14"/>
  <c r="Q1855" i="14"/>
  <c r="I1854" i="14"/>
  <c r="K1854" i="14" s="1"/>
  <c r="S1854" i="14" s="1"/>
  <c r="Q1853" i="14"/>
  <c r="I1852" i="14"/>
  <c r="K1852" i="14" s="1"/>
  <c r="S1852" i="14" s="1"/>
  <c r="Q1851" i="14"/>
  <c r="Q1850" i="14"/>
  <c r="I1849" i="14"/>
  <c r="K1849" i="14" s="1"/>
  <c r="S1849" i="14" s="1"/>
  <c r="I1845" i="14"/>
  <c r="K1845" i="14" s="1"/>
  <c r="S1845" i="14" s="1"/>
  <c r="I1841" i="14"/>
  <c r="Q1840" i="14"/>
  <c r="I1839" i="14"/>
  <c r="I1838" i="14"/>
  <c r="Q1837" i="14"/>
  <c r="Q1835" i="14"/>
  <c r="Q1834" i="14"/>
  <c r="B1831" i="14"/>
  <c r="B1832" i="14" s="1"/>
  <c r="B1833" i="14" s="1"/>
  <c r="B1834" i="14" s="1"/>
  <c r="B1835" i="14" s="1"/>
  <c r="B1836" i="14" s="1"/>
  <c r="B1837" i="14" s="1"/>
  <c r="B1838" i="14" s="1"/>
  <c r="B1839" i="14" s="1"/>
  <c r="B1840" i="14" s="1"/>
  <c r="B1841" i="14" s="1"/>
  <c r="B1842" i="14" s="1"/>
  <c r="B1843" i="14" s="1"/>
  <c r="B1844" i="14" s="1"/>
  <c r="B1845" i="14" s="1"/>
  <c r="B1846" i="14" s="1"/>
  <c r="B1847" i="14" s="1"/>
  <c r="B1848" i="14" s="1"/>
  <c r="B1849" i="14" s="1"/>
  <c r="B1850" i="14" s="1"/>
  <c r="B1851" i="14" s="1"/>
  <c r="B1852" i="14" s="1"/>
  <c r="B1853" i="14" s="1"/>
  <c r="B1854" i="14" s="1"/>
  <c r="B1855" i="14" s="1"/>
  <c r="B1856" i="14" s="1"/>
  <c r="B1857" i="14" s="1"/>
  <c r="B1858" i="14" s="1"/>
  <c r="B1859" i="14" s="1"/>
  <c r="B1860" i="14" s="1"/>
  <c r="B1861" i="14" s="1"/>
  <c r="B1862" i="14" s="1"/>
  <c r="B1863" i="14" s="1"/>
  <c r="B1864" i="14" s="1"/>
  <c r="B1865" i="14" s="1"/>
  <c r="B1866" i="14" s="1"/>
  <c r="B1867" i="14" s="1"/>
  <c r="B1868" i="14" s="1"/>
  <c r="B1869" i="14" s="1"/>
  <c r="B1870" i="14" s="1"/>
  <c r="B1871" i="14" s="1"/>
  <c r="B1872" i="14" s="1"/>
  <c r="B1873" i="14" s="1"/>
  <c r="B1874" i="14" s="1"/>
  <c r="B1875" i="14" s="1"/>
  <c r="B1876" i="14" s="1"/>
  <c r="B1877" i="14" s="1"/>
  <c r="B1878" i="14" s="1"/>
  <c r="B1879" i="14" s="1"/>
  <c r="B1880" i="14" s="1"/>
  <c r="B1881" i="14" s="1"/>
  <c r="B1882" i="14" s="1"/>
  <c r="B1883" i="14" s="1"/>
  <c r="B1884" i="14" s="1"/>
  <c r="B1885" i="14" s="1"/>
  <c r="B1886" i="14" s="1"/>
  <c r="B1887" i="14" s="1"/>
  <c r="B1888" i="14" s="1"/>
  <c r="B1889" i="14" s="1"/>
  <c r="B1890" i="14" s="1"/>
  <c r="B1891" i="14" s="1"/>
  <c r="B1892" i="14" s="1"/>
  <c r="B1893" i="14" s="1"/>
  <c r="B1894" i="14" s="1"/>
  <c r="B1895" i="14" s="1"/>
  <c r="B1896" i="14" s="1"/>
  <c r="B1897" i="14" s="1"/>
  <c r="B1898" i="14" s="1"/>
  <c r="B1899" i="14" s="1"/>
  <c r="B1900" i="14" s="1"/>
  <c r="B1901" i="14" s="1"/>
  <c r="B1902" i="14" s="1"/>
  <c r="B1903" i="14" s="1"/>
  <c r="B1904" i="14" s="1"/>
  <c r="B1905" i="14" s="1"/>
  <c r="B1906" i="14" s="1"/>
  <c r="B1907" i="14" s="1"/>
  <c r="B1908" i="14" s="1"/>
  <c r="B1909" i="14" s="1"/>
  <c r="B1910" i="14" s="1"/>
  <c r="B1911" i="14" s="1"/>
  <c r="B1912" i="14" s="1"/>
  <c r="B1913" i="14" s="1"/>
  <c r="B1914" i="14" s="1"/>
  <c r="B1915" i="14" s="1"/>
  <c r="B1916" i="14" s="1"/>
  <c r="B1917" i="14" s="1"/>
  <c r="B1918" i="14" s="1"/>
  <c r="B1919" i="14" s="1"/>
  <c r="B1920" i="14" s="1"/>
  <c r="B1921" i="14" s="1"/>
  <c r="B1922" i="14" s="1"/>
  <c r="B1923" i="14" s="1"/>
  <c r="B1924" i="14" s="1"/>
  <c r="B1925" i="14" s="1"/>
  <c r="B1926" i="14" s="1"/>
  <c r="B1927" i="14" s="1"/>
  <c r="B1928" i="14" s="1"/>
  <c r="B1929" i="14" s="1"/>
  <c r="B1930" i="14" s="1"/>
  <c r="B1931" i="14" s="1"/>
  <c r="B1932" i="14" s="1"/>
  <c r="B1933" i="14" s="1"/>
  <c r="B1934" i="14" s="1"/>
  <c r="B1935" i="14" s="1"/>
  <c r="B1936" i="14" s="1"/>
  <c r="B1937" i="14" s="1"/>
  <c r="B1938" i="14" s="1"/>
  <c r="B1939" i="14" s="1"/>
  <c r="B1940" i="14" s="1"/>
  <c r="B1941" i="14" s="1"/>
  <c r="B1942" i="14" s="1"/>
  <c r="B1943" i="14" s="1"/>
  <c r="B1944" i="14" s="1"/>
  <c r="B1945" i="14" s="1"/>
  <c r="B1946" i="14" s="1"/>
  <c r="B1947" i="14" s="1"/>
  <c r="B1948" i="14" s="1"/>
  <c r="B1949" i="14" s="1"/>
  <c r="B1950" i="14" s="1"/>
  <c r="B1951" i="14" s="1"/>
  <c r="B1952" i="14" s="1"/>
  <c r="B1953" i="14" s="1"/>
  <c r="B1954" i="14" s="1"/>
  <c r="B1955" i="14" s="1"/>
  <c r="B1956" i="14" s="1"/>
  <c r="B1957" i="14" s="1"/>
  <c r="B1958" i="14" s="1"/>
  <c r="B1959" i="14" s="1"/>
  <c r="B1960" i="14" s="1"/>
  <c r="B1961" i="14" s="1"/>
  <c r="B1962" i="14" s="1"/>
  <c r="B1963" i="14" s="1"/>
  <c r="B1964" i="14" s="1"/>
  <c r="B1965" i="14" s="1"/>
  <c r="B1966" i="14" s="1"/>
  <c r="B1967" i="14" s="1"/>
  <c r="B1968" i="14" s="1"/>
  <c r="B1969" i="14" s="1"/>
  <c r="B1970" i="14" s="1"/>
  <c r="B1971" i="14" s="1"/>
  <c r="B1972" i="14" s="1"/>
  <c r="B1973" i="14" s="1"/>
  <c r="B1974" i="14" s="1"/>
  <c r="B1975" i="14" s="1"/>
  <c r="B1976" i="14" s="1"/>
  <c r="B1977" i="14" s="1"/>
  <c r="B1978" i="14" s="1"/>
  <c r="B1979" i="14" s="1"/>
  <c r="B1980" i="14" s="1"/>
  <c r="B1981" i="14" s="1"/>
  <c r="B1982" i="14" s="1"/>
  <c r="B1983" i="14" s="1"/>
  <c r="Q1785" i="14"/>
  <c r="M1784" i="14"/>
  <c r="M1783" i="14"/>
  <c r="I1780" i="14"/>
  <c r="I1779" i="14"/>
  <c r="Q1778" i="14"/>
  <c r="I1777" i="14"/>
  <c r="I1776" i="14"/>
  <c r="I1775" i="14"/>
  <c r="Q1774" i="14"/>
  <c r="I1772" i="14"/>
  <c r="I1771" i="14"/>
  <c r="Q1768" i="14"/>
  <c r="Q1767" i="14"/>
  <c r="I1766" i="14"/>
  <c r="Q1765" i="14"/>
  <c r="Q1761" i="14"/>
  <c r="I1760" i="14"/>
  <c r="Q1757" i="14"/>
  <c r="I1756" i="14"/>
  <c r="Q1754" i="14"/>
  <c r="Q1753" i="14"/>
  <c r="M1752" i="14"/>
  <c r="O1752" i="14" s="1"/>
  <c r="Q1751" i="14"/>
  <c r="M1750" i="14"/>
  <c r="O1750" i="14" s="1"/>
  <c r="S1750" i="14" s="1"/>
  <c r="Q1749" i="14"/>
  <c r="M1748" i="14"/>
  <c r="Q1746" i="14"/>
  <c r="I1745" i="14"/>
  <c r="Q1744" i="14"/>
  <c r="Q1743" i="14"/>
  <c r="I1742" i="14"/>
  <c r="K1742" i="14" s="1"/>
  <c r="Q1741" i="14"/>
  <c r="Q1739" i="14"/>
  <c r="I1738" i="14"/>
  <c r="K1738" i="14" s="1"/>
  <c r="I1737" i="14"/>
  <c r="I1735" i="14"/>
  <c r="Q1734" i="14"/>
  <c r="Q1731" i="14"/>
  <c r="M1730" i="14"/>
  <c r="Q1728" i="14"/>
  <c r="I1727" i="14"/>
  <c r="M1725" i="14"/>
  <c r="M1724" i="14"/>
  <c r="M1723" i="14"/>
  <c r="M1722" i="14"/>
  <c r="Q1720" i="14"/>
  <c r="Q1719" i="14"/>
  <c r="Q1718" i="14"/>
  <c r="Q1717" i="14"/>
  <c r="M1716" i="14"/>
  <c r="I1714" i="14"/>
  <c r="Q1710" i="14"/>
  <c r="Q1709" i="14"/>
  <c r="M1708" i="14"/>
  <c r="Q1706" i="14"/>
  <c r="I1705" i="14"/>
  <c r="Q1704" i="14"/>
  <c r="Q1703" i="14"/>
  <c r="Q1702" i="14"/>
  <c r="Q1701" i="14"/>
  <c r="Q1700" i="14"/>
  <c r="I1699" i="14"/>
  <c r="I1698" i="14"/>
  <c r="Q1697" i="14"/>
  <c r="I1696" i="14"/>
  <c r="K1696" i="14" s="1"/>
  <c r="Q1694" i="14"/>
  <c r="Q1693" i="14"/>
  <c r="Q1692" i="14"/>
  <c r="I1691" i="14"/>
  <c r="I1690" i="14"/>
  <c r="Q1689" i="14"/>
  <c r="I1688" i="14"/>
  <c r="I1687" i="14"/>
  <c r="K1687" i="14" s="1"/>
  <c r="Q1686" i="14"/>
  <c r="Q1684" i="14"/>
  <c r="Q1683" i="14"/>
  <c r="Q1681" i="14"/>
  <c r="M1680" i="14"/>
  <c r="Q1679" i="14"/>
  <c r="M1678" i="14"/>
  <c r="Q1677" i="14"/>
  <c r="Q1674" i="14"/>
  <c r="Q1673" i="14"/>
  <c r="I1672" i="14"/>
  <c r="B1670" i="14"/>
  <c r="B1671" i="14" s="1"/>
  <c r="B1672" i="14" s="1"/>
  <c r="B1673" i="14" s="1"/>
  <c r="Q1611" i="14"/>
  <c r="M1610" i="14"/>
  <c r="Q1608" i="14"/>
  <c r="I1607" i="14"/>
  <c r="Q1605" i="14"/>
  <c r="M1604" i="14"/>
  <c r="Q1602" i="14"/>
  <c r="I1600" i="14"/>
  <c r="Q1599" i="14"/>
  <c r="I1598" i="14"/>
  <c r="I1597" i="14"/>
  <c r="Q1595" i="14"/>
  <c r="I1593" i="14"/>
  <c r="I1592" i="14"/>
  <c r="I1591" i="14"/>
  <c r="Q1588" i="14"/>
  <c r="Q1587" i="14"/>
  <c r="Q1586" i="14"/>
  <c r="Q1585" i="14"/>
  <c r="Q1584" i="14"/>
  <c r="Q1583" i="14"/>
  <c r="Q1582" i="14"/>
  <c r="Q1581" i="14"/>
  <c r="I1580" i="14"/>
  <c r="Q1579" i="14"/>
  <c r="Q1578" i="14"/>
  <c r="Q1577" i="14"/>
  <c r="Q1576" i="14"/>
  <c r="I1575" i="14"/>
  <c r="Q1574" i="14"/>
  <c r="Q1573" i="14"/>
  <c r="Q1572" i="14"/>
  <c r="Q1571" i="14"/>
  <c r="Q1570" i="14"/>
  <c r="I1569" i="14"/>
  <c r="B1566" i="14"/>
  <c r="B1567" i="14" s="1"/>
  <c r="B1568" i="14" s="1"/>
  <c r="M1534" i="14"/>
  <c r="Q1531" i="14"/>
  <c r="Q1530" i="14"/>
  <c r="I1529" i="14"/>
  <c r="Q1528" i="14"/>
  <c r="Q1527" i="14"/>
  <c r="I1526" i="14"/>
  <c r="Q1525" i="14"/>
  <c r="I1524" i="14"/>
  <c r="Q1523" i="14"/>
  <c r="Q1521" i="14"/>
  <c r="Q1520" i="14"/>
  <c r="Q1518" i="14"/>
  <c r="Q1517" i="14"/>
  <c r="Q1516" i="14"/>
  <c r="M1515" i="14"/>
  <c r="Q1514" i="14"/>
  <c r="Q1513" i="14"/>
  <c r="Q1512" i="14"/>
  <c r="Q1511" i="14"/>
  <c r="Q1510" i="14"/>
  <c r="M1509" i="14"/>
  <c r="O1509" i="14" s="1"/>
  <c r="S1509" i="14" s="1"/>
  <c r="Q1507" i="14"/>
  <c r="M1506" i="14"/>
  <c r="Q1505" i="14"/>
  <c r="M1504" i="14"/>
  <c r="Q1503" i="14"/>
  <c r="Q1499" i="14"/>
  <c r="I1498" i="14"/>
  <c r="I1494" i="14" s="1"/>
  <c r="Q1497" i="14"/>
  <c r="Q1496" i="14"/>
  <c r="Q1495" i="14"/>
  <c r="Q1493" i="14"/>
  <c r="Q1492" i="14"/>
  <c r="M1489" i="14"/>
  <c r="Q1488" i="14"/>
  <c r="Q1485" i="14"/>
  <c r="I1484" i="14"/>
  <c r="I1483" i="14"/>
  <c r="Q1482" i="14"/>
  <c r="Q1481" i="14"/>
  <c r="Q1479" i="14"/>
  <c r="Q1478" i="14"/>
  <c r="M1476" i="14"/>
  <c r="M1475" i="14"/>
  <c r="Q1473" i="14"/>
  <c r="M1472" i="14"/>
  <c r="I1469" i="14"/>
  <c r="I1468" i="14"/>
  <c r="I1467" i="14"/>
  <c r="I1466" i="14"/>
  <c r="I1465" i="14"/>
  <c r="K1465" i="14" s="1"/>
  <c r="S1465" i="14" s="1"/>
  <c r="Q1464" i="14"/>
  <c r="I1462" i="14"/>
  <c r="K1462" i="14" s="1"/>
  <c r="S1462" i="14" s="1"/>
  <c r="I1461" i="14"/>
  <c r="M1459" i="14"/>
  <c r="M1457" i="14"/>
  <c r="Q1454" i="14"/>
  <c r="I1453" i="14"/>
  <c r="M1451" i="14"/>
  <c r="M1449" i="14" s="1"/>
  <c r="Q1450" i="14"/>
  <c r="Q1448" i="14"/>
  <c r="Q1447" i="14"/>
  <c r="I1446" i="14"/>
  <c r="Q1443" i="14"/>
  <c r="Q1442" i="14"/>
  <c r="I1441" i="14"/>
  <c r="Q1438" i="14"/>
  <c r="M1437" i="14"/>
  <c r="Q1436" i="14"/>
  <c r="Q1435" i="14"/>
  <c r="Q1434" i="14"/>
  <c r="Q1433" i="14"/>
  <c r="Q1432" i="14"/>
  <c r="Q1431" i="14"/>
  <c r="Q1430" i="14"/>
  <c r="Q1429" i="14"/>
  <c r="Q1428" i="14"/>
  <c r="Q1427" i="14"/>
  <c r="Q1426" i="14"/>
  <c r="I1425" i="14"/>
  <c r="Q1424" i="14"/>
  <c r="Q1423" i="14"/>
  <c r="Q1422" i="14"/>
  <c r="Q1421" i="14"/>
  <c r="Q1420" i="14"/>
  <c r="Q1417" i="14"/>
  <c r="Q1416" i="14"/>
  <c r="I1415" i="14"/>
  <c r="B1413" i="14"/>
  <c r="B1414" i="14" s="1"/>
  <c r="B1415" i="14" s="1"/>
  <c r="B1416" i="14" s="1"/>
  <c r="B1417" i="14" s="1"/>
  <c r="Q1383" i="14"/>
  <c r="I1382" i="14"/>
  <c r="Q1381" i="14"/>
  <c r="Q1380" i="14"/>
  <c r="Q1379" i="14"/>
  <c r="Q1378" i="14"/>
  <c r="Q1377" i="14"/>
  <c r="Q1376" i="14"/>
  <c r="Q1374" i="14"/>
  <c r="I1373" i="14"/>
  <c r="Q1371" i="14"/>
  <c r="Q1370" i="14"/>
  <c r="Q1369" i="14"/>
  <c r="I1368" i="14"/>
  <c r="I1367" i="14"/>
  <c r="K1367" i="14" s="1"/>
  <c r="S1367" i="14" s="1"/>
  <c r="Q1366" i="14"/>
  <c r="I1364" i="14"/>
  <c r="K1364" i="14" s="1"/>
  <c r="S1364" i="14" s="1"/>
  <c r="I1363" i="14"/>
  <c r="Q1361" i="14"/>
  <c r="I1360" i="14"/>
  <c r="Q1359" i="14"/>
  <c r="I1358" i="14"/>
  <c r="I1357" i="14" s="1"/>
  <c r="Q1355" i="14"/>
  <c r="Q1354" i="14"/>
  <c r="Q1353" i="14"/>
  <c r="I1352" i="14"/>
  <c r="K1352" i="14" s="1"/>
  <c r="S1352" i="14" s="1"/>
  <c r="Q1351" i="14"/>
  <c r="Q1350" i="14"/>
  <c r="Q1348" i="14"/>
  <c r="Q1347" i="14"/>
  <c r="Q1346" i="14"/>
  <c r="Q1345" i="14"/>
  <c r="Q1344" i="14"/>
  <c r="Q1343" i="14"/>
  <c r="I1342" i="14"/>
  <c r="K1342" i="14" s="1"/>
  <c r="S1342" i="14" s="1"/>
  <c r="Q1341" i="14"/>
  <c r="Q1340" i="14"/>
  <c r="Q1338" i="14"/>
  <c r="M1337" i="14"/>
  <c r="O1337" i="14" s="1"/>
  <c r="S1337" i="14" s="1"/>
  <c r="Q1335" i="14"/>
  <c r="Q1334" i="14"/>
  <c r="Q1333" i="14"/>
  <c r="Q1332" i="14"/>
  <c r="Q1331" i="14"/>
  <c r="Q1330" i="14"/>
  <c r="I1329" i="14"/>
  <c r="K1329" i="14" s="1"/>
  <c r="S1329" i="14" s="1"/>
  <c r="Q1328" i="14"/>
  <c r="Q1327" i="14"/>
  <c r="Q1326" i="14"/>
  <c r="Q1325" i="14"/>
  <c r="Q1324" i="14"/>
  <c r="Q1323" i="14"/>
  <c r="Q1322" i="14"/>
  <c r="I1321" i="14"/>
  <c r="I1318" i="14" s="1"/>
  <c r="K1318" i="14" s="1"/>
  <c r="Q1320" i="14"/>
  <c r="Q1319" i="14"/>
  <c r="Q1317" i="14"/>
  <c r="Q1316" i="14"/>
  <c r="Q1315" i="14"/>
  <c r="Q1314" i="14"/>
  <c r="Q1313" i="14"/>
  <c r="Q1312" i="14"/>
  <c r="I1311" i="14"/>
  <c r="I1310" i="14"/>
  <c r="I1309" i="14"/>
  <c r="Q1308" i="14"/>
  <c r="Q1307" i="14"/>
  <c r="Q1306" i="14"/>
  <c r="Q1305" i="14"/>
  <c r="Q1304" i="14"/>
  <c r="Q1303" i="14"/>
  <c r="I1302" i="14"/>
  <c r="I1301" i="14"/>
  <c r="I1300" i="14"/>
  <c r="K1300" i="14" s="1"/>
  <c r="S1300" i="14" s="1"/>
  <c r="Q1298" i="14"/>
  <c r="Q1297" i="14"/>
  <c r="I1295" i="14"/>
  <c r="Q1294" i="14"/>
  <c r="I1293" i="14"/>
  <c r="K1293" i="14" s="1"/>
  <c r="S1293" i="14" s="1"/>
  <c r="I1291" i="14"/>
  <c r="I1290" i="14"/>
  <c r="Q1289" i="14"/>
  <c r="Q1288" i="14"/>
  <c r="I1286" i="14"/>
  <c r="Q1285" i="14"/>
  <c r="I1284" i="14"/>
  <c r="K1284" i="14" s="1"/>
  <c r="S1284" i="14" s="1"/>
  <c r="I1282" i="14"/>
  <c r="I1281" i="14"/>
  <c r="M1279" i="14"/>
  <c r="I1275" i="14"/>
  <c r="K1275" i="14" s="1"/>
  <c r="S1275" i="14" s="1"/>
  <c r="Q1274" i="14"/>
  <c r="I1273" i="14"/>
  <c r="K1273" i="14" s="1"/>
  <c r="S1273" i="14" s="1"/>
  <c r="Q1272" i="14"/>
  <c r="I1270" i="14"/>
  <c r="I1269" i="14"/>
  <c r="Q1267" i="14"/>
  <c r="Q1266" i="14"/>
  <c r="I1265" i="14"/>
  <c r="Q1264" i="14"/>
  <c r="I1262" i="14"/>
  <c r="I1261" i="14"/>
  <c r="Q1259" i="14"/>
  <c r="I1258" i="14"/>
  <c r="Q1257" i="14"/>
  <c r="I1256" i="14"/>
  <c r="K1256" i="14" s="1"/>
  <c r="S1256" i="14" s="1"/>
  <c r="Q1254" i="14"/>
  <c r="Q1253" i="14"/>
  <c r="Q1252" i="14"/>
  <c r="I1251" i="14"/>
  <c r="K1251" i="14" s="1"/>
  <c r="S1251" i="14" s="1"/>
  <c r="Q1250" i="14"/>
  <c r="Q1248" i="14"/>
  <c r="Q1247" i="14"/>
  <c r="Q1246" i="14"/>
  <c r="Q1245" i="14"/>
  <c r="Q1244" i="14"/>
  <c r="Q1243" i="14"/>
  <c r="Q1242" i="14"/>
  <c r="I1241" i="14"/>
  <c r="I1240" i="14"/>
  <c r="I1239" i="14"/>
  <c r="K1239" i="14" s="1"/>
  <c r="S1239" i="14" s="1"/>
  <c r="Q1237" i="14"/>
  <c r="Q1236" i="14"/>
  <c r="I1235" i="14"/>
  <c r="I1234" i="14"/>
  <c r="I1233" i="14"/>
  <c r="K1233" i="14" s="1"/>
  <c r="S1233" i="14" s="1"/>
  <c r="Q1231" i="14"/>
  <c r="Q1230" i="14"/>
  <c r="Q1229" i="14"/>
  <c r="Q1228" i="14"/>
  <c r="I1227" i="14"/>
  <c r="K1227" i="14" s="1"/>
  <c r="S1227" i="14" s="1"/>
  <c r="Q1226" i="14"/>
  <c r="I1225" i="14"/>
  <c r="Q1223" i="14"/>
  <c r="Q1222" i="14"/>
  <c r="Q1220" i="14"/>
  <c r="M1219" i="14"/>
  <c r="O1219" i="14" s="1"/>
  <c r="S1219" i="14" s="1"/>
  <c r="Q1217" i="14"/>
  <c r="Q1216" i="14"/>
  <c r="I1215" i="14"/>
  <c r="I1214" i="14"/>
  <c r="K1214" i="14" s="1"/>
  <c r="S1214" i="14" s="1"/>
  <c r="Q1213" i="14"/>
  <c r="I1211" i="14"/>
  <c r="I1210" i="14"/>
  <c r="K1210" i="14" s="1"/>
  <c r="S1210" i="14" s="1"/>
  <c r="Q1208" i="14"/>
  <c r="Q1207" i="14"/>
  <c r="Q1206" i="14"/>
  <c r="I1205" i="14"/>
  <c r="Q1204" i="14"/>
  <c r="Q1203" i="14"/>
  <c r="Q1201" i="14"/>
  <c r="Q1200" i="14"/>
  <c r="Q1199" i="14"/>
  <c r="I1198" i="14"/>
  <c r="Q1197" i="14"/>
  <c r="Q1196" i="14"/>
  <c r="Q1194" i="14"/>
  <c r="Q1193" i="14"/>
  <c r="Q1192" i="14"/>
  <c r="Q1191" i="14"/>
  <c r="Q1190" i="14"/>
  <c r="Q1189" i="14"/>
  <c r="I1188" i="14"/>
  <c r="K1188" i="14" s="1"/>
  <c r="S1188" i="14" s="1"/>
  <c r="Q1187" i="14"/>
  <c r="I1186" i="14"/>
  <c r="K1186" i="14" s="1"/>
  <c r="S1186" i="14" s="1"/>
  <c r="I1185" i="14"/>
  <c r="K1185" i="14" s="1"/>
  <c r="S1185" i="14" s="1"/>
  <c r="Q1183" i="14"/>
  <c r="Q1182" i="14"/>
  <c r="Q1180" i="14"/>
  <c r="Q1179" i="14"/>
  <c r="Q1178" i="14"/>
  <c r="I1177" i="14"/>
  <c r="K1177" i="14" s="1"/>
  <c r="S1177" i="14" s="1"/>
  <c r="Q1175" i="14"/>
  <c r="Q1174" i="14"/>
  <c r="Q1172" i="14"/>
  <c r="Q1171" i="14"/>
  <c r="Q1170" i="14"/>
  <c r="Q1169" i="14"/>
  <c r="I1168" i="14"/>
  <c r="K1168" i="14" s="1"/>
  <c r="S1168" i="14" s="1"/>
  <c r="Q1167" i="14"/>
  <c r="Q1166" i="14"/>
  <c r="Q1164" i="14"/>
  <c r="I1163" i="14"/>
  <c r="I1162" i="14"/>
  <c r="K1162" i="14" s="1"/>
  <c r="S1162" i="14" s="1"/>
  <c r="Q1160" i="14"/>
  <c r="Q1159" i="14"/>
  <c r="Q1157" i="14"/>
  <c r="Q1156" i="14"/>
  <c r="I1155" i="14"/>
  <c r="I1154" i="14"/>
  <c r="K1154" i="14" s="1"/>
  <c r="S1154" i="14" s="1"/>
  <c r="Q1152" i="14"/>
  <c r="Q1151" i="14"/>
  <c r="Q1149" i="14"/>
  <c r="Q1148" i="14"/>
  <c r="Q1147" i="14"/>
  <c r="Q1146" i="14"/>
  <c r="I1145" i="14"/>
  <c r="I1142" i="14" s="1"/>
  <c r="Q1144" i="14"/>
  <c r="Q1143" i="14"/>
  <c r="Q1141" i="14"/>
  <c r="Q1140" i="14"/>
  <c r="Q1139" i="14"/>
  <c r="Q1138" i="14"/>
  <c r="I1137" i="14"/>
  <c r="Q1136" i="14"/>
  <c r="Q1135" i="14"/>
  <c r="Q1133" i="14"/>
  <c r="Q1132" i="14"/>
  <c r="Q1131" i="14"/>
  <c r="I1130" i="14"/>
  <c r="Q1129" i="14"/>
  <c r="Q1128" i="14"/>
  <c r="Q1126" i="14"/>
  <c r="Q1125" i="14"/>
  <c r="Q1124" i="14"/>
  <c r="Q1123" i="14"/>
  <c r="I1122" i="14"/>
  <c r="K1122" i="14" s="1"/>
  <c r="S1122" i="14" s="1"/>
  <c r="Q1121" i="14"/>
  <c r="Q1120" i="14"/>
  <c r="Q1118" i="14"/>
  <c r="Q1117" i="14"/>
  <c r="I1116" i="14"/>
  <c r="K1116" i="14" s="1"/>
  <c r="S1116" i="14" s="1"/>
  <c r="I1115" i="14"/>
  <c r="K1115" i="14" s="1"/>
  <c r="S1115" i="14" s="1"/>
  <c r="Q1113" i="14"/>
  <c r="Q1112" i="14"/>
  <c r="I1109" i="14"/>
  <c r="I1108" i="14"/>
  <c r="K1108" i="14" s="1"/>
  <c r="S1108" i="14" s="1"/>
  <c r="I1107" i="14"/>
  <c r="K1107" i="14" s="1"/>
  <c r="S1107" i="14" s="1"/>
  <c r="I1106" i="14"/>
  <c r="K1106" i="14" s="1"/>
  <c r="S1106" i="14" s="1"/>
  <c r="I1105" i="14"/>
  <c r="K1105" i="14" s="1"/>
  <c r="S1105" i="14" s="1"/>
  <c r="Q1101" i="14"/>
  <c r="I1100" i="14"/>
  <c r="K1100" i="14" s="1"/>
  <c r="S1100" i="14" s="1"/>
  <c r="Q1099" i="14"/>
  <c r="I1098" i="14"/>
  <c r="I1097" i="14"/>
  <c r="K1097" i="14" s="1"/>
  <c r="S1097" i="14" s="1"/>
  <c r="I1096" i="14"/>
  <c r="K1096" i="14" s="1"/>
  <c r="S1096" i="14" s="1"/>
  <c r="Q1095" i="14"/>
  <c r="I1093" i="14"/>
  <c r="I1092" i="14"/>
  <c r="K1092" i="14" s="1"/>
  <c r="S1092" i="14" s="1"/>
  <c r="Q1090" i="14"/>
  <c r="Q1089" i="14"/>
  <c r="Q1088" i="14"/>
  <c r="Q1087" i="14"/>
  <c r="I1086" i="14"/>
  <c r="I1083" i="14" s="1"/>
  <c r="Q1085" i="14"/>
  <c r="Q1084" i="14"/>
  <c r="Q1082" i="14"/>
  <c r="Q1081" i="14"/>
  <c r="Q1080" i="14"/>
  <c r="Q1079" i="14"/>
  <c r="I1078" i="14"/>
  <c r="Q1077" i="14"/>
  <c r="Q1076" i="14"/>
  <c r="Q1074" i="14"/>
  <c r="Q1073" i="14"/>
  <c r="I1072" i="14"/>
  <c r="K1072" i="14" s="1"/>
  <c r="S1072" i="14" s="1"/>
  <c r="Q1071" i="14"/>
  <c r="I1069" i="14"/>
  <c r="I1068" i="14"/>
  <c r="Q1066" i="14"/>
  <c r="Q1065" i="14"/>
  <c r="Q1064" i="14"/>
  <c r="Q1063" i="14"/>
  <c r="I1062" i="14"/>
  <c r="I1061" i="14"/>
  <c r="I1060" i="14"/>
  <c r="Q1058" i="14"/>
  <c r="Q1057" i="14"/>
  <c r="Q1056" i="14"/>
  <c r="Q1054" i="14"/>
  <c r="Q1053" i="14"/>
  <c r="I1052" i="14"/>
  <c r="K1052" i="14" s="1"/>
  <c r="S1052" i="14" s="1"/>
  <c r="I1051" i="14"/>
  <c r="I1050" i="14"/>
  <c r="K1050" i="14" s="1"/>
  <c r="S1050" i="14" s="1"/>
  <c r="Q1048" i="14"/>
  <c r="Q1047" i="14"/>
  <c r="I1046" i="14"/>
  <c r="K1046" i="14" s="1"/>
  <c r="S1046" i="14" s="1"/>
  <c r="Q1045" i="14"/>
  <c r="I1044" i="14"/>
  <c r="K1044" i="14" s="1"/>
  <c r="S1044" i="14" s="1"/>
  <c r="I1042" i="14"/>
  <c r="I1041" i="14"/>
  <c r="Q1039" i="14"/>
  <c r="Q1038" i="14"/>
  <c r="Q1037" i="14"/>
  <c r="Q1036" i="14"/>
  <c r="I1035" i="14"/>
  <c r="I1034" i="14"/>
  <c r="I1033" i="14"/>
  <c r="K1033" i="14" s="1"/>
  <c r="S1033" i="14" s="1"/>
  <c r="Q1031" i="14"/>
  <c r="Q1030" i="14"/>
  <c r="Q1029" i="14"/>
  <c r="Q1028" i="14"/>
  <c r="I1027" i="14"/>
  <c r="K1027" i="14" s="1"/>
  <c r="S1027" i="14" s="1"/>
  <c r="Q1026" i="14"/>
  <c r="Q1025" i="14"/>
  <c r="Q1023" i="14"/>
  <c r="Q1022" i="14"/>
  <c r="Q1021" i="14"/>
  <c r="I1020" i="14"/>
  <c r="I1019" i="14"/>
  <c r="K1019" i="14" s="1"/>
  <c r="S1019" i="14" s="1"/>
  <c r="I1018" i="14"/>
  <c r="I1016" i="14"/>
  <c r="I1015" i="14"/>
  <c r="K1015" i="14" s="1"/>
  <c r="S1015" i="14" s="1"/>
  <c r="I1013" i="14"/>
  <c r="K1013" i="14" s="1"/>
  <c r="S1013" i="14" s="1"/>
  <c r="Q1012" i="14"/>
  <c r="I1011" i="14"/>
  <c r="Q1010" i="14"/>
  <c r="I1009" i="14"/>
  <c r="K1009" i="14" s="1"/>
  <c r="S1009" i="14" s="1"/>
  <c r="I1007" i="14"/>
  <c r="Q1006" i="14"/>
  <c r="I1004" i="14"/>
  <c r="K1004" i="14" s="1"/>
  <c r="S1004" i="14" s="1"/>
  <c r="I1003" i="14"/>
  <c r="K1003" i="14" s="1"/>
  <c r="S1003" i="14" s="1"/>
  <c r="I1002" i="14"/>
  <c r="I1001" i="14"/>
  <c r="I1000" i="14"/>
  <c r="I999" i="14"/>
  <c r="I998" i="14"/>
  <c r="K998" i="14" s="1"/>
  <c r="S998" i="14" s="1"/>
  <c r="I997" i="14"/>
  <c r="Q992" i="14"/>
  <c r="Q991" i="14"/>
  <c r="I990" i="14"/>
  <c r="I989" i="14"/>
  <c r="I988" i="14"/>
  <c r="I987" i="14"/>
  <c r="K987" i="14" s="1"/>
  <c r="S987" i="14" s="1"/>
  <c r="I985" i="14"/>
  <c r="I984" i="14"/>
  <c r="Q983" i="14"/>
  <c r="Q982" i="14"/>
  <c r="Q981" i="14"/>
  <c r="Q980" i="14"/>
  <c r="Q979" i="14"/>
  <c r="Q978" i="14"/>
  <c r="I977" i="14"/>
  <c r="K977" i="14" s="1"/>
  <c r="S977" i="14" s="1"/>
  <c r="I976" i="14"/>
  <c r="I975" i="14"/>
  <c r="Q972" i="14"/>
  <c r="Q971" i="14"/>
  <c r="I970" i="14"/>
  <c r="K970" i="14" s="1"/>
  <c r="S970" i="14" s="1"/>
  <c r="Q969" i="14"/>
  <c r="Q968" i="14"/>
  <c r="I967" i="14"/>
  <c r="Q966" i="14"/>
  <c r="Q965" i="14"/>
  <c r="I963" i="14"/>
  <c r="I962" i="14"/>
  <c r="I961" i="14"/>
  <c r="Q960" i="14"/>
  <c r="Q959" i="14"/>
  <c r="I958" i="14"/>
  <c r="I953" i="14" s="1"/>
  <c r="Q957" i="14"/>
  <c r="Q956" i="14"/>
  <c r="Q955" i="14"/>
  <c r="Q954" i="14"/>
  <c r="I952" i="14"/>
  <c r="K952" i="14" s="1"/>
  <c r="S952" i="14" s="1"/>
  <c r="I951" i="14"/>
  <c r="Q948" i="14"/>
  <c r="Q947" i="14"/>
  <c r="I946" i="14"/>
  <c r="K946" i="14" s="1"/>
  <c r="S946" i="14" s="1"/>
  <c r="Q944" i="14"/>
  <c r="Q943" i="14"/>
  <c r="Q942" i="14"/>
  <c r="Q941" i="14"/>
  <c r="I939" i="14"/>
  <c r="K939" i="14" s="1"/>
  <c r="S939" i="14" s="1"/>
  <c r="I938" i="14"/>
  <c r="K938" i="14" s="1"/>
  <c r="S938" i="14" s="1"/>
  <c r="Q937" i="14"/>
  <c r="Q936" i="14"/>
  <c r="Q934" i="14"/>
  <c r="Q933" i="14"/>
  <c r="Q932" i="14"/>
  <c r="Q931" i="14"/>
  <c r="I930" i="14"/>
  <c r="Q930" i="14" s="1"/>
  <c r="Q929" i="14"/>
  <c r="I927" i="14"/>
  <c r="I926" i="14"/>
  <c r="K926" i="14" s="1"/>
  <c r="S926" i="14" s="1"/>
  <c r="M924" i="14"/>
  <c r="M923" i="14" s="1"/>
  <c r="Q920" i="14"/>
  <c r="I919" i="14"/>
  <c r="Q918" i="14"/>
  <c r="Q916" i="14"/>
  <c r="Q915" i="14"/>
  <c r="I914" i="14"/>
  <c r="I913" i="14"/>
  <c r="K913" i="14" s="1"/>
  <c r="S913" i="14" s="1"/>
  <c r="Q912" i="14"/>
  <c r="I910" i="14"/>
  <c r="I909" i="14"/>
  <c r="I908" i="14"/>
  <c r="Q907" i="14"/>
  <c r="Q905" i="14"/>
  <c r="Q904" i="14"/>
  <c r="I903" i="14"/>
  <c r="K903" i="14" s="1"/>
  <c r="S903" i="14" s="1"/>
  <c r="Q902" i="14"/>
  <c r="Q901" i="14"/>
  <c r="I899" i="14"/>
  <c r="I898" i="14"/>
  <c r="Q896" i="14"/>
  <c r="M895" i="14"/>
  <c r="O895" i="14" s="1"/>
  <c r="S895" i="14" s="1"/>
  <c r="Q891" i="14"/>
  <c r="I890" i="14"/>
  <c r="I889" i="14"/>
  <c r="Q887" i="14"/>
  <c r="I886" i="14"/>
  <c r="I885" i="14"/>
  <c r="Q884" i="14"/>
  <c r="I882" i="14"/>
  <c r="I881" i="14"/>
  <c r="I880" i="14"/>
  <c r="I879" i="14"/>
  <c r="Q877" i="14"/>
  <c r="Q876" i="14"/>
  <c r="I875" i="14"/>
  <c r="I874" i="14"/>
  <c r="K874" i="14" s="1"/>
  <c r="S874" i="14" s="1"/>
  <c r="Q873" i="14"/>
  <c r="I871" i="14"/>
  <c r="I870" i="14"/>
  <c r="Q867" i="14"/>
  <c r="Q866" i="14"/>
  <c r="Q865" i="14"/>
  <c r="Q864" i="14"/>
  <c r="I863" i="14"/>
  <c r="K863" i="14" s="1"/>
  <c r="S863" i="14" s="1"/>
  <c r="Q862" i="14"/>
  <c r="Q861" i="14"/>
  <c r="I859" i="14"/>
  <c r="I858" i="14"/>
  <c r="Q857" i="14"/>
  <c r="Q856" i="14"/>
  <c r="Q855" i="14"/>
  <c r="Q854" i="14"/>
  <c r="Q853" i="14"/>
  <c r="I852" i="14"/>
  <c r="Q851" i="14"/>
  <c r="I849" i="14"/>
  <c r="I848" i="14"/>
  <c r="K848" i="14" s="1"/>
  <c r="S848" i="14" s="1"/>
  <c r="M846" i="14"/>
  <c r="O846" i="14" s="1"/>
  <c r="S846" i="14" s="1"/>
  <c r="Q842" i="14"/>
  <c r="Q841" i="14"/>
  <c r="I840" i="14"/>
  <c r="K840" i="14" s="1"/>
  <c r="S840" i="14" s="1"/>
  <c r="I839" i="14"/>
  <c r="K839" i="14" s="1"/>
  <c r="S839" i="14" s="1"/>
  <c r="I838" i="14"/>
  <c r="Q837" i="14"/>
  <c r="Q836" i="14"/>
  <c r="I834" i="14"/>
  <c r="I833" i="14"/>
  <c r="Q832" i="14"/>
  <c r="I831" i="14"/>
  <c r="I830" i="14"/>
  <c r="Q829" i="14"/>
  <c r="I828" i="14"/>
  <c r="K828" i="14" s="1"/>
  <c r="S828" i="14" s="1"/>
  <c r="Q827" i="14"/>
  <c r="Q826" i="14"/>
  <c r="I824" i="14"/>
  <c r="I823" i="14"/>
  <c r="Q820" i="14"/>
  <c r="Q819" i="14"/>
  <c r="I818" i="14"/>
  <c r="I817" i="14"/>
  <c r="K817" i="14" s="1"/>
  <c r="S817" i="14" s="1"/>
  <c r="Q816" i="14"/>
  <c r="I815" i="14"/>
  <c r="I814" i="14"/>
  <c r="K814" i="14" s="1"/>
  <c r="S814" i="14" s="1"/>
  <c r="Q813" i="14"/>
  <c r="I811" i="14"/>
  <c r="I810" i="14"/>
  <c r="Q809" i="14"/>
  <c r="Q808" i="14"/>
  <c r="Q807" i="14"/>
  <c r="I806" i="14"/>
  <c r="Q805" i="14"/>
  <c r="I804" i="14"/>
  <c r="K804" i="14" s="1"/>
  <c r="S804" i="14" s="1"/>
  <c r="Q803" i="14"/>
  <c r="I801" i="14"/>
  <c r="K801" i="14" s="1"/>
  <c r="S801" i="14" s="1"/>
  <c r="I800" i="14"/>
  <c r="Q798" i="14"/>
  <c r="Q796" i="14"/>
  <c r="Q795" i="14"/>
  <c r="Q794" i="14"/>
  <c r="I793" i="14"/>
  <c r="Q792" i="14"/>
  <c r="I790" i="14"/>
  <c r="I789" i="14"/>
  <c r="K789" i="14" s="1"/>
  <c r="S789" i="14" s="1"/>
  <c r="Q786" i="14"/>
  <c r="Q783" i="14"/>
  <c r="I782" i="14"/>
  <c r="Q781" i="14"/>
  <c r="I780" i="14"/>
  <c r="I779" i="14"/>
  <c r="Q778" i="14"/>
  <c r="I776" i="14"/>
  <c r="I775" i="14"/>
  <c r="K775" i="14" s="1"/>
  <c r="S775" i="14" s="1"/>
  <c r="Q773" i="14"/>
  <c r="M772" i="14"/>
  <c r="Q771" i="14"/>
  <c r="I770" i="14"/>
  <c r="Q769" i="14"/>
  <c r="Q768" i="14"/>
  <c r="I767" i="14"/>
  <c r="Q766" i="14"/>
  <c r="I764" i="14"/>
  <c r="I763" i="14"/>
  <c r="Q761" i="14"/>
  <c r="Q760" i="14"/>
  <c r="Q759" i="14"/>
  <c r="I758" i="14"/>
  <c r="I756" i="14" s="1"/>
  <c r="Q757" i="14"/>
  <c r="I755" i="14"/>
  <c r="I754" i="14"/>
  <c r="K754" i="14" s="1"/>
  <c r="S754" i="14" s="1"/>
  <c r="Q752" i="14"/>
  <c r="M751" i="14"/>
  <c r="O751" i="14" s="1"/>
  <c r="S751" i="14" s="1"/>
  <c r="I749" i="14"/>
  <c r="Q748" i="14"/>
  <c r="I747" i="14"/>
  <c r="K747" i="14" s="1"/>
  <c r="S747" i="14" s="1"/>
  <c r="Q746" i="14"/>
  <c r="I744" i="14"/>
  <c r="I743" i="14"/>
  <c r="M741" i="14"/>
  <c r="O741" i="14" s="1"/>
  <c r="S741" i="14" s="1"/>
  <c r="Q738" i="14"/>
  <c r="I737" i="14"/>
  <c r="K737" i="14" s="1"/>
  <c r="S737" i="14" s="1"/>
  <c r="Q736" i="14"/>
  <c r="I735" i="14"/>
  <c r="Q734" i="14"/>
  <c r="I732" i="14"/>
  <c r="K732" i="14" s="1"/>
  <c r="S732" i="14" s="1"/>
  <c r="I731" i="14"/>
  <c r="M729" i="14"/>
  <c r="O729" i="14" s="1"/>
  <c r="S729" i="14" s="1"/>
  <c r="Q727" i="14"/>
  <c r="M726" i="14"/>
  <c r="O726" i="14" s="1"/>
  <c r="S726" i="14" s="1"/>
  <c r="Q724" i="14"/>
  <c r="I723" i="14"/>
  <c r="Q722" i="14"/>
  <c r="I721" i="14"/>
  <c r="K721" i="14" s="1"/>
  <c r="S721" i="14" s="1"/>
  <c r="Q720" i="14"/>
  <c r="I718" i="14"/>
  <c r="K718" i="14" s="1"/>
  <c r="S718" i="14" s="1"/>
  <c r="I717" i="14"/>
  <c r="Q715" i="14"/>
  <c r="M714" i="14"/>
  <c r="O714" i="14" s="1"/>
  <c r="S714" i="14" s="1"/>
  <c r="Q711" i="14"/>
  <c r="I710" i="14"/>
  <c r="K710" i="14" s="1"/>
  <c r="S710" i="14" s="1"/>
  <c r="I709" i="14"/>
  <c r="I708" i="14"/>
  <c r="K708" i="14" s="1"/>
  <c r="S708" i="14" s="1"/>
  <c r="Q707" i="14"/>
  <c r="I705" i="14"/>
  <c r="I704" i="14"/>
  <c r="K704" i="14" s="1"/>
  <c r="S704" i="14" s="1"/>
  <c r="Q702" i="14"/>
  <c r="I701" i="14"/>
  <c r="Q700" i="14"/>
  <c r="I699" i="14"/>
  <c r="Q698" i="14"/>
  <c r="I696" i="14"/>
  <c r="I695" i="14"/>
  <c r="Q693" i="14"/>
  <c r="Q692" i="14" s="1"/>
  <c r="Q691" i="14" s="1"/>
  <c r="M692" i="14"/>
  <c r="I692" i="14"/>
  <c r="Q690" i="14"/>
  <c r="I689" i="14"/>
  <c r="I688" i="14"/>
  <c r="I687" i="14"/>
  <c r="Q686" i="14"/>
  <c r="I684" i="14"/>
  <c r="I683" i="14"/>
  <c r="Q681" i="14"/>
  <c r="I680" i="14"/>
  <c r="Q679" i="14"/>
  <c r="I678" i="14"/>
  <c r="Q677" i="14"/>
  <c r="I675" i="14"/>
  <c r="I674" i="14"/>
  <c r="Q672" i="14"/>
  <c r="I671" i="14"/>
  <c r="K671" i="14" s="1"/>
  <c r="S671" i="14" s="1"/>
  <c r="I670" i="14"/>
  <c r="I669" i="14"/>
  <c r="Q668" i="14"/>
  <c r="I666" i="14"/>
  <c r="I665" i="14"/>
  <c r="Q663" i="14"/>
  <c r="I662" i="14"/>
  <c r="Q661" i="14"/>
  <c r="I660" i="14"/>
  <c r="K660" i="14" s="1"/>
  <c r="S660" i="14" s="1"/>
  <c r="Q659" i="14"/>
  <c r="I657" i="14"/>
  <c r="I656" i="14"/>
  <c r="Q654" i="14"/>
  <c r="M653" i="14"/>
  <c r="O653" i="14" s="1"/>
  <c r="I653" i="14"/>
  <c r="Q651" i="14"/>
  <c r="Q650" i="14"/>
  <c r="I649" i="14"/>
  <c r="I648" i="14"/>
  <c r="Q647" i="14"/>
  <c r="I645" i="14"/>
  <c r="I644" i="14"/>
  <c r="K644" i="14" s="1"/>
  <c r="S644" i="14" s="1"/>
  <c r="I642" i="14"/>
  <c r="K642" i="14" s="1"/>
  <c r="S642" i="14" s="1"/>
  <c r="I641" i="14"/>
  <c r="K641" i="14" s="1"/>
  <c r="S641" i="14" s="1"/>
  <c r="Q640" i="14"/>
  <c r="I639" i="14"/>
  <c r="K639" i="14" s="1"/>
  <c r="S639" i="14" s="1"/>
  <c r="Q638" i="14"/>
  <c r="I636" i="14"/>
  <c r="I635" i="14"/>
  <c r="Q633" i="14"/>
  <c r="I632" i="14"/>
  <c r="Q631" i="14"/>
  <c r="I630" i="14"/>
  <c r="Q629" i="14"/>
  <c r="I627" i="14"/>
  <c r="K627" i="14" s="1"/>
  <c r="S627" i="14" s="1"/>
  <c r="I626" i="14"/>
  <c r="Q624" i="14"/>
  <c r="I623" i="14"/>
  <c r="Q622" i="14"/>
  <c r="I621" i="14"/>
  <c r="K621" i="14" s="1"/>
  <c r="S621" i="14" s="1"/>
  <c r="M619" i="14"/>
  <c r="Q616" i="14"/>
  <c r="I615" i="14"/>
  <c r="K615" i="14" s="1"/>
  <c r="S615" i="14" s="1"/>
  <c r="Q614" i="14"/>
  <c r="I613" i="14"/>
  <c r="I612" i="14"/>
  <c r="K612" i="14" s="1"/>
  <c r="S612" i="14" s="1"/>
  <c r="Q611" i="14"/>
  <c r="I609" i="14"/>
  <c r="K609" i="14" s="1"/>
  <c r="S609" i="14" s="1"/>
  <c r="I608" i="14"/>
  <c r="I606" i="14"/>
  <c r="I605" i="14"/>
  <c r="I604" i="14"/>
  <c r="I603" i="14"/>
  <c r="I602" i="14"/>
  <c r="I601" i="14"/>
  <c r="I600" i="14"/>
  <c r="K600" i="14" s="1"/>
  <c r="S600" i="14" s="1"/>
  <c r="I599" i="14"/>
  <c r="K599" i="14" s="1"/>
  <c r="S599" i="14" s="1"/>
  <c r="I597" i="14"/>
  <c r="B594" i="14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B622" i="14" s="1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B636" i="14" s="1"/>
  <c r="B637" i="14" s="1"/>
  <c r="B638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B671" i="14" s="1"/>
  <c r="B672" i="14" s="1"/>
  <c r="B673" i="14" s="1"/>
  <c r="B674" i="14" s="1"/>
  <c r="B675" i="14" s="1"/>
  <c r="B676" i="14" s="1"/>
  <c r="B677" i="14" s="1"/>
  <c r="B678" i="14" s="1"/>
  <c r="B679" i="14" s="1"/>
  <c r="B680" i="14" s="1"/>
  <c r="B681" i="14" s="1"/>
  <c r="B682" i="14" s="1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B698" i="14" s="1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B731" i="14" s="1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4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B754" i="14" s="1"/>
  <c r="B755" i="14" s="1"/>
  <c r="B756" i="14" s="1"/>
  <c r="B757" i="14" s="1"/>
  <c r="B758" i="14" s="1"/>
  <c r="B759" i="14" s="1"/>
  <c r="B760" i="14" s="1"/>
  <c r="B761" i="14" s="1"/>
  <c r="B762" i="14" s="1"/>
  <c r="B763" i="14" s="1"/>
  <c r="B764" i="14" s="1"/>
  <c r="B765" i="14" s="1"/>
  <c r="B766" i="14" s="1"/>
  <c r="B767" i="14" s="1"/>
  <c r="B768" i="14" s="1"/>
  <c r="B769" i="14" s="1"/>
  <c r="B770" i="14" s="1"/>
  <c r="B771" i="14" s="1"/>
  <c r="B772" i="14" s="1"/>
  <c r="B773" i="14" s="1"/>
  <c r="B774" i="14" s="1"/>
  <c r="B775" i="14" s="1"/>
  <c r="B776" i="14" s="1"/>
  <c r="B777" i="14" s="1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B791" i="14" s="1"/>
  <c r="B792" i="14" s="1"/>
  <c r="B793" i="14" s="1"/>
  <c r="B794" i="14" s="1"/>
  <c r="B795" i="14" s="1"/>
  <c r="B796" i="14" s="1"/>
  <c r="B797" i="14" s="1"/>
  <c r="B798" i="14" s="1"/>
  <c r="B799" i="14" s="1"/>
  <c r="B800" i="14" s="1"/>
  <c r="B801" i="14" s="1"/>
  <c r="B802" i="14" s="1"/>
  <c r="B803" i="14" s="1"/>
  <c r="Q557" i="14"/>
  <c r="Q556" i="14"/>
  <c r="Q555" i="14"/>
  <c r="M554" i="14"/>
  <c r="Q553" i="14"/>
  <c r="M552" i="14"/>
  <c r="Q551" i="14"/>
  <c r="Q550" i="14"/>
  <c r="M549" i="14"/>
  <c r="Q548" i="14"/>
  <c r="M547" i="14"/>
  <c r="Q546" i="14"/>
  <c r="Q545" i="14"/>
  <c r="Q544" i="14"/>
  <c r="M543" i="14"/>
  <c r="Q542" i="14"/>
  <c r="M541" i="14"/>
  <c r="Q540" i="14"/>
  <c r="M539" i="14"/>
  <c r="Q538" i="14"/>
  <c r="Q537" i="14"/>
  <c r="Q536" i="14"/>
  <c r="Q535" i="14"/>
  <c r="M534" i="14"/>
  <c r="M533" i="14"/>
  <c r="M532" i="14"/>
  <c r="Q531" i="14"/>
  <c r="M530" i="14"/>
  <c r="M529" i="14"/>
  <c r="M528" i="14"/>
  <c r="M527" i="14"/>
  <c r="Q526" i="14"/>
  <c r="M525" i="14"/>
  <c r="M524" i="14"/>
  <c r="M523" i="14"/>
  <c r="Q522" i="14"/>
  <c r="Q521" i="14"/>
  <c r="Q520" i="14"/>
  <c r="M519" i="14"/>
  <c r="M518" i="14"/>
  <c r="Q517" i="14"/>
  <c r="M516" i="14"/>
  <c r="Q515" i="14"/>
  <c r="Q514" i="14"/>
  <c r="M513" i="14"/>
  <c r="Q512" i="14"/>
  <c r="M511" i="14"/>
  <c r="M510" i="14"/>
  <c r="Q509" i="14"/>
  <c r="M508" i="14"/>
  <c r="Q507" i="14"/>
  <c r="M506" i="14"/>
  <c r="Q505" i="14"/>
  <c r="Q504" i="14"/>
  <c r="Q503" i="14"/>
  <c r="M502" i="14"/>
  <c r="O502" i="14" s="1"/>
  <c r="S502" i="14" s="1"/>
  <c r="M501" i="14"/>
  <c r="M500" i="14"/>
  <c r="Q499" i="14"/>
  <c r="Q498" i="14"/>
  <c r="Q497" i="14"/>
  <c r="M496" i="14"/>
  <c r="M495" i="14"/>
  <c r="Q494" i="14"/>
  <c r="M493" i="14"/>
  <c r="Q491" i="14"/>
  <c r="M490" i="14"/>
  <c r="Q489" i="14"/>
  <c r="Q488" i="14"/>
  <c r="Q487" i="14"/>
  <c r="Q486" i="14"/>
  <c r="M485" i="14"/>
  <c r="M484" i="14"/>
  <c r="M483" i="14"/>
  <c r="M482" i="14"/>
  <c r="Q481" i="14"/>
  <c r="Q480" i="14"/>
  <c r="M479" i="14"/>
  <c r="M478" i="14"/>
  <c r="O478" i="14" s="1"/>
  <c r="S478" i="14" s="1"/>
  <c r="Q477" i="14"/>
  <c r="Q476" i="14"/>
  <c r="Q475" i="14"/>
  <c r="Q474" i="14"/>
  <c r="Q472" i="14"/>
  <c r="Q471" i="14" s="1"/>
  <c r="M471" i="14"/>
  <c r="O471" i="14" s="1"/>
  <c r="Q468" i="14"/>
  <c r="M467" i="14"/>
  <c r="I465" i="14"/>
  <c r="I464" i="14"/>
  <c r="I463" i="14"/>
  <c r="K463" i="14" s="1"/>
  <c r="S463" i="14" s="1"/>
  <c r="I462" i="14"/>
  <c r="Q461" i="14"/>
  <c r="Q458" i="14"/>
  <c r="I457" i="14"/>
  <c r="K457" i="14" s="1"/>
  <c r="S457" i="14" s="1"/>
  <c r="Q456" i="14"/>
  <c r="I455" i="14"/>
  <c r="Q454" i="14"/>
  <c r="Q453" i="14"/>
  <c r="Q452" i="14"/>
  <c r="Q450" i="14"/>
  <c r="Q449" i="14"/>
  <c r="Q447" i="14"/>
  <c r="Q446" i="14"/>
  <c r="Q445" i="14"/>
  <c r="I444" i="14"/>
  <c r="Q443" i="14"/>
  <c r="I442" i="14"/>
  <c r="K442" i="14" s="1"/>
  <c r="S442" i="14" s="1"/>
  <c r="Q438" i="14"/>
  <c r="Q437" i="14"/>
  <c r="I436" i="14"/>
  <c r="B435" i="14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Q392" i="14"/>
  <c r="Q391" i="14"/>
  <c r="Q390" i="14"/>
  <c r="I389" i="14"/>
  <c r="Q387" i="14"/>
  <c r="Q386" i="14"/>
  <c r="Q385" i="14"/>
  <c r="Q384" i="14"/>
  <c r="I383" i="14"/>
  <c r="K383" i="14" s="1"/>
  <c r="S383" i="14" s="1"/>
  <c r="Q381" i="14"/>
  <c r="I380" i="14"/>
  <c r="Q378" i="14"/>
  <c r="M377" i="14"/>
  <c r="M376" i="14" s="1"/>
  <c r="Q375" i="14"/>
  <c r="I374" i="14"/>
  <c r="K374" i="14" s="1"/>
  <c r="S374" i="14" s="1"/>
  <c r="Q372" i="14"/>
  <c r="M371" i="14"/>
  <c r="Q369" i="14"/>
  <c r="Q368" i="14"/>
  <c r="Q367" i="14"/>
  <c r="Q366" i="14"/>
  <c r="Q365" i="14"/>
  <c r="Q364" i="14"/>
  <c r="Q363" i="14"/>
  <c r="I362" i="14"/>
  <c r="Q361" i="14"/>
  <c r="Q360" i="14"/>
  <c r="Q358" i="14"/>
  <c r="M357" i="14"/>
  <c r="O357" i="14" s="1"/>
  <c r="S357" i="14" s="1"/>
  <c r="Q356" i="14"/>
  <c r="Q355" i="14"/>
  <c r="M354" i="14"/>
  <c r="Q353" i="14"/>
  <c r="Q351" i="14"/>
  <c r="I350" i="14"/>
  <c r="Q348" i="14"/>
  <c r="M347" i="14"/>
  <c r="M346" i="14"/>
  <c r="Q346" i="14" s="1"/>
  <c r="M344" i="14"/>
  <c r="I341" i="14"/>
  <c r="Q340" i="14"/>
  <c r="I339" i="14"/>
  <c r="Q338" i="14"/>
  <c r="I337" i="14"/>
  <c r="I336" i="14"/>
  <c r="K336" i="14" s="1"/>
  <c r="S336" i="14" s="1"/>
  <c r="Q335" i="14"/>
  <c r="I334" i="14"/>
  <c r="Q333" i="14"/>
  <c r="Q332" i="14"/>
  <c r="Q330" i="14"/>
  <c r="I329" i="14"/>
  <c r="K329" i="14" s="1"/>
  <c r="S329" i="14" s="1"/>
  <c r="B328" i="14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359" i="14" s="1"/>
  <c r="B360" i="14" s="1"/>
  <c r="B361" i="14" s="1"/>
  <c r="B362" i="14" s="1"/>
  <c r="B363" i="14" s="1"/>
  <c r="B364" i="14" s="1"/>
  <c r="B365" i="14" s="1"/>
  <c r="B366" i="14" s="1"/>
  <c r="B367" i="14" s="1"/>
  <c r="B368" i="14" s="1"/>
  <c r="B369" i="14" s="1"/>
  <c r="B370" i="14" s="1"/>
  <c r="B371" i="14" s="1"/>
  <c r="B372" i="14" s="1"/>
  <c r="B373" i="14" s="1"/>
  <c r="B374" i="14" s="1"/>
  <c r="B375" i="14" s="1"/>
  <c r="B376" i="14" s="1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B392" i="14" s="1"/>
  <c r="Q288" i="14"/>
  <c r="Q287" i="14"/>
  <c r="Q286" i="14"/>
  <c r="Q285" i="14"/>
  <c r="I284" i="14"/>
  <c r="M281" i="14"/>
  <c r="Q280" i="14"/>
  <c r="Q278" i="14"/>
  <c r="Q277" i="14"/>
  <c r="M276" i="14"/>
  <c r="Q274" i="14"/>
  <c r="Q273" i="14"/>
  <c r="I272" i="14"/>
  <c r="Q271" i="14"/>
  <c r="Q270" i="14"/>
  <c r="Q269" i="14"/>
  <c r="Q266" i="14"/>
  <c r="I265" i="14"/>
  <c r="I264" i="14"/>
  <c r="Q263" i="14"/>
  <c r="Q262" i="14"/>
  <c r="Q261" i="14"/>
  <c r="Q259" i="14"/>
  <c r="Q258" i="14"/>
  <c r="M256" i="14"/>
  <c r="O256" i="14" s="1"/>
  <c r="Q255" i="14"/>
  <c r="Q254" i="14"/>
  <c r="Q253" i="14"/>
  <c r="Q252" i="14"/>
  <c r="Q251" i="14"/>
  <c r="I250" i="14"/>
  <c r="Q249" i="14"/>
  <c r="Q248" i="14"/>
  <c r="Q245" i="14"/>
  <c r="Q244" i="14"/>
  <c r="Q243" i="14"/>
  <c r="Q242" i="14"/>
  <c r="Q241" i="14"/>
  <c r="I240" i="14"/>
  <c r="Q239" i="14"/>
  <c r="Q238" i="14"/>
  <c r="Q236" i="14"/>
  <c r="Q235" i="14"/>
  <c r="I234" i="14"/>
  <c r="K234" i="14" s="1"/>
  <c r="S234" i="14" s="1"/>
  <c r="I233" i="14"/>
  <c r="I232" i="14"/>
  <c r="Q231" i="14"/>
  <c r="I230" i="14"/>
  <c r="I228" i="14"/>
  <c r="I227" i="14"/>
  <c r="Q225" i="14"/>
  <c r="Q224" i="14"/>
  <c r="I223" i="14"/>
  <c r="Q222" i="14"/>
  <c r="B221" i="14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Q205" i="14"/>
  <c r="M204" i="14"/>
  <c r="Q202" i="14"/>
  <c r="I201" i="14"/>
  <c r="M198" i="14"/>
  <c r="Q196" i="14"/>
  <c r="M195" i="14"/>
  <c r="I192" i="14"/>
  <c r="Q191" i="14"/>
  <c r="I190" i="14"/>
  <c r="Q189" i="14"/>
  <c r="Q188" i="14"/>
  <c r="I185" i="14"/>
  <c r="I183" i="14"/>
  <c r="M180" i="14"/>
  <c r="Q178" i="14"/>
  <c r="Q177" i="14"/>
  <c r="M176" i="14"/>
  <c r="I174" i="14"/>
  <c r="I172" i="14"/>
  <c r="Q171" i="14"/>
  <c r="I170" i="14"/>
  <c r="I169" i="14"/>
  <c r="I168" i="14"/>
  <c r="I167" i="14"/>
  <c r="I166" i="14"/>
  <c r="I164" i="14"/>
  <c r="I163" i="14"/>
  <c r="Q161" i="14"/>
  <c r="I160" i="14"/>
  <c r="Q157" i="14"/>
  <c r="Q156" i="14"/>
  <c r="M155" i="14"/>
  <c r="M154" i="14"/>
  <c r="Q153" i="14"/>
  <c r="Q151" i="14"/>
  <c r="Q150" i="14"/>
  <c r="Q149" i="14"/>
  <c r="M148" i="14"/>
  <c r="I146" i="14"/>
  <c r="Q145" i="14"/>
  <c r="Q144" i="14"/>
  <c r="I143" i="14"/>
  <c r="I142" i="14"/>
  <c r="I141" i="14"/>
  <c r="I140" i="14"/>
  <c r="I137" i="14"/>
  <c r="K137" i="14" s="1"/>
  <c r="S137" i="14" s="1"/>
  <c r="I136" i="14"/>
  <c r="M133" i="14"/>
  <c r="M132" i="14" s="1"/>
  <c r="I131" i="14"/>
  <c r="Q130" i="14"/>
  <c r="M127" i="14"/>
  <c r="I125" i="14"/>
  <c r="Q124" i="14"/>
  <c r="Q121" i="14"/>
  <c r="I120" i="14"/>
  <c r="I117" i="14"/>
  <c r="M115" i="14"/>
  <c r="O115" i="14" s="1"/>
  <c r="B115" i="14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Q89" i="14"/>
  <c r="I88" i="14"/>
  <c r="Q86" i="14"/>
  <c r="I85" i="14"/>
  <c r="Q83" i="14"/>
  <c r="I82" i="14"/>
  <c r="I80" i="14"/>
  <c r="I78" i="14"/>
  <c r="Q76" i="14"/>
  <c r="I75" i="14"/>
  <c r="B74" i="14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M73" i="14"/>
  <c r="I501" i="13"/>
  <c r="I498" i="13"/>
  <c r="I497" i="13"/>
  <c r="I496" i="13"/>
  <c r="I495" i="13"/>
  <c r="I494" i="13"/>
  <c r="I493" i="13"/>
  <c r="I492" i="13"/>
  <c r="I491" i="13"/>
  <c r="I490" i="13"/>
  <c r="I489" i="13"/>
  <c r="I488" i="13"/>
  <c r="I487" i="13"/>
  <c r="I486" i="13"/>
  <c r="I485" i="13"/>
  <c r="I484" i="13"/>
  <c r="I481" i="13"/>
  <c r="I480" i="13"/>
  <c r="H473" i="13"/>
  <c r="H475" i="13"/>
  <c r="H483" i="13"/>
  <c r="H482" i="13" s="1"/>
  <c r="H479" i="13" s="1"/>
  <c r="H478" i="13" s="1"/>
  <c r="H500" i="13"/>
  <c r="H499" i="13" s="1"/>
  <c r="I463" i="13"/>
  <c r="I460" i="13"/>
  <c r="I456" i="13"/>
  <c r="I452" i="13"/>
  <c r="I449" i="13"/>
  <c r="I446" i="13"/>
  <c r="I437" i="13"/>
  <c r="I434" i="13"/>
  <c r="I433" i="13"/>
  <c r="I432" i="13"/>
  <c r="I430" i="13"/>
  <c r="I424" i="13"/>
  <c r="I423" i="13"/>
  <c r="I422" i="13"/>
  <c r="I421" i="13"/>
  <c r="I420" i="13"/>
  <c r="I419" i="13"/>
  <c r="I418" i="13"/>
  <c r="I417" i="13"/>
  <c r="I416" i="13"/>
  <c r="I415" i="13"/>
  <c r="I413" i="13"/>
  <c r="I408" i="13"/>
  <c r="I407" i="13"/>
  <c r="I400" i="13"/>
  <c r="I397" i="13"/>
  <c r="I394" i="13"/>
  <c r="I390" i="13"/>
  <c r="I387" i="13"/>
  <c r="I386" i="13"/>
  <c r="I385" i="13"/>
  <c r="I382" i="13"/>
  <c r="I378" i="13"/>
  <c r="I375" i="13"/>
  <c r="I374" i="13"/>
  <c r="I371" i="13"/>
  <c r="I364" i="13"/>
  <c r="I361" i="13"/>
  <c r="I359" i="13"/>
  <c r="I356" i="13"/>
  <c r="I352" i="13"/>
  <c r="I349" i="13"/>
  <c r="I348" i="13"/>
  <c r="I347" i="13"/>
  <c r="I344" i="13"/>
  <c r="I340" i="13"/>
  <c r="I337" i="13"/>
  <c r="I336" i="13"/>
  <c r="I335" i="13"/>
  <c r="I332" i="13"/>
  <c r="I325" i="13"/>
  <c r="I322" i="13"/>
  <c r="I319" i="13"/>
  <c r="I312" i="13"/>
  <c r="I310" i="13"/>
  <c r="I307" i="13"/>
  <c r="I302" i="13"/>
  <c r="I299" i="13"/>
  <c r="I296" i="13"/>
  <c r="I295" i="13"/>
  <c r="I294" i="13"/>
  <c r="I291" i="13"/>
  <c r="I287" i="13"/>
  <c r="I283" i="13"/>
  <c r="I282" i="13"/>
  <c r="I278" i="13"/>
  <c r="I277" i="13"/>
  <c r="I276" i="13"/>
  <c r="I272" i="13"/>
  <c r="I271" i="13"/>
  <c r="I270" i="13"/>
  <c r="I266" i="13"/>
  <c r="I265" i="13"/>
  <c r="I264" i="13"/>
  <c r="I261" i="13"/>
  <c r="I257" i="13"/>
  <c r="I256" i="13"/>
  <c r="I253" i="13"/>
  <c r="I249" i="13"/>
  <c r="I246" i="13"/>
  <c r="I242" i="13"/>
  <c r="I238" i="13"/>
  <c r="I234" i="13"/>
  <c r="I230" i="13"/>
  <c r="I229" i="13"/>
  <c r="I228" i="13"/>
  <c r="I224" i="13"/>
  <c r="I223" i="13"/>
  <c r="I219" i="13"/>
  <c r="I216" i="13"/>
  <c r="I213" i="13"/>
  <c r="I209" i="13"/>
  <c r="I208" i="13"/>
  <c r="I204" i="13"/>
  <c r="I200" i="13"/>
  <c r="I196" i="13"/>
  <c r="I192" i="13"/>
  <c r="I191" i="13"/>
  <c r="I187" i="13"/>
  <c r="I186" i="13"/>
  <c r="I182" i="13"/>
  <c r="I181" i="13"/>
  <c r="I177" i="13"/>
  <c r="I176" i="13"/>
  <c r="I172" i="13"/>
  <c r="I171" i="13"/>
  <c r="I166" i="13"/>
  <c r="I165" i="13"/>
  <c r="I161" i="13"/>
  <c r="I160" i="13"/>
  <c r="I156" i="13"/>
  <c r="I155" i="13"/>
  <c r="I151" i="13"/>
  <c r="I150" i="13"/>
  <c r="I146" i="13"/>
  <c r="I145" i="13"/>
  <c r="I141" i="13"/>
  <c r="I140" i="13"/>
  <c r="I136" i="13"/>
  <c r="I135" i="13"/>
  <c r="I131" i="13"/>
  <c r="I130" i="13"/>
  <c r="I125" i="13"/>
  <c r="I121" i="13"/>
  <c r="I118" i="13"/>
  <c r="I114" i="13"/>
  <c r="I111" i="13"/>
  <c r="I107" i="13"/>
  <c r="I104" i="13"/>
  <c r="I100" i="13"/>
  <c r="I96" i="13"/>
  <c r="I93" i="13"/>
  <c r="I82" i="13"/>
  <c r="I79" i="13"/>
  <c r="I78" i="13"/>
  <c r="I74" i="13"/>
  <c r="I71" i="13"/>
  <c r="I67" i="13"/>
  <c r="I66" i="13"/>
  <c r="I65" i="13"/>
  <c r="I62" i="13"/>
  <c r="I59" i="13"/>
  <c r="I48" i="13"/>
  <c r="I47" i="13"/>
  <c r="I46" i="13"/>
  <c r="I45" i="13"/>
  <c r="I42" i="13"/>
  <c r="I39" i="13"/>
  <c r="I37" i="13"/>
  <c r="I33" i="13"/>
  <c r="I31" i="13"/>
  <c r="I30" i="13"/>
  <c r="I26" i="13"/>
  <c r="I21" i="13"/>
  <c r="I20" i="13"/>
  <c r="I19" i="13"/>
  <c r="I18" i="13"/>
  <c r="I15" i="13"/>
  <c r="I14" i="13"/>
  <c r="I13" i="13"/>
  <c r="H9" i="13"/>
  <c r="H8" i="13" s="1"/>
  <c r="H12" i="13"/>
  <c r="H11" i="13" s="1"/>
  <c r="H17" i="13"/>
  <c r="H16" i="13" s="1"/>
  <c r="H25" i="13"/>
  <c r="H24" i="13" s="1"/>
  <c r="H29" i="13"/>
  <c r="H32" i="13"/>
  <c r="H34" i="13"/>
  <c r="H38" i="13"/>
  <c r="H41" i="13"/>
  <c r="H40" i="13" s="1"/>
  <c r="H44" i="13"/>
  <c r="H43" i="13" s="1"/>
  <c r="H51" i="13"/>
  <c r="H50" i="13" s="1"/>
  <c r="H58" i="13"/>
  <c r="H61" i="13"/>
  <c r="H64" i="13"/>
  <c r="H63" i="13" s="1"/>
  <c r="H70" i="13"/>
  <c r="H69" i="13" s="1"/>
  <c r="H73" i="13"/>
  <c r="H72" i="13" s="1"/>
  <c r="H77" i="13"/>
  <c r="H76" i="13" s="1"/>
  <c r="H81" i="13"/>
  <c r="H80" i="13" s="1"/>
  <c r="H85" i="13"/>
  <c r="H84" i="13" s="1"/>
  <c r="H88" i="13"/>
  <c r="H87" i="13" s="1"/>
  <c r="H92" i="13"/>
  <c r="H91" i="13" s="1"/>
  <c r="H95" i="13"/>
  <c r="H94" i="13" s="1"/>
  <c r="H99" i="13"/>
  <c r="H98" i="13" s="1"/>
  <c r="H97" i="13" s="1"/>
  <c r="H103" i="13"/>
  <c r="H102" i="13" s="1"/>
  <c r="H106" i="13"/>
  <c r="H105" i="13" s="1"/>
  <c r="H110" i="13"/>
  <c r="H109" i="13" s="1"/>
  <c r="H113" i="13"/>
  <c r="H112" i="13" s="1"/>
  <c r="H117" i="13"/>
  <c r="H116" i="13" s="1"/>
  <c r="H120" i="13"/>
  <c r="H124" i="13"/>
  <c r="H123" i="13" s="1"/>
  <c r="H122" i="13" s="1"/>
  <c r="H129" i="13"/>
  <c r="H128" i="13" s="1"/>
  <c r="H127" i="13" s="1"/>
  <c r="H134" i="13"/>
  <c r="H133" i="13" s="1"/>
  <c r="H132" i="13" s="1"/>
  <c r="H139" i="13"/>
  <c r="H138" i="13" s="1"/>
  <c r="H137" i="13" s="1"/>
  <c r="H144" i="13"/>
  <c r="H143" i="13" s="1"/>
  <c r="H142" i="13" s="1"/>
  <c r="H149" i="13"/>
  <c r="H148" i="13" s="1"/>
  <c r="H147" i="13" s="1"/>
  <c r="H154" i="13"/>
  <c r="H153" i="13" s="1"/>
  <c r="H152" i="13" s="1"/>
  <c r="H159" i="13"/>
  <c r="H158" i="13" s="1"/>
  <c r="H157" i="13" s="1"/>
  <c r="H164" i="13"/>
  <c r="H163" i="13" s="1"/>
  <c r="H162" i="13" s="1"/>
  <c r="H169" i="13"/>
  <c r="H168" i="13" s="1"/>
  <c r="H167" i="13" s="1"/>
  <c r="H175" i="13"/>
  <c r="H174" i="13" s="1"/>
  <c r="H173" i="13" s="1"/>
  <c r="H180" i="13"/>
  <c r="H179" i="13" s="1"/>
  <c r="H178" i="13" s="1"/>
  <c r="H185" i="13"/>
  <c r="H184" i="13" s="1"/>
  <c r="H183" i="13" s="1"/>
  <c r="H190" i="13"/>
  <c r="H189" i="13" s="1"/>
  <c r="H188" i="13" s="1"/>
  <c r="H195" i="13"/>
  <c r="H194" i="13" s="1"/>
  <c r="H193" i="13" s="1"/>
  <c r="H199" i="13"/>
  <c r="H198" i="13" s="1"/>
  <c r="H197" i="13" s="1"/>
  <c r="H203" i="13"/>
  <c r="H202" i="13" s="1"/>
  <c r="H201" i="13" s="1"/>
  <c r="H207" i="13"/>
  <c r="H206" i="13" s="1"/>
  <c r="H205" i="13" s="1"/>
  <c r="H212" i="13"/>
  <c r="H211" i="13" s="1"/>
  <c r="H215" i="13"/>
  <c r="H214" i="13" s="1"/>
  <c r="H218" i="13"/>
  <c r="H217" i="13" s="1"/>
  <c r="H222" i="13"/>
  <c r="H221" i="13" s="1"/>
  <c r="H227" i="13"/>
  <c r="H226" i="13" s="1"/>
  <c r="H225" i="13" s="1"/>
  <c r="H233" i="13"/>
  <c r="H232" i="13" s="1"/>
  <c r="H231" i="13" s="1"/>
  <c r="H237" i="13"/>
  <c r="H236" i="13" s="1"/>
  <c r="H235" i="13" s="1"/>
  <c r="H241" i="13"/>
  <c r="H240" i="13" s="1"/>
  <c r="H245" i="13"/>
  <c r="H244" i="13" s="1"/>
  <c r="H248" i="13"/>
  <c r="H247" i="13" s="1"/>
  <c r="H252" i="13"/>
  <c r="H251" i="13" s="1"/>
  <c r="H255" i="13"/>
  <c r="H254" i="13" s="1"/>
  <c r="H260" i="13"/>
  <c r="H259" i="13" s="1"/>
  <c r="H263" i="13"/>
  <c r="H262" i="13" s="1"/>
  <c r="H269" i="13"/>
  <c r="H268" i="13" s="1"/>
  <c r="H267" i="13" s="1"/>
  <c r="H275" i="13"/>
  <c r="H274" i="13" s="1"/>
  <c r="H273" i="13" s="1"/>
  <c r="H281" i="13"/>
  <c r="H280" i="13" s="1"/>
  <c r="H279" i="13" s="1"/>
  <c r="H286" i="13"/>
  <c r="H285" i="13" s="1"/>
  <c r="H284" i="13" s="1"/>
  <c r="H290" i="13"/>
  <c r="H289" i="13" s="1"/>
  <c r="H293" i="13"/>
  <c r="H292" i="13" s="1"/>
  <c r="H298" i="13"/>
  <c r="H297" i="13" s="1"/>
  <c r="H300" i="13"/>
  <c r="H306" i="13"/>
  <c r="H305" i="13" s="1"/>
  <c r="H309" i="13"/>
  <c r="H308" i="13" s="1"/>
  <c r="H318" i="13"/>
  <c r="H321" i="13"/>
  <c r="H320" i="13" s="1"/>
  <c r="H324" i="13"/>
  <c r="H323" i="13" s="1"/>
  <c r="H331" i="13"/>
  <c r="H330" i="13" s="1"/>
  <c r="H334" i="13"/>
  <c r="H333" i="13" s="1"/>
  <c r="H339" i="13"/>
  <c r="H338" i="13" s="1"/>
  <c r="H343" i="13"/>
  <c r="H342" i="13" s="1"/>
  <c r="H346" i="13"/>
  <c r="H345" i="13" s="1"/>
  <c r="H351" i="13"/>
  <c r="H350" i="13" s="1"/>
  <c r="H355" i="13"/>
  <c r="H354" i="13" s="1"/>
  <c r="H358" i="13"/>
  <c r="H357" i="13" s="1"/>
  <c r="H363" i="13"/>
  <c r="H362" i="13" s="1"/>
  <c r="H370" i="13"/>
  <c r="H369" i="13" s="1"/>
  <c r="H373" i="13"/>
  <c r="H372" i="13" s="1"/>
  <c r="H377" i="13"/>
  <c r="H376" i="13" s="1"/>
  <c r="H381" i="13"/>
  <c r="H380" i="13" s="1"/>
  <c r="H384" i="13"/>
  <c r="H383" i="13" s="1"/>
  <c r="H389" i="13"/>
  <c r="H388" i="13" s="1"/>
  <c r="H393" i="13"/>
  <c r="H392" i="13" s="1"/>
  <c r="H396" i="13"/>
  <c r="H395" i="13" s="1"/>
  <c r="H399" i="13"/>
  <c r="H398" i="13" s="1"/>
  <c r="H426" i="13"/>
  <c r="H436" i="13"/>
  <c r="H435" i="13" s="1"/>
  <c r="H442" i="13"/>
  <c r="H440" i="13" s="1"/>
  <c r="H439" i="13" s="1"/>
  <c r="H445" i="13"/>
  <c r="H444" i="13" s="1"/>
  <c r="H448" i="13"/>
  <c r="H447" i="13" s="1"/>
  <c r="H450" i="13"/>
  <c r="H454" i="13"/>
  <c r="H459" i="13"/>
  <c r="H458" i="13" s="1"/>
  <c r="H462" i="13"/>
  <c r="H461" i="13" s="1"/>
  <c r="H353" i="13" l="1"/>
  <c r="H288" i="13"/>
  <c r="H304" i="13"/>
  <c r="K1363" i="14"/>
  <c r="S1363" i="14" s="1"/>
  <c r="B1418" i="14"/>
  <c r="B1419" i="14" s="1"/>
  <c r="B1420" i="14" s="1"/>
  <c r="B1421" i="14" s="1"/>
  <c r="B1422" i="14" s="1"/>
  <c r="B1423" i="14" s="1"/>
  <c r="B1424" i="14" s="1"/>
  <c r="B1425" i="14" s="1"/>
  <c r="B1426" i="14" s="1"/>
  <c r="B1427" i="14" s="1"/>
  <c r="B1428" i="14" s="1"/>
  <c r="B1429" i="14" s="1"/>
  <c r="B1430" i="14" s="1"/>
  <c r="B1431" i="14" s="1"/>
  <c r="B1432" i="14" s="1"/>
  <c r="B1433" i="14" s="1"/>
  <c r="B1434" i="14" s="1"/>
  <c r="B1435" i="14" s="1"/>
  <c r="B1436" i="14" s="1"/>
  <c r="B1437" i="14" s="1"/>
  <c r="B1438" i="14" s="1"/>
  <c r="B1439" i="14" s="1"/>
  <c r="B1440" i="14" s="1"/>
  <c r="B1441" i="14" s="1"/>
  <c r="B1442" i="14" s="1"/>
  <c r="B1443" i="14" s="1"/>
  <c r="B1444" i="14" s="1"/>
  <c r="B1445" i="14" s="1"/>
  <c r="B1446" i="14" s="1"/>
  <c r="B1447" i="14" s="1"/>
  <c r="B1448" i="14" s="1"/>
  <c r="B1449" i="14" s="1"/>
  <c r="B1450" i="14" s="1"/>
  <c r="B1451" i="14" s="1"/>
  <c r="B1452" i="14" s="1"/>
  <c r="B1453" i="14" s="1"/>
  <c r="B1454" i="14" s="1"/>
  <c r="B1455" i="14" s="1"/>
  <c r="B1456" i="14" s="1"/>
  <c r="B1457" i="14" s="1"/>
  <c r="B1458" i="14" s="1"/>
  <c r="B1459" i="14" s="1"/>
  <c r="B1460" i="14" s="1"/>
  <c r="B1461" i="14" s="1"/>
  <c r="B1462" i="14" s="1"/>
  <c r="B1463" i="14" s="1"/>
  <c r="B1464" i="14" s="1"/>
  <c r="B1465" i="14" s="1"/>
  <c r="B1466" i="14" s="1"/>
  <c r="B1467" i="14" s="1"/>
  <c r="B1468" i="14" s="1"/>
  <c r="B1469" i="14" s="1"/>
  <c r="B1470" i="14" s="1"/>
  <c r="B1471" i="14" s="1"/>
  <c r="B1472" i="14" s="1"/>
  <c r="B1473" i="14" s="1"/>
  <c r="B1474" i="14" s="1"/>
  <c r="B1475" i="14" s="1"/>
  <c r="B1476" i="14" s="1"/>
  <c r="B1477" i="14" s="1"/>
  <c r="B1478" i="14" s="1"/>
  <c r="B1479" i="14" s="1"/>
  <c r="B1480" i="14" s="1"/>
  <c r="B1481" i="14" s="1"/>
  <c r="B1482" i="14" s="1"/>
  <c r="B1483" i="14" s="1"/>
  <c r="B1484" i="14" s="1"/>
  <c r="B1485" i="14" s="1"/>
  <c r="B1486" i="14" s="1"/>
  <c r="B1487" i="14" s="1"/>
  <c r="B1488" i="14" s="1"/>
  <c r="B1489" i="14" s="1"/>
  <c r="B1490" i="14" s="1"/>
  <c r="B1491" i="14" s="1"/>
  <c r="B1492" i="14" s="1"/>
  <c r="B1493" i="14" s="1"/>
  <c r="B1494" i="14" s="1"/>
  <c r="B1495" i="14" s="1"/>
  <c r="B1496" i="14" s="1"/>
  <c r="B1497" i="14" s="1"/>
  <c r="B1498" i="14" s="1"/>
  <c r="B1499" i="14" s="1"/>
  <c r="B1500" i="14" s="1"/>
  <c r="B1501" i="14" s="1"/>
  <c r="B1502" i="14" s="1"/>
  <c r="B1503" i="14" s="1"/>
  <c r="B1504" i="14" s="1"/>
  <c r="B1505" i="14" s="1"/>
  <c r="B1506" i="14" s="1"/>
  <c r="B1507" i="14" s="1"/>
  <c r="B1508" i="14" s="1"/>
  <c r="B1509" i="14" s="1"/>
  <c r="B1510" i="14" s="1"/>
  <c r="B1511" i="14" s="1"/>
  <c r="B1512" i="14" s="1"/>
  <c r="B1513" i="14" s="1"/>
  <c r="B1514" i="14" s="1"/>
  <c r="B1515" i="14" s="1"/>
  <c r="B1516" i="14" s="1"/>
  <c r="B1517" i="14" s="1"/>
  <c r="B1518" i="14" s="1"/>
  <c r="B1519" i="14" s="1"/>
  <c r="B1520" i="14" s="1"/>
  <c r="B1521" i="14" s="1"/>
  <c r="B1522" i="14" s="1"/>
  <c r="B1523" i="14" s="1"/>
  <c r="B1524" i="14" s="1"/>
  <c r="B1525" i="14" s="1"/>
  <c r="B1526" i="14" s="1"/>
  <c r="B1527" i="14" s="1"/>
  <c r="B1528" i="14" s="1"/>
  <c r="B1529" i="14" s="1"/>
  <c r="B1530" i="14" s="1"/>
  <c r="B1531" i="14" s="1"/>
  <c r="B1532" i="14" s="1"/>
  <c r="B1533" i="14" s="1"/>
  <c r="B1534" i="14" s="1"/>
  <c r="Q2000" i="14"/>
  <c r="K2000" i="14"/>
  <c r="S2000" i="14" s="1"/>
  <c r="Q2016" i="14"/>
  <c r="O2016" i="14"/>
  <c r="S2016" i="14" s="1"/>
  <c r="B129" i="14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Q2002" i="14"/>
  <c r="O2002" i="14"/>
  <c r="S2002" i="14" s="1"/>
  <c r="Q201" i="14"/>
  <c r="K201" i="14"/>
  <c r="S201" i="14" s="1"/>
  <c r="I1996" i="14"/>
  <c r="K1996" i="14" s="1"/>
  <c r="S1996" i="14" s="1"/>
  <c r="K1998" i="14"/>
  <c r="S1998" i="14" s="1"/>
  <c r="M2004" i="14"/>
  <c r="O2004" i="14" s="1"/>
  <c r="S2004" i="14" s="1"/>
  <c r="O2005" i="14"/>
  <c r="S2005" i="14" s="1"/>
  <c r="I2007" i="14"/>
  <c r="K2007" i="14" s="1"/>
  <c r="K2010" i="14"/>
  <c r="S2010" i="14" s="1"/>
  <c r="H49" i="13"/>
  <c r="B804" i="14"/>
  <c r="B805" i="14" s="1"/>
  <c r="B806" i="14" s="1"/>
  <c r="B807" i="14" s="1"/>
  <c r="B808" i="14" s="1"/>
  <c r="B809" i="14" s="1"/>
  <c r="B810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0" i="14" s="1"/>
  <c r="B821" i="14" s="1"/>
  <c r="B822" i="14" s="1"/>
  <c r="B823" i="14" s="1"/>
  <c r="B824" i="14" s="1"/>
  <c r="B825" i="14" s="1"/>
  <c r="B826" i="14" s="1"/>
  <c r="B827" i="14" s="1"/>
  <c r="B828" i="14" s="1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B852" i="14" s="1"/>
  <c r="B853" i="14" s="1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H60" i="13"/>
  <c r="H119" i="13"/>
  <c r="H57" i="13"/>
  <c r="J593" i="14"/>
  <c r="E12" i="15" s="1"/>
  <c r="K12" i="15" s="1"/>
  <c r="M126" i="14"/>
  <c r="M122" i="14" s="1"/>
  <c r="O122" i="14" s="1"/>
  <c r="O127" i="14"/>
  <c r="S127" i="14" s="1"/>
  <c r="Q136" i="14"/>
  <c r="K136" i="14"/>
  <c r="S136" i="14" s="1"/>
  <c r="Q142" i="14"/>
  <c r="K142" i="14"/>
  <c r="S142" i="14" s="1"/>
  <c r="Q146" i="14"/>
  <c r="K146" i="14"/>
  <c r="S146" i="14" s="1"/>
  <c r="Q163" i="14"/>
  <c r="K163" i="14"/>
  <c r="S163" i="14" s="1"/>
  <c r="Q168" i="14"/>
  <c r="K168" i="14"/>
  <c r="S168" i="14" s="1"/>
  <c r="Q172" i="14"/>
  <c r="K172" i="14"/>
  <c r="S172" i="14" s="1"/>
  <c r="Q192" i="14"/>
  <c r="K192" i="14"/>
  <c r="S192" i="14" s="1"/>
  <c r="G7" i="15"/>
  <c r="I7" i="15" s="1"/>
  <c r="O73" i="14"/>
  <c r="Q78" i="14"/>
  <c r="K78" i="14"/>
  <c r="S78" i="14" s="1"/>
  <c r="Q85" i="14"/>
  <c r="K85" i="14"/>
  <c r="S85" i="14" s="1"/>
  <c r="Q143" i="14"/>
  <c r="K143" i="14"/>
  <c r="S143" i="14" s="1"/>
  <c r="Q148" i="14"/>
  <c r="O148" i="14"/>
  <c r="S148" i="14" s="1"/>
  <c r="Q164" i="14"/>
  <c r="K164" i="14"/>
  <c r="S164" i="14" s="1"/>
  <c r="Q169" i="14"/>
  <c r="K169" i="14"/>
  <c r="S169" i="14" s="1"/>
  <c r="I173" i="14"/>
  <c r="K174" i="14"/>
  <c r="S174" i="14" s="1"/>
  <c r="Q180" i="14"/>
  <c r="O180" i="14"/>
  <c r="S180" i="14" s="1"/>
  <c r="Q195" i="14"/>
  <c r="O195" i="14"/>
  <c r="S195" i="14" s="1"/>
  <c r="Q80" i="14"/>
  <c r="K80" i="14"/>
  <c r="S80" i="14" s="1"/>
  <c r="I129" i="14"/>
  <c r="K129" i="14" s="1"/>
  <c r="S129" i="14" s="1"/>
  <c r="K131" i="14"/>
  <c r="S131" i="14" s="1"/>
  <c r="Q140" i="14"/>
  <c r="K140" i="14"/>
  <c r="S140" i="14" s="1"/>
  <c r="Q154" i="14"/>
  <c r="O154" i="14"/>
  <c r="S154" i="14" s="1"/>
  <c r="Q160" i="14"/>
  <c r="K160" i="14"/>
  <c r="S160" i="14" s="1"/>
  <c r="Q166" i="14"/>
  <c r="K166" i="14"/>
  <c r="S166" i="14" s="1"/>
  <c r="Q170" i="14"/>
  <c r="K170" i="14"/>
  <c r="S170" i="14" s="1"/>
  <c r="Q176" i="14"/>
  <c r="O176" i="14"/>
  <c r="S176" i="14" s="1"/>
  <c r="Q183" i="14"/>
  <c r="K183" i="14"/>
  <c r="S183" i="14" s="1"/>
  <c r="Q190" i="14"/>
  <c r="K190" i="14"/>
  <c r="S190" i="14" s="1"/>
  <c r="Q204" i="14"/>
  <c r="O204" i="14"/>
  <c r="S204" i="14" s="1"/>
  <c r="Q120" i="14"/>
  <c r="K120" i="14"/>
  <c r="S120" i="14" s="1"/>
  <c r="B1569" i="14"/>
  <c r="B1570" i="14" s="1"/>
  <c r="B1571" i="14" s="1"/>
  <c r="B1572" i="14" s="1"/>
  <c r="B1573" i="14" s="1"/>
  <c r="B1574" i="14" s="1"/>
  <c r="B1575" i="14" s="1"/>
  <c r="B1576" i="14" s="1"/>
  <c r="B1577" i="14" s="1"/>
  <c r="B1578" i="14" s="1"/>
  <c r="B1579" i="14" s="1"/>
  <c r="B1580" i="14" s="1"/>
  <c r="B1581" i="14" s="1"/>
  <c r="B1582" i="14" s="1"/>
  <c r="B1583" i="14" s="1"/>
  <c r="B1584" i="14" s="1"/>
  <c r="B1585" i="14" s="1"/>
  <c r="B1586" i="14" s="1"/>
  <c r="B1587" i="14" s="1"/>
  <c r="B1588" i="14" s="1"/>
  <c r="B1589" i="14" s="1"/>
  <c r="B1590" i="14" s="1"/>
  <c r="B1591" i="14" s="1"/>
  <c r="B1592" i="14" s="1"/>
  <c r="B1593" i="14" s="1"/>
  <c r="B1594" i="14" s="1"/>
  <c r="B1595" i="14" s="1"/>
  <c r="B1596" i="14" s="1"/>
  <c r="B1597" i="14" s="1"/>
  <c r="B1598" i="14" s="1"/>
  <c r="B1599" i="14" s="1"/>
  <c r="B1600" i="14" s="1"/>
  <c r="B1601" i="14" s="1"/>
  <c r="B1602" i="14" s="1"/>
  <c r="B1603" i="14" s="1"/>
  <c r="B1604" i="14" s="1"/>
  <c r="B1605" i="14" s="1"/>
  <c r="B1606" i="14" s="1"/>
  <c r="B1607" i="14" s="1"/>
  <c r="B1608" i="14" s="1"/>
  <c r="B1609" i="14" s="1"/>
  <c r="B1610" i="14" s="1"/>
  <c r="B1611" i="14" s="1"/>
  <c r="Q75" i="14"/>
  <c r="K75" i="14"/>
  <c r="S75" i="14" s="1"/>
  <c r="Q82" i="14"/>
  <c r="K82" i="14"/>
  <c r="S82" i="14" s="1"/>
  <c r="Q88" i="14"/>
  <c r="K88" i="14"/>
  <c r="S88" i="14" s="1"/>
  <c r="I116" i="14"/>
  <c r="K116" i="14" s="1"/>
  <c r="S116" i="14" s="1"/>
  <c r="K117" i="14"/>
  <c r="S117" i="14" s="1"/>
  <c r="I123" i="14"/>
  <c r="I122" i="14" s="1"/>
  <c r="K122" i="14" s="1"/>
  <c r="K125" i="14"/>
  <c r="S125" i="14" s="1"/>
  <c r="Q133" i="14"/>
  <c r="O133" i="14"/>
  <c r="S133" i="14" s="1"/>
  <c r="Q141" i="14"/>
  <c r="K141" i="14"/>
  <c r="S141" i="14" s="1"/>
  <c r="Q155" i="14"/>
  <c r="O155" i="14"/>
  <c r="S155" i="14" s="1"/>
  <c r="Q167" i="14"/>
  <c r="K167" i="14"/>
  <c r="S167" i="14" s="1"/>
  <c r="Q185" i="14"/>
  <c r="K185" i="14"/>
  <c r="S185" i="14" s="1"/>
  <c r="M197" i="14"/>
  <c r="O197" i="14" s="1"/>
  <c r="S197" i="14" s="1"/>
  <c r="O198" i="14"/>
  <c r="S198" i="14" s="1"/>
  <c r="I1165" i="14"/>
  <c r="K1165" i="14" s="1"/>
  <c r="S1165" i="14" s="1"/>
  <c r="Q1168" i="14"/>
  <c r="I1961" i="14"/>
  <c r="Q1961" i="14" s="1"/>
  <c r="Q501" i="14"/>
  <c r="O501" i="14"/>
  <c r="S501" i="14" s="1"/>
  <c r="J434" i="14"/>
  <c r="Q223" i="14"/>
  <c r="K223" i="14"/>
  <c r="S223" i="14" s="1"/>
  <c r="Q233" i="14"/>
  <c r="K233" i="14"/>
  <c r="S233" i="14" s="1"/>
  <c r="Q464" i="14"/>
  <c r="K464" i="14"/>
  <c r="S464" i="14" s="1"/>
  <c r="Q529" i="14"/>
  <c r="O529" i="14"/>
  <c r="S529" i="14" s="1"/>
  <c r="Q1446" i="14"/>
  <c r="K1446" i="14"/>
  <c r="S1446" i="14" s="1"/>
  <c r="Q1451" i="14"/>
  <c r="O1451" i="14"/>
  <c r="S1451" i="14" s="1"/>
  <c r="M1456" i="14"/>
  <c r="O1457" i="14"/>
  <c r="S1457" i="14" s="1"/>
  <c r="Q1467" i="14"/>
  <c r="K1467" i="14"/>
  <c r="S1467" i="14" s="1"/>
  <c r="Q1484" i="14"/>
  <c r="K1484" i="14"/>
  <c r="S1484" i="14" s="1"/>
  <c r="Q1515" i="14"/>
  <c r="O1515" i="14"/>
  <c r="S1515" i="14" s="1"/>
  <c r="Q1529" i="14"/>
  <c r="K1529" i="14"/>
  <c r="S1529" i="14" s="1"/>
  <c r="Q1598" i="14"/>
  <c r="K1598" i="14"/>
  <c r="S1598" i="14" s="1"/>
  <c r="Q1610" i="14"/>
  <c r="O1610" i="14"/>
  <c r="S1610" i="14" s="1"/>
  <c r="Q230" i="14"/>
  <c r="K230" i="14"/>
  <c r="S230" i="14" s="1"/>
  <c r="Q284" i="14"/>
  <c r="K284" i="14"/>
  <c r="S284" i="14" s="1"/>
  <c r="Q455" i="14"/>
  <c r="K455" i="14"/>
  <c r="S455" i="14" s="1"/>
  <c r="Q465" i="14"/>
  <c r="K465" i="14"/>
  <c r="S465" i="14" s="1"/>
  <c r="Q485" i="14"/>
  <c r="O485" i="14"/>
  <c r="S485" i="14" s="1"/>
  <c r="Q506" i="14"/>
  <c r="O506" i="14"/>
  <c r="S506" i="14" s="1"/>
  <c r="Q510" i="14"/>
  <c r="O510" i="14"/>
  <c r="S510" i="14" s="1"/>
  <c r="Q518" i="14"/>
  <c r="O518" i="14"/>
  <c r="S518" i="14" s="1"/>
  <c r="Q530" i="14"/>
  <c r="O530" i="14"/>
  <c r="S530" i="14" s="1"/>
  <c r="Q534" i="14"/>
  <c r="O534" i="14"/>
  <c r="S534" i="14" s="1"/>
  <c r="Q554" i="14"/>
  <c r="O554" i="14"/>
  <c r="S554" i="14" s="1"/>
  <c r="I1440" i="14"/>
  <c r="K1441" i="14"/>
  <c r="S1441" i="14" s="1"/>
  <c r="Q1457" i="14"/>
  <c r="Q1468" i="14"/>
  <c r="K1468" i="14"/>
  <c r="S1468" i="14" s="1"/>
  <c r="Q1475" i="14"/>
  <c r="O1475" i="14"/>
  <c r="S1475" i="14" s="1"/>
  <c r="Q1504" i="14"/>
  <c r="O1504" i="14"/>
  <c r="S1504" i="14" s="1"/>
  <c r="Q1526" i="14"/>
  <c r="K1526" i="14"/>
  <c r="S1526" i="14" s="1"/>
  <c r="Q1569" i="14"/>
  <c r="K1569" i="14"/>
  <c r="S1569" i="14" s="1"/>
  <c r="Q1580" i="14"/>
  <c r="K1580" i="14"/>
  <c r="S1580" i="14" s="1"/>
  <c r="Q1593" i="14"/>
  <c r="K1593" i="14"/>
  <c r="S1593" i="14" s="1"/>
  <c r="Q240" i="14"/>
  <c r="K240" i="14"/>
  <c r="S240" i="14" s="1"/>
  <c r="Q250" i="14"/>
  <c r="K250" i="14"/>
  <c r="S250" i="14" s="1"/>
  <c r="Q264" i="14"/>
  <c r="K264" i="14"/>
  <c r="S264" i="14" s="1"/>
  <c r="Q462" i="14"/>
  <c r="K462" i="14"/>
  <c r="S462" i="14" s="1"/>
  <c r="Q495" i="14"/>
  <c r="O495" i="14"/>
  <c r="S495" i="14" s="1"/>
  <c r="Q519" i="14"/>
  <c r="O519" i="14"/>
  <c r="S519" i="14" s="1"/>
  <c r="Q527" i="14"/>
  <c r="O527" i="14"/>
  <c r="S527" i="14" s="1"/>
  <c r="Q543" i="14"/>
  <c r="O543" i="14"/>
  <c r="S543" i="14" s="1"/>
  <c r="Q547" i="14"/>
  <c r="O547" i="14"/>
  <c r="S547" i="14" s="1"/>
  <c r="Q1415" i="14"/>
  <c r="K1415" i="14"/>
  <c r="S1415" i="14" s="1"/>
  <c r="M1458" i="14"/>
  <c r="O1459" i="14"/>
  <c r="S1459" i="14" s="1"/>
  <c r="Q1469" i="14"/>
  <c r="K1469" i="14"/>
  <c r="S1469" i="14" s="1"/>
  <c r="Q1494" i="14"/>
  <c r="K1494" i="14"/>
  <c r="S1494" i="14" s="1"/>
  <c r="Q228" i="14"/>
  <c r="K228" i="14"/>
  <c r="S228" i="14" s="1"/>
  <c r="I268" i="14"/>
  <c r="K268" i="14" s="1"/>
  <c r="S268" i="14" s="1"/>
  <c r="K272" i="14"/>
  <c r="S272" i="14" s="1"/>
  <c r="Q281" i="14"/>
  <c r="O281" i="14"/>
  <c r="S281" i="14" s="1"/>
  <c r="Q444" i="14"/>
  <c r="K444" i="14"/>
  <c r="S444" i="14" s="1"/>
  <c r="Q484" i="14"/>
  <c r="O484" i="14"/>
  <c r="S484" i="14" s="1"/>
  <c r="Q493" i="14"/>
  <c r="O493" i="14"/>
  <c r="S493" i="14" s="1"/>
  <c r="Q513" i="14"/>
  <c r="O513" i="14"/>
  <c r="S513" i="14" s="1"/>
  <c r="Q525" i="14"/>
  <c r="O525" i="14"/>
  <c r="S525" i="14" s="1"/>
  <c r="Q533" i="14"/>
  <c r="O533" i="14"/>
  <c r="S533" i="14" s="1"/>
  <c r="Q541" i="14"/>
  <c r="O541" i="14"/>
  <c r="S541" i="14" s="1"/>
  <c r="Q549" i="14"/>
  <c r="O549" i="14"/>
  <c r="S549" i="14" s="1"/>
  <c r="Q1575" i="14"/>
  <c r="K1575" i="14"/>
  <c r="S1575" i="14" s="1"/>
  <c r="Q1592" i="14"/>
  <c r="K1592" i="14"/>
  <c r="S1592" i="14" s="1"/>
  <c r="Q1604" i="14"/>
  <c r="O1604" i="14"/>
  <c r="S1604" i="14" s="1"/>
  <c r="Q467" i="14"/>
  <c r="O467" i="14"/>
  <c r="S467" i="14" s="1"/>
  <c r="Q482" i="14"/>
  <c r="O482" i="14"/>
  <c r="S482" i="14" s="1"/>
  <c r="Q490" i="14"/>
  <c r="O490" i="14"/>
  <c r="S490" i="14" s="1"/>
  <c r="Q511" i="14"/>
  <c r="O511" i="14"/>
  <c r="S511" i="14" s="1"/>
  <c r="Q523" i="14"/>
  <c r="O523" i="14"/>
  <c r="S523" i="14" s="1"/>
  <c r="Q539" i="14"/>
  <c r="O539" i="14"/>
  <c r="S539" i="14" s="1"/>
  <c r="Q1453" i="14"/>
  <c r="K1453" i="14"/>
  <c r="S1453" i="14" s="1"/>
  <c r="Q1476" i="14"/>
  <c r="O1476" i="14"/>
  <c r="S1476" i="14" s="1"/>
  <c r="Q1498" i="14"/>
  <c r="K1498" i="14"/>
  <c r="S1498" i="14" s="1"/>
  <c r="Q1600" i="14"/>
  <c r="K1600" i="14"/>
  <c r="S1600" i="14" s="1"/>
  <c r="Q1607" i="14"/>
  <c r="K1607" i="14"/>
  <c r="S1607" i="14" s="1"/>
  <c r="Q227" i="14"/>
  <c r="K227" i="14"/>
  <c r="S227" i="14" s="1"/>
  <c r="Q232" i="14"/>
  <c r="K232" i="14"/>
  <c r="S232" i="14" s="1"/>
  <c r="Q265" i="14"/>
  <c r="K265" i="14"/>
  <c r="S265" i="14" s="1"/>
  <c r="Q276" i="14"/>
  <c r="O276" i="14"/>
  <c r="S276" i="14" s="1"/>
  <c r="K436" i="14"/>
  <c r="S436" i="14" s="1"/>
  <c r="Q436" i="14"/>
  <c r="Q479" i="14"/>
  <c r="O479" i="14"/>
  <c r="S479" i="14" s="1"/>
  <c r="Q483" i="14"/>
  <c r="O483" i="14"/>
  <c r="S483" i="14" s="1"/>
  <c r="Q496" i="14"/>
  <c r="O496" i="14"/>
  <c r="S496" i="14" s="1"/>
  <c r="Q500" i="14"/>
  <c r="O500" i="14"/>
  <c r="S500" i="14" s="1"/>
  <c r="Q508" i="14"/>
  <c r="O508" i="14"/>
  <c r="S508" i="14" s="1"/>
  <c r="Q516" i="14"/>
  <c r="O516" i="14"/>
  <c r="S516" i="14" s="1"/>
  <c r="Q524" i="14"/>
  <c r="O524" i="14"/>
  <c r="S524" i="14" s="1"/>
  <c r="Q528" i="14"/>
  <c r="O528" i="14"/>
  <c r="S528" i="14" s="1"/>
  <c r="Q532" i="14"/>
  <c r="O532" i="14"/>
  <c r="S532" i="14" s="1"/>
  <c r="Q552" i="14"/>
  <c r="O552" i="14"/>
  <c r="S552" i="14" s="1"/>
  <c r="Q1425" i="14"/>
  <c r="K1425" i="14"/>
  <c r="S1425" i="14" s="1"/>
  <c r="M1418" i="14"/>
  <c r="O1418" i="14" s="1"/>
  <c r="O1437" i="14"/>
  <c r="S1437" i="14" s="1"/>
  <c r="Q1461" i="14"/>
  <c r="K1461" i="14"/>
  <c r="S1461" i="14" s="1"/>
  <c r="Q1466" i="14"/>
  <c r="K1466" i="14"/>
  <c r="S1466" i="14" s="1"/>
  <c r="Q1472" i="14"/>
  <c r="O1472" i="14"/>
  <c r="S1472" i="14" s="1"/>
  <c r="Q1483" i="14"/>
  <c r="K1483" i="14"/>
  <c r="S1483" i="14" s="1"/>
  <c r="Q1489" i="14"/>
  <c r="O1489" i="14"/>
  <c r="S1489" i="14" s="1"/>
  <c r="Q1506" i="14"/>
  <c r="O1506" i="14"/>
  <c r="S1506" i="14" s="1"/>
  <c r="Q1524" i="14"/>
  <c r="K1524" i="14"/>
  <c r="S1524" i="14" s="1"/>
  <c r="Q1534" i="14"/>
  <c r="O1534" i="14"/>
  <c r="S1534" i="14" s="1"/>
  <c r="Q1591" i="14"/>
  <c r="K1591" i="14"/>
  <c r="S1591" i="14" s="1"/>
  <c r="Q1597" i="14"/>
  <c r="K1597" i="14"/>
  <c r="S1597" i="14" s="1"/>
  <c r="K1735" i="14"/>
  <c r="I1733" i="14"/>
  <c r="Q1097" i="14"/>
  <c r="Q1100" i="14"/>
  <c r="Q1106" i="14"/>
  <c r="B1674" i="14"/>
  <c r="B1675" i="14" s="1"/>
  <c r="B1676" i="14" s="1"/>
  <c r="B1677" i="14" s="1"/>
  <c r="B1678" i="14" s="1"/>
  <c r="B1679" i="14" s="1"/>
  <c r="B1680" i="14" s="1"/>
  <c r="B1681" i="14" s="1"/>
  <c r="B1682" i="14" s="1"/>
  <c r="B1683" i="14" s="1"/>
  <c r="B1684" i="14" s="1"/>
  <c r="B1685" i="14" s="1"/>
  <c r="B1686" i="14" s="1"/>
  <c r="B1687" i="14" s="1"/>
  <c r="B1688" i="14" s="1"/>
  <c r="B1689" i="14" s="1"/>
  <c r="B1690" i="14" s="1"/>
  <c r="B1691" i="14" s="1"/>
  <c r="B1692" i="14" s="1"/>
  <c r="B1693" i="14" s="1"/>
  <c r="B1694" i="14" s="1"/>
  <c r="B1695" i="14" s="1"/>
  <c r="B1696" i="14" s="1"/>
  <c r="B1697" i="14" s="1"/>
  <c r="B451" i="14"/>
  <c r="B452" i="14" s="1"/>
  <c r="B453" i="14" s="1"/>
  <c r="B454" i="14" s="1"/>
  <c r="B455" i="14" s="1"/>
  <c r="B456" i="14" s="1"/>
  <c r="B457" i="14" s="1"/>
  <c r="B458" i="14" s="1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B472" i="14" s="1"/>
  <c r="B473" i="14" s="1"/>
  <c r="B474" i="14" s="1"/>
  <c r="B475" i="14" s="1"/>
  <c r="B476" i="14" s="1"/>
  <c r="B477" i="14" s="1"/>
  <c r="B478" i="14" s="1"/>
  <c r="B479" i="14" s="1"/>
  <c r="B480" i="14" s="1"/>
  <c r="B481" i="14" s="1"/>
  <c r="B482" i="14" s="1"/>
  <c r="B483" i="14" s="1"/>
  <c r="B484" i="14" s="1"/>
  <c r="B485" i="14" s="1"/>
  <c r="B486" i="14" s="1"/>
  <c r="B487" i="14" s="1"/>
  <c r="B488" i="14" s="1"/>
  <c r="B489" i="14" s="1"/>
  <c r="B490" i="14" s="1"/>
  <c r="B491" i="14" s="1"/>
  <c r="B492" i="14" s="1"/>
  <c r="B493" i="14" s="1"/>
  <c r="B494" i="14" s="1"/>
  <c r="B495" i="14" s="1"/>
  <c r="B496" i="14" s="1"/>
  <c r="B497" i="14" s="1"/>
  <c r="B498" i="14" s="1"/>
  <c r="B499" i="14" s="1"/>
  <c r="B500" i="14" s="1"/>
  <c r="B501" i="14" s="1"/>
  <c r="B502" i="14" s="1"/>
  <c r="B503" i="14" s="1"/>
  <c r="B504" i="14" s="1"/>
  <c r="B505" i="14" s="1"/>
  <c r="B506" i="14" s="1"/>
  <c r="B507" i="14" s="1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B540" i="14" s="1"/>
  <c r="B541" i="14" s="1"/>
  <c r="B542" i="14" s="1"/>
  <c r="B543" i="14" s="1"/>
  <c r="B544" i="14" s="1"/>
  <c r="B545" i="14" s="1"/>
  <c r="B546" i="14" s="1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Q1722" i="14"/>
  <c r="O1722" i="14"/>
  <c r="Q1745" i="14"/>
  <c r="K1745" i="14"/>
  <c r="Q639" i="14"/>
  <c r="Q642" i="14"/>
  <c r="Q1108" i="14"/>
  <c r="I1119" i="14"/>
  <c r="K1119" i="14" s="1"/>
  <c r="S1119" i="14" s="1"/>
  <c r="M1487" i="14"/>
  <c r="M1486" i="14" s="1"/>
  <c r="O1486" i="14" s="1"/>
  <c r="S1486" i="14" s="1"/>
  <c r="M1508" i="14"/>
  <c r="Q1698" i="14"/>
  <c r="K1698" i="14"/>
  <c r="Q1723" i="14"/>
  <c r="O1723" i="14"/>
  <c r="Q1738" i="14"/>
  <c r="Q1742" i="14"/>
  <c r="Q1750" i="14"/>
  <c r="Q1775" i="14"/>
  <c r="K1775" i="14"/>
  <c r="Q1779" i="14"/>
  <c r="K1779" i="14"/>
  <c r="Q1678" i="14"/>
  <c r="O1678" i="14"/>
  <c r="Q1688" i="14"/>
  <c r="K1688" i="14"/>
  <c r="Q1705" i="14"/>
  <c r="K1705" i="14"/>
  <c r="Q1727" i="14"/>
  <c r="K1727" i="14"/>
  <c r="Q1760" i="14"/>
  <c r="K1760" i="14"/>
  <c r="Q1784" i="14"/>
  <c r="O1784" i="14"/>
  <c r="S1784" i="14" s="1"/>
  <c r="Q1680" i="14"/>
  <c r="O1680" i="14"/>
  <c r="S1680" i="14" s="1"/>
  <c r="Q1690" i="14"/>
  <c r="K1690" i="14"/>
  <c r="Q1699" i="14"/>
  <c r="K1699" i="14"/>
  <c r="Q1714" i="14"/>
  <c r="K1714" i="14"/>
  <c r="Q1724" i="14"/>
  <c r="O1724" i="14"/>
  <c r="Q1730" i="14"/>
  <c r="O1730" i="14"/>
  <c r="Q1748" i="14"/>
  <c r="O1748" i="14"/>
  <c r="S1748" i="14" s="1"/>
  <c r="Q1756" i="14"/>
  <c r="K1756" i="14"/>
  <c r="Q1771" i="14"/>
  <c r="K1771" i="14"/>
  <c r="Q1776" i="14"/>
  <c r="K1776" i="14"/>
  <c r="Q1780" i="14"/>
  <c r="K1780" i="14"/>
  <c r="Q1672" i="14"/>
  <c r="K1672" i="14"/>
  <c r="M1676" i="14"/>
  <c r="M1675" i="14" s="1"/>
  <c r="O1675" i="14" s="1"/>
  <c r="Q1691" i="14"/>
  <c r="K1691" i="14"/>
  <c r="M1707" i="14"/>
  <c r="O1707" i="14" s="1"/>
  <c r="O1708" i="14"/>
  <c r="Q1716" i="14"/>
  <c r="O1716" i="14"/>
  <c r="Q1725" i="14"/>
  <c r="O1725" i="14"/>
  <c r="Q1737" i="14"/>
  <c r="K1737" i="14"/>
  <c r="I1764" i="14"/>
  <c r="K1764" i="14" s="1"/>
  <c r="K1766" i="14"/>
  <c r="Q1772" i="14"/>
  <c r="K1772" i="14"/>
  <c r="Q1777" i="14"/>
  <c r="K1777" i="14"/>
  <c r="Q1783" i="14"/>
  <c r="O1783" i="14"/>
  <c r="S1783" i="14" s="1"/>
  <c r="R784" i="14"/>
  <c r="I1419" i="14"/>
  <c r="I1590" i="14"/>
  <c r="I1589" i="14" s="1"/>
  <c r="I1695" i="14"/>
  <c r="I1869" i="14"/>
  <c r="K1869" i="14" s="1"/>
  <c r="S1869" i="14" s="1"/>
  <c r="Q1913" i="14"/>
  <c r="Q612" i="14"/>
  <c r="Q615" i="14"/>
  <c r="Q621" i="14"/>
  <c r="I260" i="14"/>
  <c r="I257" i="14" s="1"/>
  <c r="I256" i="14" s="1"/>
  <c r="Q732" i="14"/>
  <c r="Q938" i="14"/>
  <c r="I1726" i="14"/>
  <c r="K1726" i="14" s="1"/>
  <c r="Q1998" i="14"/>
  <c r="Q609" i="14"/>
  <c r="Q127" i="14"/>
  <c r="Q627" i="14"/>
  <c r="Q1845" i="14"/>
  <c r="Q1939" i="14"/>
  <c r="I1946" i="14"/>
  <c r="Q1946" i="14" s="1"/>
  <c r="Q1949" i="14"/>
  <c r="Q2005" i="14"/>
  <c r="R1831" i="14"/>
  <c r="Q708" i="14"/>
  <c r="Q939" i="14"/>
  <c r="Q1046" i="14"/>
  <c r="Q1050" i="14"/>
  <c r="Q1096" i="14"/>
  <c r="Q1107" i="14"/>
  <c r="Q1116" i="14"/>
  <c r="Q1122" i="14"/>
  <c r="Q1185" i="14"/>
  <c r="Q1188" i="14"/>
  <c r="Q1293" i="14"/>
  <c r="Q1437" i="14"/>
  <c r="Q1441" i="14"/>
  <c r="Q1854" i="14"/>
  <c r="Q1932" i="14"/>
  <c r="Q1935" i="14"/>
  <c r="Q1962" i="14"/>
  <c r="M2015" i="14"/>
  <c r="I119" i="14"/>
  <c r="M194" i="14"/>
  <c r="I1924" i="14"/>
  <c r="K1924" i="14" s="1"/>
  <c r="S1924" i="14" s="1"/>
  <c r="K16" i="15"/>
  <c r="Q756" i="14"/>
  <c r="K756" i="14"/>
  <c r="S756" i="14" s="1"/>
  <c r="Q2004" i="14"/>
  <c r="M2001" i="14"/>
  <c r="I379" i="14"/>
  <c r="K380" i="14"/>
  <c r="S380" i="14" s="1"/>
  <c r="Q608" i="14"/>
  <c r="K608" i="14"/>
  <c r="S608" i="14" s="1"/>
  <c r="Q623" i="14"/>
  <c r="K623" i="14"/>
  <c r="S623" i="14" s="1"/>
  <c r="Q683" i="14"/>
  <c r="K683" i="14"/>
  <c r="S683" i="14" s="1"/>
  <c r="M691" i="14"/>
  <c r="O692" i="14"/>
  <c r="Q701" i="14"/>
  <c r="K701" i="14"/>
  <c r="S701" i="14" s="1"/>
  <c r="Q763" i="14"/>
  <c r="K763" i="14"/>
  <c r="S763" i="14" s="1"/>
  <c r="Q772" i="14"/>
  <c r="O772" i="14"/>
  <c r="S772" i="14" s="1"/>
  <c r="Q811" i="14"/>
  <c r="K811" i="14"/>
  <c r="S811" i="14" s="1"/>
  <c r="Q824" i="14"/>
  <c r="K824" i="14"/>
  <c r="S824" i="14" s="1"/>
  <c r="Q833" i="14"/>
  <c r="K833" i="14"/>
  <c r="S833" i="14" s="1"/>
  <c r="Q951" i="14"/>
  <c r="K951" i="14"/>
  <c r="S951" i="14" s="1"/>
  <c r="Q1011" i="14"/>
  <c r="K1011" i="14"/>
  <c r="S1011" i="14" s="1"/>
  <c r="Q1060" i="14"/>
  <c r="K1060" i="14"/>
  <c r="S1060" i="14" s="1"/>
  <c r="Q1069" i="14"/>
  <c r="K1069" i="14"/>
  <c r="S1069" i="14" s="1"/>
  <c r="Q1083" i="14"/>
  <c r="K1083" i="14"/>
  <c r="S1083" i="14" s="1"/>
  <c r="Q1211" i="14"/>
  <c r="K1211" i="14"/>
  <c r="S1211" i="14" s="1"/>
  <c r="Q1241" i="14"/>
  <c r="K1241" i="14"/>
  <c r="S1241" i="14" s="1"/>
  <c r="I1263" i="14"/>
  <c r="K1263" i="14" s="1"/>
  <c r="S1263" i="14" s="1"/>
  <c r="K1265" i="14"/>
  <c r="S1265" i="14" s="1"/>
  <c r="Q1295" i="14"/>
  <c r="K1295" i="14"/>
  <c r="S1295" i="14" s="1"/>
  <c r="Q600" i="14"/>
  <c r="Q604" i="14"/>
  <c r="K604" i="14"/>
  <c r="S604" i="14" s="1"/>
  <c r="Q665" i="14"/>
  <c r="K665" i="14"/>
  <c r="S665" i="14" s="1"/>
  <c r="Q670" i="14"/>
  <c r="K670" i="14"/>
  <c r="S670" i="14" s="1"/>
  <c r="Q674" i="14"/>
  <c r="K674" i="14"/>
  <c r="S674" i="14" s="1"/>
  <c r="Q684" i="14"/>
  <c r="K684" i="14"/>
  <c r="S684" i="14" s="1"/>
  <c r="Q689" i="14"/>
  <c r="K689" i="14"/>
  <c r="S689" i="14" s="1"/>
  <c r="Q723" i="14"/>
  <c r="K723" i="14"/>
  <c r="S723" i="14" s="1"/>
  <c r="Q749" i="14"/>
  <c r="K749" i="14"/>
  <c r="S749" i="14" s="1"/>
  <c r="Q755" i="14"/>
  <c r="K755" i="14"/>
  <c r="S755" i="14" s="1"/>
  <c r="Q764" i="14"/>
  <c r="K764" i="14"/>
  <c r="S764" i="14" s="1"/>
  <c r="Q782" i="14"/>
  <c r="K782" i="14"/>
  <c r="S782" i="14" s="1"/>
  <c r="Q793" i="14"/>
  <c r="K793" i="14"/>
  <c r="S793" i="14" s="1"/>
  <c r="Q830" i="14"/>
  <c r="K830" i="14"/>
  <c r="S830" i="14" s="1"/>
  <c r="Q834" i="14"/>
  <c r="K834" i="14"/>
  <c r="S834" i="14" s="1"/>
  <c r="Q859" i="14"/>
  <c r="K859" i="14"/>
  <c r="S859" i="14" s="1"/>
  <c r="Q870" i="14"/>
  <c r="K870" i="14"/>
  <c r="S870" i="14" s="1"/>
  <c r="Q875" i="14"/>
  <c r="K875" i="14"/>
  <c r="S875" i="14" s="1"/>
  <c r="Q880" i="14"/>
  <c r="K880" i="14"/>
  <c r="S880" i="14" s="1"/>
  <c r="Q885" i="14"/>
  <c r="K885" i="14"/>
  <c r="S885" i="14" s="1"/>
  <c r="Q890" i="14"/>
  <c r="K890" i="14"/>
  <c r="S890" i="14" s="1"/>
  <c r="Q898" i="14"/>
  <c r="K898" i="14"/>
  <c r="S898" i="14" s="1"/>
  <c r="Q908" i="14"/>
  <c r="K908" i="14"/>
  <c r="S908" i="14" s="1"/>
  <c r="Q924" i="14"/>
  <c r="O924" i="14"/>
  <c r="S924" i="14" s="1"/>
  <c r="I928" i="14"/>
  <c r="K930" i="14"/>
  <c r="S930" i="14" s="1"/>
  <c r="Q975" i="14"/>
  <c r="K975" i="14"/>
  <c r="S975" i="14" s="1"/>
  <c r="Q988" i="14"/>
  <c r="K988" i="14"/>
  <c r="S988" i="14" s="1"/>
  <c r="Q1000" i="14"/>
  <c r="K1000" i="14"/>
  <c r="S1000" i="14" s="1"/>
  <c r="Q1003" i="14"/>
  <c r="Q1007" i="14"/>
  <c r="K1007" i="14"/>
  <c r="S1007" i="14" s="1"/>
  <c r="Q1015" i="14"/>
  <c r="Q1020" i="14"/>
  <c r="K1020" i="14"/>
  <c r="S1020" i="14" s="1"/>
  <c r="Q1034" i="14"/>
  <c r="K1034" i="14"/>
  <c r="S1034" i="14" s="1"/>
  <c r="Q1051" i="14"/>
  <c r="K1051" i="14"/>
  <c r="S1051" i="14" s="1"/>
  <c r="Q1061" i="14"/>
  <c r="K1061" i="14"/>
  <c r="S1061" i="14" s="1"/>
  <c r="Q1093" i="14"/>
  <c r="K1093" i="14"/>
  <c r="S1093" i="14" s="1"/>
  <c r="Q1137" i="14"/>
  <c r="K1137" i="14"/>
  <c r="S1137" i="14" s="1"/>
  <c r="Q1145" i="14"/>
  <c r="K1145" i="14"/>
  <c r="S1145" i="14" s="1"/>
  <c r="Q1155" i="14"/>
  <c r="K1155" i="14"/>
  <c r="S1155" i="14" s="1"/>
  <c r="Q1198" i="14"/>
  <c r="K1198" i="14"/>
  <c r="S1198" i="14" s="1"/>
  <c r="Q1261" i="14"/>
  <c r="K1261" i="14"/>
  <c r="S1261" i="14" s="1"/>
  <c r="Q1302" i="14"/>
  <c r="K1302" i="14"/>
  <c r="S1302" i="14" s="1"/>
  <c r="Q1310" i="14"/>
  <c r="K1310" i="14"/>
  <c r="S1310" i="14" s="1"/>
  <c r="Q1329" i="14"/>
  <c r="Q1342" i="14"/>
  <c r="Q1363" i="14"/>
  <c r="Q1368" i="14"/>
  <c r="K1368" i="14"/>
  <c r="S1368" i="14" s="1"/>
  <c r="I1445" i="14"/>
  <c r="I1444" i="14" s="1"/>
  <c r="I1522" i="14"/>
  <c r="I1519" i="14" s="1"/>
  <c r="Q1696" i="14"/>
  <c r="Q1708" i="14"/>
  <c r="Q1841" i="14"/>
  <c r="K1841" i="14"/>
  <c r="S1841" i="14" s="1"/>
  <c r="Q1895" i="14"/>
  <c r="K1895" i="14"/>
  <c r="S1895" i="14" s="1"/>
  <c r="Q1906" i="14"/>
  <c r="K1906" i="14"/>
  <c r="S1906" i="14" s="1"/>
  <c r="Q1910" i="14"/>
  <c r="K1910" i="14"/>
  <c r="S1910" i="14" s="1"/>
  <c r="Q1915" i="14"/>
  <c r="K1915" i="14"/>
  <c r="S1915" i="14" s="1"/>
  <c r="Q1936" i="14"/>
  <c r="K1936" i="14"/>
  <c r="S1936" i="14" s="1"/>
  <c r="Q1941" i="14"/>
  <c r="O1941" i="14"/>
  <c r="S1941" i="14" s="1"/>
  <c r="Q1950" i="14"/>
  <c r="K1950" i="14"/>
  <c r="S1950" i="14" s="1"/>
  <c r="Q1953" i="14"/>
  <c r="Q389" i="14"/>
  <c r="K389" i="14"/>
  <c r="S389" i="14" s="1"/>
  <c r="Q603" i="14"/>
  <c r="K603" i="14"/>
  <c r="S603" i="14" s="1"/>
  <c r="Q619" i="14"/>
  <c r="O619" i="14"/>
  <c r="S619" i="14" s="1"/>
  <c r="Q645" i="14"/>
  <c r="K645" i="14"/>
  <c r="S645" i="14" s="1"/>
  <c r="Q669" i="14"/>
  <c r="K669" i="14"/>
  <c r="S669" i="14" s="1"/>
  <c r="Q688" i="14"/>
  <c r="K688" i="14"/>
  <c r="S688" i="14" s="1"/>
  <c r="Q717" i="14"/>
  <c r="K717" i="14"/>
  <c r="S717" i="14" s="1"/>
  <c r="I1959" i="14"/>
  <c r="K1959" i="14" s="1"/>
  <c r="S1959" i="14" s="1"/>
  <c r="K1960" i="14"/>
  <c r="S1960" i="14" s="1"/>
  <c r="Q337" i="14"/>
  <c r="K337" i="14"/>
  <c r="S337" i="14" s="1"/>
  <c r="Q347" i="14"/>
  <c r="O347" i="14"/>
  <c r="S347" i="14" s="1"/>
  <c r="Q371" i="14"/>
  <c r="O371" i="14"/>
  <c r="S371" i="14" s="1"/>
  <c r="M492" i="14"/>
  <c r="Q334" i="14"/>
  <c r="K334" i="14"/>
  <c r="S334" i="14" s="1"/>
  <c r="Q344" i="14"/>
  <c r="O344" i="14"/>
  <c r="S344" i="14" s="1"/>
  <c r="Q354" i="14"/>
  <c r="O354" i="14"/>
  <c r="S354" i="14" s="1"/>
  <c r="Q377" i="14"/>
  <c r="O377" i="14"/>
  <c r="S377" i="14" s="1"/>
  <c r="Q597" i="14"/>
  <c r="K597" i="14"/>
  <c r="S597" i="14" s="1"/>
  <c r="Q601" i="14"/>
  <c r="K601" i="14"/>
  <c r="S601" i="14" s="1"/>
  <c r="Q605" i="14"/>
  <c r="K605" i="14"/>
  <c r="S605" i="14" s="1"/>
  <c r="Q626" i="14"/>
  <c r="K626" i="14"/>
  <c r="S626" i="14" s="1"/>
  <c r="I628" i="14"/>
  <c r="I625" i="14" s="1"/>
  <c r="K625" i="14" s="1"/>
  <c r="S625" i="14" s="1"/>
  <c r="K630" i="14"/>
  <c r="S630" i="14" s="1"/>
  <c r="Q635" i="14"/>
  <c r="K635" i="14"/>
  <c r="S635" i="14" s="1"/>
  <c r="I646" i="14"/>
  <c r="I643" i="14" s="1"/>
  <c r="K643" i="14" s="1"/>
  <c r="K648" i="14"/>
  <c r="S648" i="14" s="1"/>
  <c r="M652" i="14"/>
  <c r="O652" i="14" s="1"/>
  <c r="Q656" i="14"/>
  <c r="K656" i="14"/>
  <c r="S656" i="14" s="1"/>
  <c r="Q666" i="14"/>
  <c r="K666" i="14"/>
  <c r="S666" i="14" s="1"/>
  <c r="Q675" i="14"/>
  <c r="K675" i="14"/>
  <c r="S675" i="14" s="1"/>
  <c r="Q680" i="14"/>
  <c r="K680" i="14"/>
  <c r="S680" i="14" s="1"/>
  <c r="Q699" i="14"/>
  <c r="K699" i="14"/>
  <c r="S699" i="14" s="1"/>
  <c r="Q731" i="14"/>
  <c r="K731" i="14"/>
  <c r="S731" i="14" s="1"/>
  <c r="Q735" i="14"/>
  <c r="K735" i="14"/>
  <c r="S735" i="14" s="1"/>
  <c r="Q770" i="14"/>
  <c r="K770" i="14"/>
  <c r="S770" i="14" s="1"/>
  <c r="Q779" i="14"/>
  <c r="K779" i="14"/>
  <c r="S779" i="14" s="1"/>
  <c r="Q800" i="14"/>
  <c r="K800" i="14"/>
  <c r="S800" i="14" s="1"/>
  <c r="Q831" i="14"/>
  <c r="K831" i="14"/>
  <c r="S831" i="14" s="1"/>
  <c r="Q852" i="14"/>
  <c r="K852" i="14"/>
  <c r="S852" i="14" s="1"/>
  <c r="Q871" i="14"/>
  <c r="K871" i="14"/>
  <c r="S871" i="14" s="1"/>
  <c r="Q881" i="14"/>
  <c r="K881" i="14"/>
  <c r="S881" i="14" s="1"/>
  <c r="Q886" i="14"/>
  <c r="K886" i="14"/>
  <c r="S886" i="14" s="1"/>
  <c r="Q899" i="14"/>
  <c r="K899" i="14"/>
  <c r="S899" i="14" s="1"/>
  <c r="Q909" i="14"/>
  <c r="K909" i="14"/>
  <c r="S909" i="14" s="1"/>
  <c r="Q914" i="14"/>
  <c r="K914" i="14"/>
  <c r="S914" i="14" s="1"/>
  <c r="Q919" i="14"/>
  <c r="K919" i="14"/>
  <c r="S919" i="14" s="1"/>
  <c r="Q953" i="14"/>
  <c r="K953" i="14"/>
  <c r="S953" i="14" s="1"/>
  <c r="Q961" i="14"/>
  <c r="K961" i="14"/>
  <c r="S961" i="14" s="1"/>
  <c r="Q976" i="14"/>
  <c r="K976" i="14"/>
  <c r="S976" i="14" s="1"/>
  <c r="Q984" i="14"/>
  <c r="K984" i="14"/>
  <c r="S984" i="14" s="1"/>
  <c r="Q989" i="14"/>
  <c r="K989" i="14"/>
  <c r="S989" i="14" s="1"/>
  <c r="Q997" i="14"/>
  <c r="K997" i="14"/>
  <c r="S997" i="14" s="1"/>
  <c r="Q1001" i="14"/>
  <c r="K1001" i="14"/>
  <c r="S1001" i="14" s="1"/>
  <c r="Q1016" i="14"/>
  <c r="K1016" i="14"/>
  <c r="S1016" i="14" s="1"/>
  <c r="Q1035" i="14"/>
  <c r="K1035" i="14"/>
  <c r="S1035" i="14" s="1"/>
  <c r="Q1062" i="14"/>
  <c r="K1062" i="14"/>
  <c r="S1062" i="14" s="1"/>
  <c r="Q1142" i="14"/>
  <c r="K1142" i="14"/>
  <c r="S1142" i="14" s="1"/>
  <c r="Q1225" i="14"/>
  <c r="K1225" i="14"/>
  <c r="S1225" i="14" s="1"/>
  <c r="Q1234" i="14"/>
  <c r="K1234" i="14"/>
  <c r="S1234" i="14" s="1"/>
  <c r="Q1262" i="14"/>
  <c r="K1262" i="14"/>
  <c r="S1262" i="14" s="1"/>
  <c r="Q1279" i="14"/>
  <c r="O1279" i="14"/>
  <c r="S1279" i="14" s="1"/>
  <c r="Q1290" i="14"/>
  <c r="K1290" i="14"/>
  <c r="S1290" i="14" s="1"/>
  <c r="Q1311" i="14"/>
  <c r="K1311" i="14"/>
  <c r="S1311" i="14" s="1"/>
  <c r="Q1360" i="14"/>
  <c r="K1360" i="14"/>
  <c r="S1360" i="14" s="1"/>
  <c r="Q1373" i="14"/>
  <c r="K1373" i="14"/>
  <c r="S1373" i="14" s="1"/>
  <c r="Q1382" i="14"/>
  <c r="K1382" i="14"/>
  <c r="S1382" i="14" s="1"/>
  <c r="I1568" i="14"/>
  <c r="Q1838" i="14"/>
  <c r="K1838" i="14"/>
  <c r="S1838" i="14" s="1"/>
  <c r="I1844" i="14"/>
  <c r="I1843" i="14" s="1"/>
  <c r="K1843" i="14" s="1"/>
  <c r="S1843" i="14" s="1"/>
  <c r="Q1849" i="14"/>
  <c r="Q1871" i="14"/>
  <c r="K1871" i="14"/>
  <c r="S1871" i="14" s="1"/>
  <c r="M1876" i="14"/>
  <c r="O1876" i="14" s="1"/>
  <c r="S1876" i="14" s="1"/>
  <c r="O1877" i="14"/>
  <c r="S1877" i="14" s="1"/>
  <c r="Q1916" i="14"/>
  <c r="K1916" i="14"/>
  <c r="S1916" i="14" s="1"/>
  <c r="Q1922" i="14"/>
  <c r="Q1925" i="14"/>
  <c r="Q1934" i="14"/>
  <c r="K1934" i="14"/>
  <c r="S1934" i="14" s="1"/>
  <c r="M1938" i="14"/>
  <c r="Q1951" i="14"/>
  <c r="K1951" i="14"/>
  <c r="S1951" i="14" s="1"/>
  <c r="Q632" i="14"/>
  <c r="K632" i="14"/>
  <c r="S632" i="14" s="1"/>
  <c r="Q678" i="14"/>
  <c r="K678" i="14"/>
  <c r="S678" i="14" s="1"/>
  <c r="Q696" i="14"/>
  <c r="K696" i="14"/>
  <c r="S696" i="14" s="1"/>
  <c r="Q744" i="14"/>
  <c r="K744" i="14"/>
  <c r="S744" i="14" s="1"/>
  <c r="Q758" i="14"/>
  <c r="K758" i="14"/>
  <c r="S758" i="14" s="1"/>
  <c r="Q776" i="14"/>
  <c r="K776" i="14"/>
  <c r="S776" i="14" s="1"/>
  <c r="Q815" i="14"/>
  <c r="K815" i="14"/>
  <c r="S815" i="14" s="1"/>
  <c r="Q818" i="14"/>
  <c r="K818" i="14"/>
  <c r="S818" i="14" s="1"/>
  <c r="Q838" i="14"/>
  <c r="K838" i="14"/>
  <c r="S838" i="14" s="1"/>
  <c r="Q849" i="14"/>
  <c r="K849" i="14"/>
  <c r="S849" i="14" s="1"/>
  <c r="Q858" i="14"/>
  <c r="K858" i="14"/>
  <c r="S858" i="14" s="1"/>
  <c r="Q879" i="14"/>
  <c r="K879" i="14"/>
  <c r="S879" i="14" s="1"/>
  <c r="Q889" i="14"/>
  <c r="K889" i="14"/>
  <c r="S889" i="14" s="1"/>
  <c r="M922" i="14"/>
  <c r="O923" i="14"/>
  <c r="S923" i="14" s="1"/>
  <c r="Q963" i="14"/>
  <c r="K963" i="14"/>
  <c r="S963" i="14" s="1"/>
  <c r="Q999" i="14"/>
  <c r="K999" i="14"/>
  <c r="S999" i="14" s="1"/>
  <c r="Q1042" i="14"/>
  <c r="K1042" i="14"/>
  <c r="S1042" i="14" s="1"/>
  <c r="Q1270" i="14"/>
  <c r="K1270" i="14"/>
  <c r="S1270" i="14" s="1"/>
  <c r="Q1282" i="14"/>
  <c r="K1282" i="14"/>
  <c r="S1282" i="14" s="1"/>
  <c r="I1292" i="14"/>
  <c r="Q1301" i="14"/>
  <c r="K1301" i="14"/>
  <c r="S1301" i="14" s="1"/>
  <c r="Q1309" i="14"/>
  <c r="K1309" i="14"/>
  <c r="S1309" i="14" s="1"/>
  <c r="Q1321" i="14"/>
  <c r="K1321" i="14"/>
  <c r="S1321" i="14" s="1"/>
  <c r="Q1358" i="14"/>
  <c r="K1358" i="14"/>
  <c r="S1358" i="14" s="1"/>
  <c r="Q1886" i="14"/>
  <c r="K1886" i="14"/>
  <c r="S1886" i="14" s="1"/>
  <c r="Q1909" i="14"/>
  <c r="K1909" i="14"/>
  <c r="S1909" i="14" s="1"/>
  <c r="Q1921" i="14"/>
  <c r="K1921" i="14"/>
  <c r="S1921" i="14" s="1"/>
  <c r="Q1964" i="14"/>
  <c r="K1964" i="14"/>
  <c r="S1964" i="14" s="1"/>
  <c r="I247" i="14"/>
  <c r="Q247" i="14" s="1"/>
  <c r="Q341" i="14"/>
  <c r="K341" i="14"/>
  <c r="S341" i="14" s="1"/>
  <c r="Q362" i="14"/>
  <c r="K362" i="14"/>
  <c r="S362" i="14" s="1"/>
  <c r="Q376" i="14"/>
  <c r="O376" i="14"/>
  <c r="S376" i="14" s="1"/>
  <c r="I79" i="14"/>
  <c r="Q174" i="14"/>
  <c r="M179" i="14"/>
  <c r="I237" i="14"/>
  <c r="Q339" i="14"/>
  <c r="K339" i="14"/>
  <c r="S339" i="14" s="1"/>
  <c r="M345" i="14"/>
  <c r="O346" i="14"/>
  <c r="S346" i="14" s="1"/>
  <c r="Q350" i="14"/>
  <c r="K350" i="14"/>
  <c r="S350" i="14" s="1"/>
  <c r="Q383" i="14"/>
  <c r="Q602" i="14"/>
  <c r="K602" i="14"/>
  <c r="S602" i="14" s="1"/>
  <c r="Q606" i="14"/>
  <c r="K606" i="14"/>
  <c r="S606" i="14" s="1"/>
  <c r="I610" i="14"/>
  <c r="I607" i="14" s="1"/>
  <c r="K607" i="14" s="1"/>
  <c r="Q613" i="14"/>
  <c r="K613" i="14"/>
  <c r="S613" i="14" s="1"/>
  <c r="Q636" i="14"/>
  <c r="K636" i="14"/>
  <c r="S636" i="14" s="1"/>
  <c r="Q649" i="14"/>
  <c r="K649" i="14"/>
  <c r="S649" i="14" s="1"/>
  <c r="I652" i="14"/>
  <c r="K652" i="14" s="1"/>
  <c r="K653" i="14"/>
  <c r="S653" i="14" s="1"/>
  <c r="Q657" i="14"/>
  <c r="K657" i="14"/>
  <c r="S657" i="14" s="1"/>
  <c r="Q662" i="14"/>
  <c r="K662" i="14"/>
  <c r="S662" i="14" s="1"/>
  <c r="Q671" i="14"/>
  <c r="Q687" i="14"/>
  <c r="K687" i="14"/>
  <c r="S687" i="14" s="1"/>
  <c r="I691" i="14"/>
  <c r="K691" i="14" s="1"/>
  <c r="K692" i="14"/>
  <c r="Q695" i="14"/>
  <c r="K695" i="14"/>
  <c r="S695" i="14" s="1"/>
  <c r="Q705" i="14"/>
  <c r="K705" i="14"/>
  <c r="S705" i="14" s="1"/>
  <c r="Q709" i="14"/>
  <c r="K709" i="14"/>
  <c r="S709" i="14" s="1"/>
  <c r="Q743" i="14"/>
  <c r="K743" i="14"/>
  <c r="S743" i="14" s="1"/>
  <c r="Q747" i="14"/>
  <c r="Q767" i="14"/>
  <c r="K767" i="14"/>
  <c r="S767" i="14" s="1"/>
  <c r="Q775" i="14"/>
  <c r="Q780" i="14"/>
  <c r="K780" i="14"/>
  <c r="S780" i="14" s="1"/>
  <c r="Q790" i="14"/>
  <c r="K790" i="14"/>
  <c r="S790" i="14" s="1"/>
  <c r="Q806" i="14"/>
  <c r="K806" i="14"/>
  <c r="S806" i="14" s="1"/>
  <c r="Q810" i="14"/>
  <c r="K810" i="14"/>
  <c r="S810" i="14" s="1"/>
  <c r="Q814" i="14"/>
  <c r="Q817" i="14"/>
  <c r="Q823" i="14"/>
  <c r="K823" i="14"/>
  <c r="S823" i="14" s="1"/>
  <c r="Q840" i="14"/>
  <c r="Q882" i="14"/>
  <c r="K882" i="14"/>
  <c r="S882" i="14" s="1"/>
  <c r="Q910" i="14"/>
  <c r="K910" i="14"/>
  <c r="S910" i="14" s="1"/>
  <c r="Q927" i="14"/>
  <c r="K927" i="14"/>
  <c r="S927" i="14" s="1"/>
  <c r="Q958" i="14"/>
  <c r="K958" i="14"/>
  <c r="S958" i="14" s="1"/>
  <c r="Q962" i="14"/>
  <c r="K962" i="14"/>
  <c r="S962" i="14" s="1"/>
  <c r="Q967" i="14"/>
  <c r="K967" i="14"/>
  <c r="S967" i="14" s="1"/>
  <c r="Q985" i="14"/>
  <c r="K985" i="14"/>
  <c r="S985" i="14" s="1"/>
  <c r="Q990" i="14"/>
  <c r="K990" i="14"/>
  <c r="S990" i="14" s="1"/>
  <c r="Q1002" i="14"/>
  <c r="K1002" i="14"/>
  <c r="S1002" i="14" s="1"/>
  <c r="Q1004" i="14"/>
  <c r="Q1013" i="14"/>
  <c r="Q1018" i="14"/>
  <c r="K1018" i="14"/>
  <c r="S1018" i="14" s="1"/>
  <c r="Q1041" i="14"/>
  <c r="K1041" i="14"/>
  <c r="S1041" i="14" s="1"/>
  <c r="Q1068" i="14"/>
  <c r="K1068" i="14"/>
  <c r="S1068" i="14" s="1"/>
  <c r="Q1078" i="14"/>
  <c r="K1078" i="14"/>
  <c r="S1078" i="14" s="1"/>
  <c r="Q1086" i="14"/>
  <c r="K1086" i="14"/>
  <c r="S1086" i="14" s="1"/>
  <c r="Q1098" i="14"/>
  <c r="K1098" i="14"/>
  <c r="S1098" i="14" s="1"/>
  <c r="Q1109" i="14"/>
  <c r="K1109" i="14"/>
  <c r="S1109" i="14" s="1"/>
  <c r="Q1130" i="14"/>
  <c r="K1130" i="14"/>
  <c r="S1130" i="14" s="1"/>
  <c r="Q1163" i="14"/>
  <c r="K1163" i="14"/>
  <c r="S1163" i="14" s="1"/>
  <c r="Q1205" i="14"/>
  <c r="K1205" i="14"/>
  <c r="S1205" i="14" s="1"/>
  <c r="Q1215" i="14"/>
  <c r="K1215" i="14"/>
  <c r="S1215" i="14" s="1"/>
  <c r="Q1235" i="14"/>
  <c r="K1235" i="14"/>
  <c r="S1235" i="14" s="1"/>
  <c r="Q1240" i="14"/>
  <c r="K1240" i="14"/>
  <c r="S1240" i="14" s="1"/>
  <c r="Q1258" i="14"/>
  <c r="K1258" i="14"/>
  <c r="S1258" i="14" s="1"/>
  <c r="Q1269" i="14"/>
  <c r="K1269" i="14"/>
  <c r="S1269" i="14" s="1"/>
  <c r="Q1273" i="14"/>
  <c r="Q1281" i="14"/>
  <c r="K1281" i="14"/>
  <c r="S1281" i="14" s="1"/>
  <c r="Q1286" i="14"/>
  <c r="K1286" i="14"/>
  <c r="S1286" i="14" s="1"/>
  <c r="Q1291" i="14"/>
  <c r="K1291" i="14"/>
  <c r="S1291" i="14" s="1"/>
  <c r="I1463" i="14"/>
  <c r="I1685" i="14"/>
  <c r="K1685" i="14" s="1"/>
  <c r="Q1839" i="14"/>
  <c r="K1839" i="14"/>
  <c r="S1839" i="14" s="1"/>
  <c r="Q1872" i="14"/>
  <c r="K1872" i="14"/>
  <c r="S1872" i="14" s="1"/>
  <c r="Q1892" i="14"/>
  <c r="K1892" i="14"/>
  <c r="S1892" i="14" s="1"/>
  <c r="Q1908" i="14"/>
  <c r="K1908" i="14"/>
  <c r="S1908" i="14" s="1"/>
  <c r="Q1919" i="14"/>
  <c r="K1919" i="14"/>
  <c r="S1919" i="14" s="1"/>
  <c r="M1952" i="14"/>
  <c r="O1952" i="14" s="1"/>
  <c r="S1952" i="14" s="1"/>
  <c r="Q1957" i="14"/>
  <c r="K1957" i="14"/>
  <c r="S1957" i="14" s="1"/>
  <c r="Q1967" i="14"/>
  <c r="K1967" i="14"/>
  <c r="S1967" i="14" s="1"/>
  <c r="I1976" i="14"/>
  <c r="K1976" i="14" s="1"/>
  <c r="S1976" i="14" s="1"/>
  <c r="K1982" i="14"/>
  <c r="S1982" i="14" s="1"/>
  <c r="H10" i="15"/>
  <c r="H239" i="13"/>
  <c r="H317" i="13"/>
  <c r="H210" i="13"/>
  <c r="I1836" i="14"/>
  <c r="I1833" i="14" s="1"/>
  <c r="K1833" i="14" s="1"/>
  <c r="S1833" i="14" s="1"/>
  <c r="I331" i="14"/>
  <c r="K331" i="14" s="1"/>
  <c r="S331" i="14" s="1"/>
  <c r="M373" i="14"/>
  <c r="O373" i="14" s="1"/>
  <c r="Q630" i="14"/>
  <c r="Q648" i="14"/>
  <c r="Q923" i="14"/>
  <c r="I1075" i="14"/>
  <c r="Q1265" i="14"/>
  <c r="I1414" i="14"/>
  <c r="Q1459" i="14"/>
  <c r="I1480" i="14"/>
  <c r="K1480" i="14" s="1"/>
  <c r="S1480" i="14" s="1"/>
  <c r="Q1509" i="14"/>
  <c r="Q1877" i="14"/>
  <c r="I1894" i="14"/>
  <c r="I1903" i="14"/>
  <c r="I1900" i="14" s="1"/>
  <c r="K1900" i="14" s="1"/>
  <c r="S1900" i="14" s="1"/>
  <c r="I1918" i="14"/>
  <c r="K1918" i="14" s="1"/>
  <c r="S1918" i="14" s="1"/>
  <c r="M1940" i="14"/>
  <c r="Q1960" i="14"/>
  <c r="I1963" i="14"/>
  <c r="Q2010" i="14"/>
  <c r="I765" i="14"/>
  <c r="I762" i="14" s="1"/>
  <c r="I791" i="14"/>
  <c r="I850" i="14"/>
  <c r="I1153" i="14"/>
  <c r="K1153" i="14" s="1"/>
  <c r="S1153" i="14" s="1"/>
  <c r="M1747" i="14"/>
  <c r="I221" i="14"/>
  <c r="Q329" i="14"/>
  <c r="I460" i="14"/>
  <c r="M762" i="14"/>
  <c r="O762" i="14" s="1"/>
  <c r="I883" i="14"/>
  <c r="I1094" i="14"/>
  <c r="Q1154" i="14"/>
  <c r="I1375" i="14"/>
  <c r="I1372" i="14" s="1"/>
  <c r="K1372" i="14" s="1"/>
  <c r="S1372" i="14" s="1"/>
  <c r="Q1735" i="14"/>
  <c r="Q1752" i="14"/>
  <c r="I1999" i="14"/>
  <c r="Q1891" i="14"/>
  <c r="I1890" i="14"/>
  <c r="K1890" i="14" s="1"/>
  <c r="S1890" i="14" s="1"/>
  <c r="I1929" i="14"/>
  <c r="K1929" i="14" s="1"/>
  <c r="S1929" i="14" s="1"/>
  <c r="I1912" i="14"/>
  <c r="K1912" i="14" s="1"/>
  <c r="S1912" i="14" s="1"/>
  <c r="Q1914" i="14"/>
  <c r="Q1880" i="14"/>
  <c r="I1848" i="14"/>
  <c r="K1848" i="14" s="1"/>
  <c r="S1848" i="14" s="1"/>
  <c r="Q1852" i="14"/>
  <c r="I1882" i="14"/>
  <c r="I1879" i="14" s="1"/>
  <c r="K1879" i="14" s="1"/>
  <c r="S1879" i="14" s="1"/>
  <c r="Q1982" i="14"/>
  <c r="I1956" i="14"/>
  <c r="K1956" i="14" s="1"/>
  <c r="S1956" i="14" s="1"/>
  <c r="Q1687" i="14"/>
  <c r="I1736" i="14"/>
  <c r="I1759" i="14"/>
  <c r="K1759" i="14" s="1"/>
  <c r="Q1766" i="14"/>
  <c r="I1773" i="14"/>
  <c r="K1773" i="14" s="1"/>
  <c r="I1713" i="14"/>
  <c r="K1713" i="14" s="1"/>
  <c r="M1721" i="14"/>
  <c r="O1721" i="14" s="1"/>
  <c r="M1729" i="14"/>
  <c r="O1729" i="14" s="1"/>
  <c r="I1755" i="14"/>
  <c r="M1782" i="14"/>
  <c r="O1782" i="14" s="1"/>
  <c r="M1603" i="14"/>
  <c r="O1603" i="14" s="1"/>
  <c r="S1603" i="14" s="1"/>
  <c r="I1606" i="14"/>
  <c r="M1609" i="14"/>
  <c r="I1596" i="14"/>
  <c r="K1596" i="14" s="1"/>
  <c r="S1596" i="14" s="1"/>
  <c r="Q1462" i="14"/>
  <c r="Q1465" i="14"/>
  <c r="I1491" i="14"/>
  <c r="K1491" i="14" s="1"/>
  <c r="S1491" i="14" s="1"/>
  <c r="M1502" i="14"/>
  <c r="O1502" i="14" s="1"/>
  <c r="S1502" i="14" s="1"/>
  <c r="M1474" i="14"/>
  <c r="M1533" i="14"/>
  <c r="O1533" i="14" s="1"/>
  <c r="S1533" i="14" s="1"/>
  <c r="Q116" i="14"/>
  <c r="I128" i="14"/>
  <c r="K128" i="14" s="1"/>
  <c r="Q374" i="14"/>
  <c r="I373" i="14"/>
  <c r="Q198" i="14"/>
  <c r="I940" i="14"/>
  <c r="Q946" i="14"/>
  <c r="Q117" i="14"/>
  <c r="Q125" i="14"/>
  <c r="Q131" i="14"/>
  <c r="Q336" i="14"/>
  <c r="Q704" i="14"/>
  <c r="M728" i="14"/>
  <c r="Q729" i="14"/>
  <c r="I1043" i="14"/>
  <c r="K1043" i="14" s="1"/>
  <c r="S1043" i="14" s="1"/>
  <c r="Q1044" i="14"/>
  <c r="I1176" i="14"/>
  <c r="K1176" i="14" s="1"/>
  <c r="S1176" i="14" s="1"/>
  <c r="Q1177" i="14"/>
  <c r="Q1352" i="14"/>
  <c r="I1349" i="14"/>
  <c r="K1349" i="14" s="1"/>
  <c r="S1349" i="14" s="1"/>
  <c r="I667" i="14"/>
  <c r="I664" i="14" s="1"/>
  <c r="I685" i="14"/>
  <c r="M740" i="14"/>
  <c r="O740" i="14" s="1"/>
  <c r="S740" i="14" s="1"/>
  <c r="Q741" i="14"/>
  <c r="Q848" i="14"/>
  <c r="Q863" i="14"/>
  <c r="I860" i="14"/>
  <c r="I872" i="14"/>
  <c r="Q874" i="14"/>
  <c r="M894" i="14"/>
  <c r="O894" i="14" s="1"/>
  <c r="S894" i="14" s="1"/>
  <c r="Q895" i="14"/>
  <c r="I1032" i="14"/>
  <c r="Q1033" i="14"/>
  <c r="I1070" i="14"/>
  <c r="Q1072" i="14"/>
  <c r="I1161" i="14"/>
  <c r="K1161" i="14" s="1"/>
  <c r="S1161" i="14" s="1"/>
  <c r="Q1162" i="14"/>
  <c r="I1212" i="14"/>
  <c r="Q1214" i="14"/>
  <c r="Q641" i="14"/>
  <c r="I637" i="14"/>
  <c r="I634" i="14" s="1"/>
  <c r="I658" i="14"/>
  <c r="Q660" i="14"/>
  <c r="I706" i="14"/>
  <c r="Q710" i="14"/>
  <c r="Q839" i="14"/>
  <c r="I835" i="14"/>
  <c r="Q1092" i="14"/>
  <c r="I229" i="14"/>
  <c r="I226" i="14" s="1"/>
  <c r="I359" i="14"/>
  <c r="K359" i="14" s="1"/>
  <c r="Q380" i="14"/>
  <c r="Q442" i="14"/>
  <c r="I441" i="14"/>
  <c r="I911" i="14"/>
  <c r="Q913" i="14"/>
  <c r="I1024" i="14"/>
  <c r="Q1027" i="14"/>
  <c r="I135" i="14"/>
  <c r="Q357" i="14"/>
  <c r="M352" i="14"/>
  <c r="Q478" i="14"/>
  <c r="M473" i="14"/>
  <c r="O473" i="14" s="1"/>
  <c r="S473" i="14" s="1"/>
  <c r="Q644" i="14"/>
  <c r="Q726" i="14"/>
  <c r="I1049" i="14"/>
  <c r="Q1052" i="14"/>
  <c r="M1336" i="14"/>
  <c r="Q1337" i="14"/>
  <c r="I451" i="14"/>
  <c r="K451" i="14" s="1"/>
  <c r="S451" i="14" s="1"/>
  <c r="Q653" i="14"/>
  <c r="I745" i="14"/>
  <c r="M1278" i="14"/>
  <c r="M1277" i="14" s="1"/>
  <c r="O1277" i="14" s="1"/>
  <c r="S1277" i="14" s="1"/>
  <c r="I1059" i="14"/>
  <c r="I1127" i="14"/>
  <c r="I1195" i="14"/>
  <c r="I1202" i="14"/>
  <c r="Q718" i="14"/>
  <c r="Q714" i="14"/>
  <c r="M713" i="14"/>
  <c r="O713" i="14" s="1"/>
  <c r="S713" i="14" s="1"/>
  <c r="Q754" i="14"/>
  <c r="I753" i="14"/>
  <c r="Q751" i="14"/>
  <c r="M750" i="14"/>
  <c r="O750" i="14" s="1"/>
  <c r="S750" i="14" s="1"/>
  <c r="I802" i="14"/>
  <c r="Q804" i="14"/>
  <c r="I812" i="14"/>
  <c r="Q789" i="14"/>
  <c r="Q599" i="14"/>
  <c r="I598" i="14"/>
  <c r="I719" i="14"/>
  <c r="Q721" i="14"/>
  <c r="I733" i="14"/>
  <c r="K733" i="14" s="1"/>
  <c r="S733" i="14" s="1"/>
  <c r="Q737" i="14"/>
  <c r="Q801" i="14"/>
  <c r="Q828" i="14"/>
  <c r="I825" i="14"/>
  <c r="Q987" i="14"/>
  <c r="I986" i="14"/>
  <c r="I974" i="14" s="1"/>
  <c r="Q974" i="14" s="1"/>
  <c r="Q1019" i="14"/>
  <c r="I1017" i="14"/>
  <c r="Q1115" i="14"/>
  <c r="I1114" i="14"/>
  <c r="K1114" i="14" s="1"/>
  <c r="S1114" i="14" s="1"/>
  <c r="Q1186" i="14"/>
  <c r="I1184" i="14"/>
  <c r="K1184" i="14" s="1"/>
  <c r="S1184" i="14" s="1"/>
  <c r="I676" i="14"/>
  <c r="K676" i="14" s="1"/>
  <c r="S676" i="14" s="1"/>
  <c r="I697" i="14"/>
  <c r="K697" i="14" s="1"/>
  <c r="S697" i="14" s="1"/>
  <c r="I777" i="14"/>
  <c r="K777" i="14" s="1"/>
  <c r="S777" i="14" s="1"/>
  <c r="Q846" i="14"/>
  <c r="M845" i="14"/>
  <c r="O845" i="14" s="1"/>
  <c r="S845" i="14" s="1"/>
  <c r="Q926" i="14"/>
  <c r="Q952" i="14"/>
  <c r="Q977" i="14"/>
  <c r="Q1009" i="14"/>
  <c r="I1008" i="14"/>
  <c r="I1005" i="14" s="1"/>
  <c r="Q1227" i="14"/>
  <c r="I1224" i="14"/>
  <c r="K1224" i="14" s="1"/>
  <c r="S1224" i="14" s="1"/>
  <c r="Q903" i="14"/>
  <c r="I900" i="14"/>
  <c r="I596" i="14"/>
  <c r="K596" i="14" s="1"/>
  <c r="S596" i="14" s="1"/>
  <c r="M618" i="14"/>
  <c r="O618" i="14" s="1"/>
  <c r="S618" i="14" s="1"/>
  <c r="K785" i="14"/>
  <c r="S785" i="14" s="1"/>
  <c r="I964" i="14"/>
  <c r="Q970" i="14"/>
  <c r="I996" i="14"/>
  <c r="K996" i="14" s="1"/>
  <c r="S996" i="14" s="1"/>
  <c r="Q998" i="14"/>
  <c r="I1134" i="14"/>
  <c r="Q1219" i="14"/>
  <c r="M1218" i="14"/>
  <c r="O1218" i="14" s="1"/>
  <c r="S1218" i="14" s="1"/>
  <c r="Q1256" i="14"/>
  <c r="I1255" i="14"/>
  <c r="Q1105" i="14"/>
  <c r="I1104" i="14"/>
  <c r="K1104" i="14" s="1"/>
  <c r="S1104" i="14" s="1"/>
  <c r="Q1300" i="14"/>
  <c r="I1299" i="14"/>
  <c r="Q1210" i="14"/>
  <c r="Q1233" i="14"/>
  <c r="I1232" i="14"/>
  <c r="Q1284" i="14"/>
  <c r="I1283" i="14"/>
  <c r="K1283" i="14" s="1"/>
  <c r="S1283" i="14" s="1"/>
  <c r="I1249" i="14"/>
  <c r="Q1251" i="14"/>
  <c r="I1271" i="14"/>
  <c r="Q1275" i="14"/>
  <c r="I1365" i="14"/>
  <c r="I1362" i="14" s="1"/>
  <c r="Q1367" i="14"/>
  <c r="Q1239" i="14"/>
  <c r="Q1364" i="14"/>
  <c r="K1357" i="14"/>
  <c r="S1357" i="14" s="1"/>
  <c r="I435" i="14"/>
  <c r="Q457" i="14"/>
  <c r="Q463" i="14"/>
  <c r="M466" i="14"/>
  <c r="O466" i="14" s="1"/>
  <c r="S466" i="14" s="1"/>
  <c r="Q502" i="14"/>
  <c r="I388" i="14"/>
  <c r="K388" i="14" s="1"/>
  <c r="S388" i="14" s="1"/>
  <c r="M343" i="14"/>
  <c r="O343" i="14" s="1"/>
  <c r="S343" i="14" s="1"/>
  <c r="M370" i="14"/>
  <c r="O370" i="14" s="1"/>
  <c r="S370" i="14" s="1"/>
  <c r="B247" i="14"/>
  <c r="B248" i="14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Q272" i="14"/>
  <c r="Q234" i="14"/>
  <c r="M279" i="14"/>
  <c r="O279" i="14" s="1"/>
  <c r="S279" i="14" s="1"/>
  <c r="I283" i="14"/>
  <c r="K283" i="14" s="1"/>
  <c r="S283" i="14" s="1"/>
  <c r="M128" i="14"/>
  <c r="O128" i="14" s="1"/>
  <c r="Q137" i="14"/>
  <c r="M152" i="14"/>
  <c r="I165" i="14"/>
  <c r="I182" i="14"/>
  <c r="K182" i="14" s="1"/>
  <c r="S182" i="14" s="1"/>
  <c r="I187" i="14"/>
  <c r="K187" i="14" s="1"/>
  <c r="S187" i="14" s="1"/>
  <c r="I200" i="14"/>
  <c r="K200" i="14" s="1"/>
  <c r="S200" i="14" s="1"/>
  <c r="M203" i="14"/>
  <c r="O203" i="14" s="1"/>
  <c r="S203" i="14" s="1"/>
  <c r="I139" i="14"/>
  <c r="K139" i="14" s="1"/>
  <c r="S139" i="14" s="1"/>
  <c r="I159" i="14"/>
  <c r="K159" i="14" s="1"/>
  <c r="S159" i="14" s="1"/>
  <c r="I184" i="14"/>
  <c r="I77" i="14"/>
  <c r="I81" i="14"/>
  <c r="I87" i="14"/>
  <c r="H477" i="13"/>
  <c r="H472" i="13"/>
  <c r="H471" i="13" s="1"/>
  <c r="H470" i="13" s="1"/>
  <c r="H68" i="13"/>
  <c r="H75" i="13"/>
  <c r="H83" i="13"/>
  <c r="H90" i="13"/>
  <c r="H101" i="13"/>
  <c r="H108" i="13"/>
  <c r="H258" i="13"/>
  <c r="H341" i="13"/>
  <c r="H379" i="13"/>
  <c r="H28" i="13"/>
  <c r="H23" i="13" s="1"/>
  <c r="H409" i="13"/>
  <c r="H243" i="13"/>
  <c r="H368" i="13"/>
  <c r="H329" i="13"/>
  <c r="H250" i="13"/>
  <c r="H7" i="13"/>
  <c r="Q1996" i="14" l="1"/>
  <c r="K1961" i="14"/>
  <c r="S1961" i="14" s="1"/>
  <c r="I1763" i="14"/>
  <c r="K1763" i="14" s="1"/>
  <c r="M1682" i="14"/>
  <c r="O1682" i="14" s="1"/>
  <c r="Q1876" i="14"/>
  <c r="M643" i="14"/>
  <c r="O643" i="14" s="1"/>
  <c r="S643" i="14" s="1"/>
  <c r="Q129" i="14"/>
  <c r="S652" i="14"/>
  <c r="Q268" i="14"/>
  <c r="I1682" i="14"/>
  <c r="K1682" i="14" s="1"/>
  <c r="I1973" i="14"/>
  <c r="K1973" i="14" s="1"/>
  <c r="S1973" i="14" s="1"/>
  <c r="Q1999" i="14"/>
  <c r="K1999" i="14"/>
  <c r="S1999" i="14" s="1"/>
  <c r="Q2001" i="14"/>
  <c r="O2001" i="14"/>
  <c r="S2001" i="14" s="1"/>
  <c r="Q2015" i="14"/>
  <c r="O2015" i="14"/>
  <c r="S2015" i="14" s="1"/>
  <c r="H126" i="13"/>
  <c r="H115" i="13"/>
  <c r="B864" i="14"/>
  <c r="B865" i="14" s="1"/>
  <c r="B866" i="14" s="1"/>
  <c r="B867" i="14" s="1"/>
  <c r="B868" i="14" s="1"/>
  <c r="B869" i="14" s="1"/>
  <c r="B870" i="14" s="1"/>
  <c r="B871" i="14" s="1"/>
  <c r="B872" i="14" s="1"/>
  <c r="B873" i="14" s="1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B884" i="14" s="1"/>
  <c r="B885" i="14" s="1"/>
  <c r="B886" i="14" s="1"/>
  <c r="R593" i="14"/>
  <c r="M193" i="14"/>
  <c r="M186" i="14" s="1"/>
  <c r="O186" i="14" s="1"/>
  <c r="I1943" i="14"/>
  <c r="K1943" i="14" s="1"/>
  <c r="Q1924" i="14"/>
  <c r="Q197" i="14"/>
  <c r="B274" i="14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I349" i="14"/>
  <c r="K349" i="14" s="1"/>
  <c r="I448" i="14"/>
  <c r="I440" i="14" s="1"/>
  <c r="K440" i="14" s="1"/>
  <c r="S440" i="14" s="1"/>
  <c r="Q1263" i="14"/>
  <c r="I115" i="14"/>
  <c r="Q115" i="14" s="1"/>
  <c r="M1875" i="14"/>
  <c r="O1875" i="14" s="1"/>
  <c r="S1875" i="14" s="1"/>
  <c r="Q1449" i="14"/>
  <c r="M1455" i="14"/>
  <c r="O1455" i="14" s="1"/>
  <c r="S1455" i="14" s="1"/>
  <c r="M175" i="14"/>
  <c r="Q175" i="14" s="1"/>
  <c r="O179" i="14"/>
  <c r="S179" i="14" s="1"/>
  <c r="Q119" i="14"/>
  <c r="K119" i="14"/>
  <c r="S119" i="14" s="1"/>
  <c r="I267" i="14"/>
  <c r="K267" i="14" s="1"/>
  <c r="Q123" i="14"/>
  <c r="K123" i="14"/>
  <c r="S123" i="14" s="1"/>
  <c r="Q173" i="14"/>
  <c r="K173" i="14"/>
  <c r="S173" i="14" s="1"/>
  <c r="Q152" i="14"/>
  <c r="O152" i="14"/>
  <c r="S152" i="14" s="1"/>
  <c r="Q135" i="14"/>
  <c r="K135" i="14"/>
  <c r="S135" i="14" s="1"/>
  <c r="S128" i="14"/>
  <c r="Q79" i="14"/>
  <c r="K79" i="14"/>
  <c r="S79" i="14" s="1"/>
  <c r="Q132" i="14"/>
  <c r="O132" i="14"/>
  <c r="S132" i="14" s="1"/>
  <c r="Q184" i="14"/>
  <c r="K184" i="14"/>
  <c r="S184" i="14" s="1"/>
  <c r="Q87" i="14"/>
  <c r="K87" i="14"/>
  <c r="S87" i="14" s="1"/>
  <c r="Q81" i="14"/>
  <c r="K81" i="14"/>
  <c r="S81" i="14" s="1"/>
  <c r="Q77" i="14"/>
  <c r="K77" i="14"/>
  <c r="S77" i="14" s="1"/>
  <c r="Q165" i="14"/>
  <c r="K165" i="14"/>
  <c r="S165" i="14" s="1"/>
  <c r="S122" i="14"/>
  <c r="M1995" i="14"/>
  <c r="O1995" i="14" s="1"/>
  <c r="Q194" i="14"/>
  <c r="O194" i="14"/>
  <c r="S194" i="14" s="1"/>
  <c r="Q126" i="14"/>
  <c r="O126" i="14"/>
  <c r="S126" i="14" s="1"/>
  <c r="I134" i="14"/>
  <c r="Q451" i="14"/>
  <c r="Q1976" i="14"/>
  <c r="Q473" i="14"/>
  <c r="I1958" i="14"/>
  <c r="K1958" i="14" s="1"/>
  <c r="S1958" i="14" s="1"/>
  <c r="M2007" i="14"/>
  <c r="Q1165" i="14"/>
  <c r="M470" i="14"/>
  <c r="O470" i="14" s="1"/>
  <c r="S470" i="14" s="1"/>
  <c r="Q1685" i="14"/>
  <c r="Q1959" i="14"/>
  <c r="Q1869" i="14"/>
  <c r="Q1764" i="14"/>
  <c r="Q226" i="14"/>
  <c r="K226" i="14"/>
  <c r="S226" i="14" s="1"/>
  <c r="Q435" i="14"/>
  <c r="K435" i="14"/>
  <c r="S435" i="14" s="1"/>
  <c r="Q1349" i="14"/>
  <c r="Q441" i="14"/>
  <c r="K441" i="14"/>
  <c r="S441" i="14" s="1"/>
  <c r="Q229" i="14"/>
  <c r="K229" i="14"/>
  <c r="S229" i="14" s="1"/>
  <c r="Q1474" i="14"/>
  <c r="O1474" i="14"/>
  <c r="S1474" i="14" s="1"/>
  <c r="Q1609" i="14"/>
  <c r="O1609" i="14"/>
  <c r="S1609" i="14" s="1"/>
  <c r="I1917" i="14"/>
  <c r="Q1917" i="14" s="1"/>
  <c r="Q1445" i="14"/>
  <c r="K1445" i="14"/>
  <c r="S1445" i="14" s="1"/>
  <c r="Q1508" i="14"/>
  <c r="O1508" i="14"/>
  <c r="S1508" i="14" s="1"/>
  <c r="Q1458" i="14"/>
  <c r="O1458" i="14"/>
  <c r="S1458" i="14" s="1"/>
  <c r="Q256" i="14"/>
  <c r="K256" i="14"/>
  <c r="S256" i="14" s="1"/>
  <c r="Q1606" i="14"/>
  <c r="K1606" i="14"/>
  <c r="S1606" i="14" s="1"/>
  <c r="Q221" i="14"/>
  <c r="K221" i="14"/>
  <c r="S221" i="14" s="1"/>
  <c r="I1500" i="14"/>
  <c r="K1500" i="14" s="1"/>
  <c r="K1519" i="14"/>
  <c r="Q1463" i="14"/>
  <c r="K1463" i="14"/>
  <c r="S1463" i="14" s="1"/>
  <c r="Q237" i="14"/>
  <c r="K237" i="14"/>
  <c r="S237" i="14" s="1"/>
  <c r="Q1568" i="14"/>
  <c r="K1568" i="14"/>
  <c r="S1568" i="14" s="1"/>
  <c r="Q492" i="14"/>
  <c r="O492" i="14"/>
  <c r="S492" i="14" s="1"/>
  <c r="Q1590" i="14"/>
  <c r="K1590" i="14"/>
  <c r="S1590" i="14" s="1"/>
  <c r="Q1487" i="14"/>
  <c r="O1487" i="14"/>
  <c r="S1487" i="14" s="1"/>
  <c r="Q1456" i="14"/>
  <c r="O1456" i="14"/>
  <c r="S1456" i="14" s="1"/>
  <c r="E11" i="15"/>
  <c r="R434" i="14"/>
  <c r="Q460" i="14"/>
  <c r="K460" i="14"/>
  <c r="S460" i="14" s="1"/>
  <c r="K1444" i="14"/>
  <c r="Q260" i="14"/>
  <c r="K260" i="14"/>
  <c r="S260" i="14" s="1"/>
  <c r="Q1419" i="14"/>
  <c r="K1419" i="14"/>
  <c r="S1419" i="14" s="1"/>
  <c r="Q1589" i="14"/>
  <c r="K1589" i="14"/>
  <c r="S1589" i="14" s="1"/>
  <c r="Q257" i="14"/>
  <c r="K257" i="14"/>
  <c r="S257" i="14" s="1"/>
  <c r="Q1414" i="14"/>
  <c r="K1414" i="14"/>
  <c r="S1414" i="14" s="1"/>
  <c r="I246" i="14"/>
  <c r="K247" i="14"/>
  <c r="S247" i="14" s="1"/>
  <c r="Q1522" i="14"/>
  <c r="K1522" i="14"/>
  <c r="S1522" i="14" s="1"/>
  <c r="Q1440" i="14"/>
  <c r="K1440" i="14"/>
  <c r="S1440" i="14" s="1"/>
  <c r="B1698" i="14"/>
  <c r="B1699" i="14" s="1"/>
  <c r="B1700" i="14" s="1"/>
  <c r="B1701" i="14" s="1"/>
  <c r="B1702" i="14" s="1"/>
  <c r="B1703" i="14" s="1"/>
  <c r="B1704" i="14" s="1"/>
  <c r="B1705" i="14" s="1"/>
  <c r="B1706" i="14" s="1"/>
  <c r="B1707" i="14" s="1"/>
  <c r="B1708" i="14" s="1"/>
  <c r="B1709" i="14" s="1"/>
  <c r="B1710" i="14" s="1"/>
  <c r="B1711" i="14" s="1"/>
  <c r="B1712" i="14" s="1"/>
  <c r="B1713" i="14" s="1"/>
  <c r="B1714" i="14" s="1"/>
  <c r="B1715" i="14" s="1"/>
  <c r="B1716" i="14" s="1"/>
  <c r="B1717" i="14" s="1"/>
  <c r="B1718" i="14" s="1"/>
  <c r="B1719" i="14" s="1"/>
  <c r="B1720" i="14" s="1"/>
  <c r="B1721" i="14" s="1"/>
  <c r="B1722" i="14" s="1"/>
  <c r="B1723" i="14" s="1"/>
  <c r="B1724" i="14" s="1"/>
  <c r="B1725" i="14" s="1"/>
  <c r="B1726" i="14" s="1"/>
  <c r="B1727" i="14" s="1"/>
  <c r="B1728" i="14" s="1"/>
  <c r="B1729" i="14" s="1"/>
  <c r="Q1918" i="14"/>
  <c r="I1418" i="14"/>
  <c r="Q1119" i="14"/>
  <c r="Q1707" i="14"/>
  <c r="Q1695" i="14"/>
  <c r="K1695" i="14"/>
  <c r="Q1747" i="14"/>
  <c r="O1747" i="14"/>
  <c r="Q1755" i="14"/>
  <c r="K1755" i="14"/>
  <c r="Q1736" i="14"/>
  <c r="K1736" i="14"/>
  <c r="Q1733" i="14"/>
  <c r="K1733" i="14"/>
  <c r="Q1676" i="14"/>
  <c r="O1676" i="14"/>
  <c r="S1782" i="14"/>
  <c r="I1339" i="14"/>
  <c r="K1339" i="14" s="1"/>
  <c r="S1339" i="14" s="1"/>
  <c r="I1567" i="14"/>
  <c r="M1943" i="14"/>
  <c r="O1943" i="14" s="1"/>
  <c r="S1943" i="14" s="1"/>
  <c r="K1946" i="14"/>
  <c r="S1946" i="14" s="1"/>
  <c r="M739" i="14"/>
  <c r="O739" i="14" s="1"/>
  <c r="S739" i="14" s="1"/>
  <c r="I1460" i="14"/>
  <c r="K1460" i="14" s="1"/>
  <c r="S1460" i="14" s="1"/>
  <c r="Q1952" i="14"/>
  <c r="I1866" i="14"/>
  <c r="I1865" i="14" s="1"/>
  <c r="K1865" i="14" s="1"/>
  <c r="Q740" i="14"/>
  <c r="M682" i="14"/>
  <c r="O682" i="14" s="1"/>
  <c r="O691" i="14"/>
  <c r="Q379" i="14"/>
  <c r="K379" i="14"/>
  <c r="S379" i="14" s="1"/>
  <c r="Q1195" i="14"/>
  <c r="K1195" i="14"/>
  <c r="S1195" i="14" s="1"/>
  <c r="Q872" i="14"/>
  <c r="K872" i="14"/>
  <c r="S872" i="14" s="1"/>
  <c r="Q850" i="14"/>
  <c r="K850" i="14"/>
  <c r="S850" i="14" s="1"/>
  <c r="Q1894" i="14"/>
  <c r="K1894" i="14"/>
  <c r="S1894" i="14" s="1"/>
  <c r="Q345" i="14"/>
  <c r="O345" i="14"/>
  <c r="S345" i="14" s="1"/>
  <c r="I459" i="14"/>
  <c r="Q1339" i="14"/>
  <c r="Q1365" i="14"/>
  <c r="K1365" i="14"/>
  <c r="S1365" i="14" s="1"/>
  <c r="Q1249" i="14"/>
  <c r="K1249" i="14"/>
  <c r="S1249" i="14" s="1"/>
  <c r="Q664" i="14"/>
  <c r="K664" i="14"/>
  <c r="S664" i="14" s="1"/>
  <c r="I869" i="14"/>
  <c r="K869" i="14" s="1"/>
  <c r="Q753" i="14"/>
  <c r="K753" i="14"/>
  <c r="S753" i="14" s="1"/>
  <c r="Q1127" i="14"/>
  <c r="K1127" i="14"/>
  <c r="S1127" i="14" s="1"/>
  <c r="Q652" i="14"/>
  <c r="Q1049" i="14"/>
  <c r="K1049" i="14"/>
  <c r="S1049" i="14" s="1"/>
  <c r="Q911" i="14"/>
  <c r="K911" i="14"/>
  <c r="S911" i="14" s="1"/>
  <c r="Q835" i="14"/>
  <c r="K835" i="14"/>
  <c r="S835" i="14" s="1"/>
  <c r="Q860" i="14"/>
  <c r="K860" i="14"/>
  <c r="S860" i="14" s="1"/>
  <c r="Q373" i="14"/>
  <c r="K373" i="14"/>
  <c r="S373" i="14" s="1"/>
  <c r="M1732" i="14"/>
  <c r="O1732" i="14" s="1"/>
  <c r="Q1094" i="14"/>
  <c r="K1094" i="14"/>
  <c r="S1094" i="14" s="1"/>
  <c r="Q791" i="14"/>
  <c r="K791" i="14"/>
  <c r="S791" i="14" s="1"/>
  <c r="Q1940" i="14"/>
  <c r="O1940" i="14"/>
  <c r="S1940" i="14" s="1"/>
  <c r="Q1836" i="14"/>
  <c r="K1836" i="14"/>
  <c r="S1836" i="14" s="1"/>
  <c r="Q646" i="14"/>
  <c r="K646" i="14"/>
  <c r="S646" i="14" s="1"/>
  <c r="Q628" i="14"/>
  <c r="K628" i="14"/>
  <c r="S628" i="14" s="1"/>
  <c r="Q1232" i="14"/>
  <c r="K1232" i="14"/>
  <c r="S1232" i="14" s="1"/>
  <c r="Q1017" i="14"/>
  <c r="K1017" i="14"/>
  <c r="S1017" i="14" s="1"/>
  <c r="Q825" i="14"/>
  <c r="K825" i="14"/>
  <c r="S825" i="14" s="1"/>
  <c r="Q802" i="14"/>
  <c r="K802" i="14"/>
  <c r="S802" i="14" s="1"/>
  <c r="Q762" i="14"/>
  <c r="K762" i="14"/>
  <c r="S762" i="14" s="1"/>
  <c r="Q706" i="14"/>
  <c r="K706" i="14"/>
  <c r="S706" i="14" s="1"/>
  <c r="Q1032" i="14"/>
  <c r="K1032" i="14"/>
  <c r="S1032" i="14" s="1"/>
  <c r="Q1292" i="14"/>
  <c r="K1292" i="14"/>
  <c r="S1292" i="14" s="1"/>
  <c r="Q922" i="14"/>
  <c r="O922" i="14"/>
  <c r="S922" i="14" s="1"/>
  <c r="Q179" i="14"/>
  <c r="Q634" i="14"/>
  <c r="K634" i="14"/>
  <c r="S634" i="14" s="1"/>
  <c r="Q1005" i="14"/>
  <c r="K1005" i="14"/>
  <c r="S1005" i="14" s="1"/>
  <c r="Q986" i="14"/>
  <c r="K986" i="14"/>
  <c r="S986" i="14" s="1"/>
  <c r="Q719" i="14"/>
  <c r="K719" i="14"/>
  <c r="S719" i="14" s="1"/>
  <c r="Q812" i="14"/>
  <c r="K812" i="14"/>
  <c r="S812" i="14" s="1"/>
  <c r="Q1059" i="14"/>
  <c r="K1059" i="14"/>
  <c r="S1059" i="14" s="1"/>
  <c r="Q1278" i="14"/>
  <c r="O1278" i="14"/>
  <c r="S1278" i="14" s="1"/>
  <c r="Q658" i="14"/>
  <c r="K658" i="14"/>
  <c r="S658" i="14" s="1"/>
  <c r="Q1212" i="14"/>
  <c r="K1212" i="14"/>
  <c r="S1212" i="14" s="1"/>
  <c r="Q1070" i="14"/>
  <c r="K1070" i="14"/>
  <c r="S1070" i="14" s="1"/>
  <c r="Q685" i="14"/>
  <c r="K685" i="14"/>
  <c r="S685" i="14" s="1"/>
  <c r="Q883" i="14"/>
  <c r="K883" i="14"/>
  <c r="S883" i="14" s="1"/>
  <c r="Q765" i="14"/>
  <c r="K765" i="14"/>
  <c r="S765" i="14" s="1"/>
  <c r="Q728" i="14"/>
  <c r="O728" i="14"/>
  <c r="S728" i="14" s="1"/>
  <c r="H5" i="15"/>
  <c r="K10" i="15"/>
  <c r="I1356" i="14"/>
  <c r="Q1271" i="14"/>
  <c r="K1271" i="14"/>
  <c r="S1271" i="14" s="1"/>
  <c r="Q1299" i="14"/>
  <c r="K1299" i="14"/>
  <c r="S1299" i="14" s="1"/>
  <c r="Q1255" i="14"/>
  <c r="K1255" i="14"/>
  <c r="S1255" i="14" s="1"/>
  <c r="Q1134" i="14"/>
  <c r="K1134" i="14"/>
  <c r="S1134" i="14" s="1"/>
  <c r="Q964" i="14"/>
  <c r="K964" i="14"/>
  <c r="S964" i="14" s="1"/>
  <c r="Q900" i="14"/>
  <c r="K900" i="14"/>
  <c r="S900" i="14" s="1"/>
  <c r="Q1008" i="14"/>
  <c r="K1008" i="14"/>
  <c r="S1008" i="14" s="1"/>
  <c r="Q598" i="14"/>
  <c r="K598" i="14"/>
  <c r="S598" i="14" s="1"/>
  <c r="Q1202" i="14"/>
  <c r="K1202" i="14"/>
  <c r="S1202" i="14" s="1"/>
  <c r="M897" i="14"/>
  <c r="O897" i="14" s="1"/>
  <c r="I742" i="14"/>
  <c r="K742" i="14" s="1"/>
  <c r="K745" i="14"/>
  <c r="S745" i="14" s="1"/>
  <c r="Q1336" i="14"/>
  <c r="O1336" i="14"/>
  <c r="S1336" i="14" s="1"/>
  <c r="Q352" i="14"/>
  <c r="O352" i="14"/>
  <c r="S352" i="14" s="1"/>
  <c r="Q1024" i="14"/>
  <c r="K1024" i="14"/>
  <c r="S1024" i="14" s="1"/>
  <c r="Q637" i="14"/>
  <c r="K637" i="14"/>
  <c r="S637" i="14" s="1"/>
  <c r="Q667" i="14"/>
  <c r="K667" i="14"/>
  <c r="S667" i="14" s="1"/>
  <c r="Q940" i="14"/>
  <c r="K940" i="14"/>
  <c r="S940" i="14" s="1"/>
  <c r="Q331" i="14"/>
  <c r="Q1882" i="14"/>
  <c r="K1882" i="14"/>
  <c r="S1882" i="14" s="1"/>
  <c r="Q1375" i="14"/>
  <c r="K1375" i="14"/>
  <c r="S1375" i="14" s="1"/>
  <c r="I328" i="14"/>
  <c r="K328" i="14" s="1"/>
  <c r="Q1963" i="14"/>
  <c r="K1963" i="14"/>
  <c r="S1963" i="14" s="1"/>
  <c r="Q1903" i="14"/>
  <c r="K1903" i="14"/>
  <c r="S1903" i="14" s="1"/>
  <c r="Q1075" i="14"/>
  <c r="K1075" i="14"/>
  <c r="S1075" i="14" s="1"/>
  <c r="K974" i="14"/>
  <c r="S974" i="14" s="1"/>
  <c r="Q610" i="14"/>
  <c r="K610" i="14"/>
  <c r="S610" i="14" s="1"/>
  <c r="Q1938" i="14"/>
  <c r="O1938" i="14"/>
  <c r="S1938" i="14" s="1"/>
  <c r="Q1844" i="14"/>
  <c r="K1844" i="14"/>
  <c r="S1844" i="14" s="1"/>
  <c r="Q928" i="14"/>
  <c r="K928" i="14"/>
  <c r="S928" i="14" s="1"/>
  <c r="H406" i="13"/>
  <c r="H6" i="13"/>
  <c r="M118" i="14"/>
  <c r="O118" i="14" s="1"/>
  <c r="M1318" i="14"/>
  <c r="I682" i="14"/>
  <c r="Q1480" i="14"/>
  <c r="I1477" i="14"/>
  <c r="Q745" i="14"/>
  <c r="I1091" i="14"/>
  <c r="M1937" i="14"/>
  <c r="I1150" i="14"/>
  <c r="Q1153" i="14"/>
  <c r="I74" i="14"/>
  <c r="I655" i="14"/>
  <c r="I788" i="14"/>
  <c r="K788" i="14" s="1"/>
  <c r="S788" i="14" s="1"/>
  <c r="I1995" i="14"/>
  <c r="K1995" i="14" s="1"/>
  <c r="Q1973" i="14"/>
  <c r="Q1890" i="14"/>
  <c r="I1889" i="14"/>
  <c r="I1899" i="14"/>
  <c r="Q1900" i="14"/>
  <c r="Q1929" i="14"/>
  <c r="I1926" i="14"/>
  <c r="K1926" i="14" s="1"/>
  <c r="Q1956" i="14"/>
  <c r="I1955" i="14"/>
  <c r="Q1843" i="14"/>
  <c r="I1842" i="14"/>
  <c r="Q1879" i="14"/>
  <c r="I1878" i="14"/>
  <c r="K1878" i="14" s="1"/>
  <c r="S1878" i="14" s="1"/>
  <c r="Q1833" i="14"/>
  <c r="I1832" i="14"/>
  <c r="Q1848" i="14"/>
  <c r="I1847" i="14"/>
  <c r="K1847" i="14" s="1"/>
  <c r="S1847" i="14" s="1"/>
  <c r="Q1912" i="14"/>
  <c r="Q1759" i="14"/>
  <c r="I1758" i="14"/>
  <c r="Q1729" i="14"/>
  <c r="M1726" i="14"/>
  <c r="Q1675" i="14"/>
  <c r="Q1721" i="14"/>
  <c r="M1715" i="14"/>
  <c r="O1715" i="14" s="1"/>
  <c r="I1770" i="14"/>
  <c r="K1770" i="14" s="1"/>
  <c r="Q1773" i="14"/>
  <c r="I1732" i="14"/>
  <c r="Q1782" i="14"/>
  <c r="M1781" i="14"/>
  <c r="O1781" i="14" s="1"/>
  <c r="Q1713" i="14"/>
  <c r="I1712" i="14"/>
  <c r="K1712" i="14" s="1"/>
  <c r="Q1596" i="14"/>
  <c r="I1594" i="14"/>
  <c r="K1594" i="14" s="1"/>
  <c r="Q1603" i="14"/>
  <c r="M1601" i="14"/>
  <c r="O1601" i="14" s="1"/>
  <c r="S1601" i="14" s="1"/>
  <c r="M1477" i="14"/>
  <c r="Q1486" i="14"/>
  <c r="M1471" i="14"/>
  <c r="O1471" i="14" s="1"/>
  <c r="S1471" i="14" s="1"/>
  <c r="Q1502" i="14"/>
  <c r="M1501" i="14"/>
  <c r="O1501" i="14" s="1"/>
  <c r="S1501" i="14" s="1"/>
  <c r="M1532" i="14"/>
  <c r="O1532" i="14" s="1"/>
  <c r="S1532" i="14" s="1"/>
  <c r="Q1533" i="14"/>
  <c r="Q1491" i="14"/>
  <c r="I1490" i="14"/>
  <c r="K1490" i="14" s="1"/>
  <c r="S1490" i="14" s="1"/>
  <c r="Q128" i="14"/>
  <c r="I822" i="14"/>
  <c r="K822" i="14" s="1"/>
  <c r="I1067" i="14"/>
  <c r="Q894" i="14"/>
  <c r="M893" i="14"/>
  <c r="O893" i="14" s="1"/>
  <c r="S893" i="14" s="1"/>
  <c r="I703" i="14"/>
  <c r="K703" i="14" s="1"/>
  <c r="Q1176" i="14"/>
  <c r="I1173" i="14"/>
  <c r="I1260" i="14"/>
  <c r="K1260" i="14" s="1"/>
  <c r="I1209" i="14"/>
  <c r="K1209" i="14" s="1"/>
  <c r="Q1161" i="14"/>
  <c r="I1158" i="14"/>
  <c r="Q1043" i="14"/>
  <c r="I1040" i="14"/>
  <c r="I925" i="14"/>
  <c r="M725" i="14"/>
  <c r="O725" i="14" s="1"/>
  <c r="S725" i="14" s="1"/>
  <c r="I847" i="14"/>
  <c r="Q777" i="14"/>
  <c r="I774" i="14"/>
  <c r="I1238" i="14"/>
  <c r="Q1283" i="14"/>
  <c r="I1280" i="14"/>
  <c r="Q1104" i="14"/>
  <c r="I1103" i="14"/>
  <c r="K1103" i="14" s="1"/>
  <c r="S1103" i="14" s="1"/>
  <c r="M1209" i="14"/>
  <c r="Q1218" i="14"/>
  <c r="Q996" i="14"/>
  <c r="I995" i="14"/>
  <c r="K995" i="14" s="1"/>
  <c r="S995" i="14" s="1"/>
  <c r="Q785" i="14"/>
  <c r="Q625" i="14"/>
  <c r="Q697" i="14"/>
  <c r="I694" i="14"/>
  <c r="Q733" i="14"/>
  <c r="I730" i="14"/>
  <c r="K730" i="14" s="1"/>
  <c r="Q713" i="14"/>
  <c r="M712" i="14"/>
  <c r="O712" i="14" s="1"/>
  <c r="S712" i="14" s="1"/>
  <c r="I897" i="14"/>
  <c r="I1181" i="14"/>
  <c r="Q1184" i="14"/>
  <c r="M1260" i="14"/>
  <c r="O1260" i="14" s="1"/>
  <c r="Q1277" i="14"/>
  <c r="Q618" i="14"/>
  <c r="M617" i="14"/>
  <c r="O617" i="14" s="1"/>
  <c r="S617" i="14" s="1"/>
  <c r="I950" i="14"/>
  <c r="Q845" i="14"/>
  <c r="M844" i="14"/>
  <c r="O844" i="14" s="1"/>
  <c r="S844" i="14" s="1"/>
  <c r="Q676" i="14"/>
  <c r="I673" i="14"/>
  <c r="Q1114" i="14"/>
  <c r="I1111" i="14"/>
  <c r="K1111" i="14" s="1"/>
  <c r="S1111" i="14" s="1"/>
  <c r="I716" i="14"/>
  <c r="K716" i="14" s="1"/>
  <c r="Q1357" i="14"/>
  <c r="Q1372" i="14"/>
  <c r="I595" i="14"/>
  <c r="Q596" i="14"/>
  <c r="Q1224" i="14"/>
  <c r="I1221" i="14"/>
  <c r="I799" i="14"/>
  <c r="M742" i="14"/>
  <c r="Q750" i="14"/>
  <c r="Q466" i="14"/>
  <c r="M459" i="14"/>
  <c r="Q343" i="14"/>
  <c r="M342" i="14"/>
  <c r="O342" i="14" s="1"/>
  <c r="S342" i="14" s="1"/>
  <c r="I382" i="14"/>
  <c r="K382" i="14" s="1"/>
  <c r="S382" i="14" s="1"/>
  <c r="Q388" i="14"/>
  <c r="Q370" i="14"/>
  <c r="M359" i="14"/>
  <c r="O359" i="14" s="1"/>
  <c r="S359" i="14" s="1"/>
  <c r="Q283" i="14"/>
  <c r="I282" i="14"/>
  <c r="K282" i="14" s="1"/>
  <c r="S282" i="14" s="1"/>
  <c r="M275" i="14"/>
  <c r="O275" i="14" s="1"/>
  <c r="S275" i="14" s="1"/>
  <c r="Q279" i="14"/>
  <c r="Q203" i="14"/>
  <c r="M199" i="14"/>
  <c r="O199" i="14" s="1"/>
  <c r="Q182" i="14"/>
  <c r="I181" i="14"/>
  <c r="M147" i="14"/>
  <c r="O147" i="14" s="1"/>
  <c r="S147" i="14" s="1"/>
  <c r="Q122" i="14"/>
  <c r="I118" i="14"/>
  <c r="Q187" i="14"/>
  <c r="I186" i="14"/>
  <c r="I162" i="14"/>
  <c r="Q200" i="14"/>
  <c r="I199" i="14"/>
  <c r="K199" i="14" s="1"/>
  <c r="Q139" i="14"/>
  <c r="Q159" i="14"/>
  <c r="I158" i="14"/>
  <c r="I84" i="14"/>
  <c r="K84" i="14" s="1"/>
  <c r="S84" i="14" s="1"/>
  <c r="H502" i="13"/>
  <c r="H220" i="13"/>
  <c r="H4" i="15" l="1"/>
  <c r="H509" i="13"/>
  <c r="Q1875" i="14"/>
  <c r="S1995" i="14"/>
  <c r="Q1763" i="14"/>
  <c r="I1942" i="14"/>
  <c r="M1942" i="14"/>
  <c r="O1942" i="14" s="1"/>
  <c r="M1866" i="14"/>
  <c r="O1866" i="14" s="1"/>
  <c r="Q470" i="14"/>
  <c r="I1762" i="14"/>
  <c r="Q1762" i="14" s="1"/>
  <c r="I1972" i="14"/>
  <c r="K1972" i="14" s="1"/>
  <c r="S1972" i="14" s="1"/>
  <c r="M1671" i="14"/>
  <c r="O1671" i="14" s="1"/>
  <c r="Q1460" i="14"/>
  <c r="Q1682" i="14"/>
  <c r="I1911" i="14"/>
  <c r="K1911" i="14" s="1"/>
  <c r="S1911" i="14" s="1"/>
  <c r="Q193" i="14"/>
  <c r="S199" i="14"/>
  <c r="Q643" i="14"/>
  <c r="I1452" i="14"/>
  <c r="K1452" i="14" s="1"/>
  <c r="Q1455" i="14"/>
  <c r="I1671" i="14"/>
  <c r="K1671" i="14" s="1"/>
  <c r="O193" i="14"/>
  <c r="S193" i="14" s="1"/>
  <c r="Q2007" i="14"/>
  <c r="O2007" i="14"/>
  <c r="S2007" i="14" s="1"/>
  <c r="H56" i="13"/>
  <c r="B887" i="14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M1452" i="14"/>
  <c r="O1452" i="14" s="1"/>
  <c r="Q440" i="14"/>
  <c r="O1449" i="14"/>
  <c r="S1449" i="14" s="1"/>
  <c r="K448" i="14"/>
  <c r="S448" i="14" s="1"/>
  <c r="M469" i="14"/>
  <c r="O469" i="14" s="1"/>
  <c r="S469" i="14" s="1"/>
  <c r="Q1943" i="14"/>
  <c r="M1444" i="14"/>
  <c r="O1444" i="14" s="1"/>
  <c r="S1444" i="14" s="1"/>
  <c r="Q448" i="14"/>
  <c r="K115" i="14"/>
  <c r="S115" i="14" s="1"/>
  <c r="Q1958" i="14"/>
  <c r="M1994" i="14"/>
  <c r="Q74" i="14"/>
  <c r="K74" i="14"/>
  <c r="S74" i="14" s="1"/>
  <c r="Q134" i="14"/>
  <c r="K134" i="14"/>
  <c r="S134" i="14" s="1"/>
  <c r="Q186" i="14"/>
  <c r="K186" i="14"/>
  <c r="S186" i="14" s="1"/>
  <c r="Q158" i="14"/>
  <c r="K158" i="14"/>
  <c r="S158" i="14" s="1"/>
  <c r="Q118" i="14"/>
  <c r="K118" i="14"/>
  <c r="S118" i="14" s="1"/>
  <c r="Q181" i="14"/>
  <c r="K181" i="14"/>
  <c r="S181" i="14" s="1"/>
  <c r="K162" i="14"/>
  <c r="M162" i="14"/>
  <c r="O162" i="14" s="1"/>
  <c r="O175" i="14"/>
  <c r="S175" i="14" s="1"/>
  <c r="I787" i="14"/>
  <c r="I784" i="14" s="1"/>
  <c r="K784" i="14" s="1"/>
  <c r="M730" i="14"/>
  <c r="O730" i="14" s="1"/>
  <c r="S730" i="14" s="1"/>
  <c r="Q788" i="14"/>
  <c r="M439" i="14"/>
  <c r="O439" i="14" s="1"/>
  <c r="O459" i="14"/>
  <c r="I1470" i="14"/>
  <c r="K1470" i="14" s="1"/>
  <c r="K1477" i="14"/>
  <c r="K1917" i="14"/>
  <c r="S1917" i="14" s="1"/>
  <c r="Q1567" i="14"/>
  <c r="K1567" i="14"/>
  <c r="S1567" i="14" s="1"/>
  <c r="Q1477" i="14"/>
  <c r="O1477" i="14"/>
  <c r="I439" i="14"/>
  <c r="K439" i="14" s="1"/>
  <c r="K459" i="14"/>
  <c r="Q1418" i="14"/>
  <c r="K1418" i="14"/>
  <c r="S1418" i="14" s="1"/>
  <c r="Q246" i="14"/>
  <c r="K246" i="14"/>
  <c r="S246" i="14" s="1"/>
  <c r="K11" i="15"/>
  <c r="E5" i="15"/>
  <c r="B1730" i="14"/>
  <c r="B1731" i="14" s="1"/>
  <c r="B1732" i="14" s="1"/>
  <c r="B1733" i="14" s="1"/>
  <c r="B1734" i="14" s="1"/>
  <c r="B1735" i="14" s="1"/>
  <c r="Q739" i="14"/>
  <c r="Q1758" i="14"/>
  <c r="K1758" i="14"/>
  <c r="Q1732" i="14"/>
  <c r="K1732" i="14"/>
  <c r="Q1726" i="14"/>
  <c r="O1726" i="14"/>
  <c r="K1762" i="14"/>
  <c r="S1781" i="14"/>
  <c r="K1866" i="14"/>
  <c r="S1866" i="14" s="1"/>
  <c r="K595" i="14"/>
  <c r="S595" i="14" s="1"/>
  <c r="Q897" i="14"/>
  <c r="K897" i="14"/>
  <c r="S897" i="14" s="1"/>
  <c r="Q1209" i="14"/>
  <c r="O1209" i="14"/>
  <c r="S1209" i="14" s="1"/>
  <c r="Q847" i="14"/>
  <c r="K847" i="14"/>
  <c r="S847" i="14" s="1"/>
  <c r="Q1040" i="14"/>
  <c r="K1040" i="14"/>
  <c r="S1040" i="14" s="1"/>
  <c r="Q1955" i="14"/>
  <c r="K1955" i="14"/>
  <c r="S1955" i="14" s="1"/>
  <c r="Q1942" i="14"/>
  <c r="K1942" i="14"/>
  <c r="Q655" i="14"/>
  <c r="K655" i="14"/>
  <c r="S655" i="14" s="1"/>
  <c r="Q1150" i="14"/>
  <c r="K1150" i="14"/>
  <c r="S1150" i="14" s="1"/>
  <c r="Q799" i="14"/>
  <c r="K799" i="14"/>
  <c r="S799" i="14" s="1"/>
  <c r="Q1221" i="14"/>
  <c r="K1221" i="14"/>
  <c r="S1221" i="14" s="1"/>
  <c r="Q673" i="14"/>
  <c r="K673" i="14"/>
  <c r="S673" i="14" s="1"/>
  <c r="Q950" i="14"/>
  <c r="K950" i="14"/>
  <c r="S950" i="14" s="1"/>
  <c r="Q694" i="14"/>
  <c r="K694" i="14"/>
  <c r="S694" i="14" s="1"/>
  <c r="Q1238" i="14"/>
  <c r="K1238" i="14"/>
  <c r="S1238" i="14" s="1"/>
  <c r="S1260" i="14"/>
  <c r="Q1899" i="14"/>
  <c r="K1899" i="14"/>
  <c r="S1899" i="14" s="1"/>
  <c r="Q1937" i="14"/>
  <c r="O1937" i="14"/>
  <c r="S1937" i="14" s="1"/>
  <c r="Q1362" i="14"/>
  <c r="K1362" i="14"/>
  <c r="S1362" i="14" s="1"/>
  <c r="Q774" i="14"/>
  <c r="K774" i="14"/>
  <c r="S774" i="14" s="1"/>
  <c r="Q1158" i="14"/>
  <c r="K1158" i="14"/>
  <c r="S1158" i="14" s="1"/>
  <c r="Q1173" i="14"/>
  <c r="K1173" i="14"/>
  <c r="S1173" i="14" s="1"/>
  <c r="Q1832" i="14"/>
  <c r="K1832" i="14"/>
  <c r="S1832" i="14" s="1"/>
  <c r="Q1842" i="14"/>
  <c r="K1842" i="14"/>
  <c r="S1842" i="14" s="1"/>
  <c r="Q1889" i="14"/>
  <c r="K1889" i="14"/>
  <c r="S1889" i="14" s="1"/>
  <c r="Q1091" i="14"/>
  <c r="K1091" i="14"/>
  <c r="S1091" i="14" s="1"/>
  <c r="Q682" i="14"/>
  <c r="K682" i="14"/>
  <c r="S682" i="14" s="1"/>
  <c r="Q742" i="14"/>
  <c r="O742" i="14"/>
  <c r="S742" i="14" s="1"/>
  <c r="Q1356" i="14"/>
  <c r="K1356" i="14"/>
  <c r="S1356" i="14" s="1"/>
  <c r="Q1181" i="14"/>
  <c r="K1181" i="14"/>
  <c r="S1181" i="14" s="1"/>
  <c r="Q1280" i="14"/>
  <c r="K1280" i="14"/>
  <c r="S1280" i="14" s="1"/>
  <c r="Q925" i="14"/>
  <c r="K925" i="14"/>
  <c r="S925" i="14" s="1"/>
  <c r="Q1067" i="14"/>
  <c r="K1067" i="14"/>
  <c r="S1067" i="14" s="1"/>
  <c r="Q1318" i="14"/>
  <c r="O1318" i="14"/>
  <c r="S1318" i="14" s="1"/>
  <c r="H19" i="15"/>
  <c r="H405" i="13"/>
  <c r="H22" i="13"/>
  <c r="M1926" i="14"/>
  <c r="Q1926" i="14" s="1"/>
  <c r="I1994" i="14"/>
  <c r="K1994" i="14" s="1"/>
  <c r="Q1995" i="14"/>
  <c r="I1920" i="14"/>
  <c r="M1865" i="14"/>
  <c r="O1865" i="14" s="1"/>
  <c r="S1865" i="14" s="1"/>
  <c r="Q1866" i="14"/>
  <c r="Q1911" i="14"/>
  <c r="Q1878" i="14"/>
  <c r="I1864" i="14"/>
  <c r="K1864" i="14" s="1"/>
  <c r="I1846" i="14"/>
  <c r="Q1847" i="14"/>
  <c r="M1770" i="14"/>
  <c r="Q1781" i="14"/>
  <c r="I1769" i="14"/>
  <c r="K1769" i="14" s="1"/>
  <c r="M1712" i="14"/>
  <c r="Q1715" i="14"/>
  <c r="I1711" i="14"/>
  <c r="K1711" i="14" s="1"/>
  <c r="Q1601" i="14"/>
  <c r="M1594" i="14"/>
  <c r="I1566" i="14"/>
  <c r="Q1532" i="14"/>
  <c r="M1519" i="14"/>
  <c r="Q1501" i="14"/>
  <c r="Q1490" i="14"/>
  <c r="Q1471" i="14"/>
  <c r="M1470" i="14"/>
  <c r="M1102" i="14"/>
  <c r="O1102" i="14" s="1"/>
  <c r="Q725" i="14"/>
  <c r="M716" i="14"/>
  <c r="Q893" i="14"/>
  <c r="M869" i="14"/>
  <c r="Q617" i="14"/>
  <c r="M607" i="14"/>
  <c r="O607" i="14" s="1"/>
  <c r="S607" i="14" s="1"/>
  <c r="Q1111" i="14"/>
  <c r="I1110" i="14"/>
  <c r="K1110" i="14" s="1"/>
  <c r="S1110" i="14" s="1"/>
  <c r="Q844" i="14"/>
  <c r="M822" i="14"/>
  <c r="O822" i="14" s="1"/>
  <c r="S822" i="14" s="1"/>
  <c r="Q995" i="14"/>
  <c r="I994" i="14"/>
  <c r="Q1103" i="14"/>
  <c r="Q595" i="14"/>
  <c r="Q712" i="14"/>
  <c r="M703" i="14"/>
  <c r="O703" i="14" s="1"/>
  <c r="S703" i="14" s="1"/>
  <c r="I620" i="14"/>
  <c r="K620" i="14" s="1"/>
  <c r="Q1260" i="14"/>
  <c r="Q459" i="14"/>
  <c r="M349" i="14"/>
  <c r="Q359" i="14"/>
  <c r="Q382" i="14"/>
  <c r="I327" i="14"/>
  <c r="M328" i="14"/>
  <c r="O328" i="14" s="1"/>
  <c r="S328" i="14" s="1"/>
  <c r="Q342" i="14"/>
  <c r="Q275" i="14"/>
  <c r="M267" i="14"/>
  <c r="O267" i="14" s="1"/>
  <c r="S267" i="14" s="1"/>
  <c r="I220" i="14"/>
  <c r="Q282" i="14"/>
  <c r="I138" i="14"/>
  <c r="Q199" i="14"/>
  <c r="M138" i="14"/>
  <c r="Q147" i="14"/>
  <c r="Q84" i="14"/>
  <c r="I73" i="14"/>
  <c r="K73" i="14" s="1"/>
  <c r="S73" i="14" s="1"/>
  <c r="Q1972" i="14" l="1"/>
  <c r="I1888" i="14"/>
  <c r="Q1452" i="14"/>
  <c r="S1942" i="14"/>
  <c r="I1439" i="14"/>
  <c r="K1439" i="14" s="1"/>
  <c r="K787" i="14"/>
  <c r="S787" i="14" s="1"/>
  <c r="S1452" i="14"/>
  <c r="Q469" i="14"/>
  <c r="Q787" i="14"/>
  <c r="Q1671" i="14"/>
  <c r="Q1444" i="14"/>
  <c r="K5" i="15"/>
  <c r="M1993" i="14"/>
  <c r="O1994" i="14"/>
  <c r="S1994" i="14" s="1"/>
  <c r="B901" i="14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913" i="14" s="1"/>
  <c r="B914" i="14" s="1"/>
  <c r="B915" i="14" s="1"/>
  <c r="Q730" i="14"/>
  <c r="M434" i="14"/>
  <c r="G11" i="15" s="1"/>
  <c r="I11" i="15" s="1"/>
  <c r="Q162" i="14"/>
  <c r="S162" i="14"/>
  <c r="I114" i="14"/>
  <c r="K138" i="14"/>
  <c r="M114" i="14"/>
  <c r="Q114" i="14" s="1"/>
  <c r="O138" i="14"/>
  <c r="I434" i="14"/>
  <c r="D11" i="15" s="1"/>
  <c r="F11" i="15" s="1"/>
  <c r="Q439" i="14"/>
  <c r="S459" i="14"/>
  <c r="K434" i="14"/>
  <c r="Q1519" i="14"/>
  <c r="O1519" i="14"/>
  <c r="S1519" i="14" s="1"/>
  <c r="D9" i="15"/>
  <c r="F9" i="15" s="1"/>
  <c r="K220" i="14"/>
  <c r="B1736" i="14"/>
  <c r="B1737" i="14" s="1"/>
  <c r="B1738" i="14" s="1"/>
  <c r="B1739" i="14" s="1"/>
  <c r="B1740" i="14" s="1"/>
  <c r="B1741" i="14" s="1"/>
  <c r="B1742" i="14" s="1"/>
  <c r="B1743" i="14" s="1"/>
  <c r="B1744" i="14" s="1"/>
  <c r="B1745" i="14" s="1"/>
  <c r="B1746" i="14" s="1"/>
  <c r="B1747" i="14" s="1"/>
  <c r="B1748" i="14" s="1"/>
  <c r="B1749" i="14" s="1"/>
  <c r="B1750" i="14" s="1"/>
  <c r="B1751" i="14" s="1"/>
  <c r="B1752" i="14" s="1"/>
  <c r="B1753" i="14" s="1"/>
  <c r="B1754" i="14" s="1"/>
  <c r="B1755" i="14" s="1"/>
  <c r="B1756" i="14" s="1"/>
  <c r="B1757" i="14" s="1"/>
  <c r="B1758" i="14" s="1"/>
  <c r="B1759" i="14" s="1"/>
  <c r="B1760" i="14" s="1"/>
  <c r="B1761" i="14" s="1"/>
  <c r="B1762" i="14" s="1"/>
  <c r="B1763" i="14" s="1"/>
  <c r="B1764" i="14" s="1"/>
  <c r="B1765" i="14" s="1"/>
  <c r="B1766" i="14" s="1"/>
  <c r="B1767" i="14" s="1"/>
  <c r="B1768" i="14" s="1"/>
  <c r="B1769" i="14" s="1"/>
  <c r="B1770" i="14" s="1"/>
  <c r="B1771" i="14" s="1"/>
  <c r="B1772" i="14" s="1"/>
  <c r="B1773" i="14" s="1"/>
  <c r="B1774" i="14" s="1"/>
  <c r="B1775" i="14" s="1"/>
  <c r="B1776" i="14" s="1"/>
  <c r="B1777" i="14" s="1"/>
  <c r="B1778" i="14" s="1"/>
  <c r="B1779" i="14" s="1"/>
  <c r="B1780" i="14" s="1"/>
  <c r="B1781" i="14" s="1"/>
  <c r="B1782" i="14" s="1"/>
  <c r="B1783" i="14" s="1"/>
  <c r="B1784" i="14" s="1"/>
  <c r="B1785" i="14" s="1"/>
  <c r="S1477" i="14"/>
  <c r="D14" i="15"/>
  <c r="F14" i="15" s="1"/>
  <c r="K1566" i="14"/>
  <c r="Q1470" i="14"/>
  <c r="O1470" i="14"/>
  <c r="S1470" i="14" s="1"/>
  <c r="M1566" i="14"/>
  <c r="Q1566" i="14" s="1"/>
  <c r="O1594" i="14"/>
  <c r="S1594" i="14" s="1"/>
  <c r="S439" i="14"/>
  <c r="M1769" i="14"/>
  <c r="O1769" i="14" s="1"/>
  <c r="O1770" i="14"/>
  <c r="M1711" i="14"/>
  <c r="O1711" i="14" s="1"/>
  <c r="O1712" i="14"/>
  <c r="S1780" i="14"/>
  <c r="I594" i="14"/>
  <c r="K594" i="14" s="1"/>
  <c r="Q1594" i="14"/>
  <c r="Q349" i="14"/>
  <c r="O349" i="14"/>
  <c r="S349" i="14" s="1"/>
  <c r="Q869" i="14"/>
  <c r="O869" i="14"/>
  <c r="S869" i="14" s="1"/>
  <c r="Q1846" i="14"/>
  <c r="K1846" i="14"/>
  <c r="S1846" i="14" s="1"/>
  <c r="K1920" i="14"/>
  <c r="D10" i="15"/>
  <c r="F10" i="15" s="1"/>
  <c r="K327" i="14"/>
  <c r="M1920" i="14"/>
  <c r="O1920" i="14" s="1"/>
  <c r="O1926" i="14"/>
  <c r="S1926" i="14" s="1"/>
  <c r="Q716" i="14"/>
  <c r="O716" i="14"/>
  <c r="S716" i="14" s="1"/>
  <c r="Q1888" i="14"/>
  <c r="K1888" i="14"/>
  <c r="S1888" i="14" s="1"/>
  <c r="Q994" i="14"/>
  <c r="K994" i="14"/>
  <c r="S994" i="14" s="1"/>
  <c r="H404" i="13"/>
  <c r="M1439" i="14"/>
  <c r="Q1712" i="14"/>
  <c r="Q1770" i="14"/>
  <c r="Q73" i="14"/>
  <c r="D7" i="15"/>
  <c r="F7" i="15" s="1"/>
  <c r="I1993" i="14"/>
  <c r="K1993" i="14" s="1"/>
  <c r="Q1994" i="14"/>
  <c r="M1864" i="14"/>
  <c r="Q1865" i="14"/>
  <c r="I1831" i="14"/>
  <c r="K1831" i="14" s="1"/>
  <c r="I1670" i="14"/>
  <c r="K1670" i="14" s="1"/>
  <c r="I1413" i="14"/>
  <c r="M1500" i="14"/>
  <c r="Q1110" i="14"/>
  <c r="I1102" i="14"/>
  <c r="Q703" i="14"/>
  <c r="M620" i="14"/>
  <c r="M784" i="14"/>
  <c r="Q822" i="14"/>
  <c r="Q607" i="14"/>
  <c r="M327" i="14"/>
  <c r="O327" i="14" s="1"/>
  <c r="Q328" i="14"/>
  <c r="M220" i="14"/>
  <c r="O220" i="14" s="1"/>
  <c r="Q267" i="14"/>
  <c r="Q138" i="14"/>
  <c r="Q434" i="14" l="1"/>
  <c r="G17" i="15"/>
  <c r="I17" i="15" s="1"/>
  <c r="O1993" i="14"/>
  <c r="S1993" i="14"/>
  <c r="B916" i="14"/>
  <c r="B917" i="14" s="1"/>
  <c r="B918" i="14" s="1"/>
  <c r="B919" i="14" s="1"/>
  <c r="B920" i="14" s="1"/>
  <c r="B921" i="14" s="1"/>
  <c r="B922" i="14" s="1"/>
  <c r="B923" i="14" s="1"/>
  <c r="B924" i="14" s="1"/>
  <c r="B925" i="14" s="1"/>
  <c r="B926" i="14" s="1"/>
  <c r="B927" i="14" s="1"/>
  <c r="B928" i="14" s="1"/>
  <c r="B929" i="14" s="1"/>
  <c r="B930" i="14" s="1"/>
  <c r="B931" i="14" s="1"/>
  <c r="B932" i="14" s="1"/>
  <c r="B933" i="14" s="1"/>
  <c r="B934" i="14" s="1"/>
  <c r="B935" i="14" s="1"/>
  <c r="B936" i="14" s="1"/>
  <c r="B937" i="14" s="1"/>
  <c r="B938" i="14" s="1"/>
  <c r="B939" i="14" s="1"/>
  <c r="B940" i="14" s="1"/>
  <c r="B941" i="14" s="1"/>
  <c r="B942" i="14" s="1"/>
  <c r="B943" i="14" s="1"/>
  <c r="B944" i="14" s="1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B975" i="14" s="1"/>
  <c r="B976" i="14" s="1"/>
  <c r="B977" i="14" s="1"/>
  <c r="B978" i="14" s="1"/>
  <c r="B979" i="14" s="1"/>
  <c r="B980" i="14" s="1"/>
  <c r="B981" i="14" s="1"/>
  <c r="B982" i="14" s="1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995" i="14" s="1"/>
  <c r="B996" i="14" s="1"/>
  <c r="B997" i="14" s="1"/>
  <c r="B998" i="14" s="1"/>
  <c r="B999" i="14" s="1"/>
  <c r="B1000" i="14" s="1"/>
  <c r="B1001" i="14" s="1"/>
  <c r="B1002" i="14" s="1"/>
  <c r="B1003" i="14" s="1"/>
  <c r="B1004" i="14" s="1"/>
  <c r="B1005" i="14" s="1"/>
  <c r="B1006" i="14" s="1"/>
  <c r="B1007" i="14" s="1"/>
  <c r="B1008" i="14" s="1"/>
  <c r="O434" i="14"/>
  <c r="S434" i="14" s="1"/>
  <c r="M1670" i="14"/>
  <c r="Q1670" i="14" s="1"/>
  <c r="Q1769" i="14"/>
  <c r="G8" i="15"/>
  <c r="I8" i="15" s="1"/>
  <c r="O114" i="14"/>
  <c r="S138" i="14"/>
  <c r="D8" i="15"/>
  <c r="F8" i="15" s="1"/>
  <c r="K114" i="14"/>
  <c r="D13" i="15"/>
  <c r="F13" i="15" s="1"/>
  <c r="K1413" i="14"/>
  <c r="Q1439" i="14"/>
  <c r="O1439" i="14"/>
  <c r="S1439" i="14" s="1"/>
  <c r="G14" i="15"/>
  <c r="I14" i="15" s="1"/>
  <c r="O1566" i="14"/>
  <c r="S1566" i="14" s="1"/>
  <c r="S220" i="14"/>
  <c r="Q1500" i="14"/>
  <c r="O1500" i="14"/>
  <c r="S1500" i="14" s="1"/>
  <c r="G15" i="15"/>
  <c r="I15" i="15" s="1"/>
  <c r="O1670" i="14"/>
  <c r="Q1711" i="14"/>
  <c r="S1779" i="14"/>
  <c r="S327" i="14"/>
  <c r="M1831" i="14"/>
  <c r="Q1831" i="14" s="1"/>
  <c r="O1864" i="14"/>
  <c r="S1864" i="14" s="1"/>
  <c r="Q1920" i="14"/>
  <c r="Q1102" i="14"/>
  <c r="K1102" i="14"/>
  <c r="S1102" i="14" s="1"/>
  <c r="Q784" i="14"/>
  <c r="O784" i="14"/>
  <c r="S784" i="14" s="1"/>
  <c r="M594" i="14"/>
  <c r="Q594" i="14" s="1"/>
  <c r="O620" i="14"/>
  <c r="S620" i="14" s="1"/>
  <c r="S1920" i="14"/>
  <c r="H464" i="13"/>
  <c r="E4" i="15" s="1"/>
  <c r="Q220" i="14"/>
  <c r="G9" i="15"/>
  <c r="I9" i="15" s="1"/>
  <c r="D15" i="15"/>
  <c r="F15" i="15" s="1"/>
  <c r="Q327" i="14"/>
  <c r="G10" i="15"/>
  <c r="I10" i="15" s="1"/>
  <c r="D16" i="15"/>
  <c r="F16" i="15" s="1"/>
  <c r="Q1993" i="14"/>
  <c r="D17" i="15"/>
  <c r="F17" i="15" s="1"/>
  <c r="Q1864" i="14"/>
  <c r="M1413" i="14"/>
  <c r="O1413" i="14" s="1"/>
  <c r="I593" i="14"/>
  <c r="K593" i="14" s="1"/>
  <c r="Q620" i="14"/>
  <c r="K4" i="15" l="1"/>
  <c r="K41" i="15" s="1"/>
  <c r="E18" i="15"/>
  <c r="B1009" i="14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B1033" i="14" s="1"/>
  <c r="B1034" i="14" s="1"/>
  <c r="B1035" i="14" s="1"/>
  <c r="B1036" i="14" s="1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071" i="14" s="1"/>
  <c r="B1072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2" i="14" s="1"/>
  <c r="B1083" i="14" s="1"/>
  <c r="B1084" i="14" s="1"/>
  <c r="B1085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B1097" i="14" s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B1118" i="14" s="1"/>
  <c r="B1119" i="14" s="1"/>
  <c r="B1120" i="14" s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B1154" i="14" s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0" i="14" s="1"/>
  <c r="B1171" i="14" s="1"/>
  <c r="B1172" i="14" s="1"/>
  <c r="B1173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1191" i="14" s="1"/>
  <c r="B1192" i="14" s="1"/>
  <c r="B1193" i="14" s="1"/>
  <c r="B1194" i="14" s="1"/>
  <c r="B1195" i="14" s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B1222" i="14" s="1"/>
  <c r="B1223" i="14" s="1"/>
  <c r="B1224" i="14" s="1"/>
  <c r="B1225" i="14" s="1"/>
  <c r="B1226" i="14" s="1"/>
  <c r="B1227" i="14" s="1"/>
  <c r="B1228" i="14" s="1"/>
  <c r="B1229" i="14" s="1"/>
  <c r="B1230" i="14" s="1"/>
  <c r="B1231" i="14" s="1"/>
  <c r="B1232" i="14" s="1"/>
  <c r="B1233" i="14" s="1"/>
  <c r="B1234" i="14" s="1"/>
  <c r="B1235" i="14" s="1"/>
  <c r="B1236" i="14" s="1"/>
  <c r="B1237" i="14" s="1"/>
  <c r="B1238" i="14" s="1"/>
  <c r="B1239" i="14" s="1"/>
  <c r="B1240" i="14" s="1"/>
  <c r="B1241" i="14" s="1"/>
  <c r="B1242" i="14" s="1"/>
  <c r="B1243" i="14" s="1"/>
  <c r="B1244" i="14" s="1"/>
  <c r="B1245" i="14" s="1"/>
  <c r="B1246" i="14" s="1"/>
  <c r="B1247" i="14" s="1"/>
  <c r="B1248" i="14" s="1"/>
  <c r="B1249" i="14" s="1"/>
  <c r="B1250" i="14" s="1"/>
  <c r="B1251" i="14" s="1"/>
  <c r="B1252" i="14" s="1"/>
  <c r="B1253" i="14" s="1"/>
  <c r="B1254" i="14" s="1"/>
  <c r="B1255" i="14" s="1"/>
  <c r="B1256" i="14" s="1"/>
  <c r="B1257" i="14" s="1"/>
  <c r="B1258" i="14" s="1"/>
  <c r="B1259" i="14" s="1"/>
  <c r="B1260" i="14" s="1"/>
  <c r="B1261" i="14" s="1"/>
  <c r="B1262" i="14" s="1"/>
  <c r="B1263" i="14" s="1"/>
  <c r="B1264" i="14" s="1"/>
  <c r="B1265" i="14" s="1"/>
  <c r="B1266" i="14" s="1"/>
  <c r="B1267" i="14" s="1"/>
  <c r="B1268" i="14" s="1"/>
  <c r="B1269" i="14" s="1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B1279" i="14" s="1"/>
  <c r="H508" i="13"/>
  <c r="H510" i="13" s="1"/>
  <c r="K20" i="15"/>
  <c r="S114" i="14"/>
  <c r="S1413" i="14"/>
  <c r="S1778" i="14"/>
  <c r="M593" i="14"/>
  <c r="Q593" i="14" s="1"/>
  <c r="O594" i="14"/>
  <c r="S594" i="14" s="1"/>
  <c r="G16" i="15"/>
  <c r="I16" i="15" s="1"/>
  <c r="O1831" i="14"/>
  <c r="S1831" i="14" s="1"/>
  <c r="D12" i="15"/>
  <c r="F12" i="15" s="1"/>
  <c r="Q1413" i="14"/>
  <c r="G13" i="15"/>
  <c r="I13" i="15" s="1"/>
  <c r="I44" i="14"/>
  <c r="K44" i="14" s="1"/>
  <c r="S44" i="14" s="1"/>
  <c r="B1280" i="14" l="1"/>
  <c r="B1281" i="14" s="1"/>
  <c r="B1282" i="14" s="1"/>
  <c r="B1283" i="14" s="1"/>
  <c r="B1284" i="14" s="1"/>
  <c r="B1285" i="14" s="1"/>
  <c r="S1777" i="14"/>
  <c r="G12" i="15"/>
  <c r="I12" i="15" s="1"/>
  <c r="O593" i="14"/>
  <c r="S593" i="14" s="1"/>
  <c r="I15" i="14"/>
  <c r="K15" i="14" s="1"/>
  <c r="S15" i="14" s="1"/>
  <c r="I17" i="14"/>
  <c r="K17" i="14" s="1"/>
  <c r="S17" i="14" s="1"/>
  <c r="B1286" i="14" l="1"/>
  <c r="B1287" i="14" s="1"/>
  <c r="B1288" i="14" s="1"/>
  <c r="B1289" i="14" s="1"/>
  <c r="B1290" i="14" s="1"/>
  <c r="S1776" i="14"/>
  <c r="G222" i="13"/>
  <c r="I222" i="13" s="1"/>
  <c r="G207" i="13"/>
  <c r="I207" i="13" s="1"/>
  <c r="G170" i="13"/>
  <c r="I170" i="13" s="1"/>
  <c r="G218" i="13"/>
  <c r="G217" i="13" l="1"/>
  <c r="I217" i="13" s="1"/>
  <c r="I218" i="13"/>
  <c r="B1291" i="14"/>
  <c r="B1292" i="14" s="1"/>
  <c r="B1293" i="14" s="1"/>
  <c r="B1294" i="14" s="1"/>
  <c r="B1295" i="14" s="1"/>
  <c r="B1296" i="14" s="1"/>
  <c r="B1297" i="14" s="1"/>
  <c r="B1298" i="14" s="1"/>
  <c r="B1299" i="14" s="1"/>
  <c r="B1300" i="14" s="1"/>
  <c r="B1301" i="14" s="1"/>
  <c r="B1302" i="14" s="1"/>
  <c r="B1303" i="14" s="1"/>
  <c r="B1304" i="14" s="1"/>
  <c r="B1305" i="14" s="1"/>
  <c r="B1306" i="14" s="1"/>
  <c r="B1307" i="14" s="1"/>
  <c r="B1308" i="14" s="1"/>
  <c r="B1309" i="14" s="1"/>
  <c r="B1310" i="14" s="1"/>
  <c r="B1311" i="14" s="1"/>
  <c r="B1312" i="14" s="1"/>
  <c r="B1313" i="14" s="1"/>
  <c r="B1314" i="14" s="1"/>
  <c r="B1315" i="14" s="1"/>
  <c r="B1316" i="14" s="1"/>
  <c r="B1317" i="14" s="1"/>
  <c r="B1318" i="14" s="1"/>
  <c r="B1319" i="14" s="1"/>
  <c r="B1320" i="14" s="1"/>
  <c r="B1321" i="14" s="1"/>
  <c r="B1322" i="14" s="1"/>
  <c r="B1323" i="14" s="1"/>
  <c r="B1324" i="14" s="1"/>
  <c r="B1325" i="14" s="1"/>
  <c r="B1326" i="14" s="1"/>
  <c r="B1327" i="14" s="1"/>
  <c r="B1328" i="14" s="1"/>
  <c r="B1329" i="14" s="1"/>
  <c r="B1330" i="14" s="1"/>
  <c r="B1331" i="14" s="1"/>
  <c r="B1332" i="14" s="1"/>
  <c r="B1333" i="14" s="1"/>
  <c r="B1334" i="14" s="1"/>
  <c r="B1335" i="14" s="1"/>
  <c r="B1336" i="14" s="1"/>
  <c r="B1337" i="14" s="1"/>
  <c r="B1338" i="14" s="1"/>
  <c r="B1339" i="14" s="1"/>
  <c r="B1340" i="14" s="1"/>
  <c r="B1341" i="14" s="1"/>
  <c r="B1342" i="14" s="1"/>
  <c r="B1343" i="14" s="1"/>
  <c r="B1344" i="14" s="1"/>
  <c r="B1345" i="14" s="1"/>
  <c r="B1346" i="14" s="1"/>
  <c r="B1347" i="14" s="1"/>
  <c r="B1348" i="14" s="1"/>
  <c r="B1349" i="14" s="1"/>
  <c r="B1350" i="14" s="1"/>
  <c r="B1351" i="14" s="1"/>
  <c r="B1352" i="14" s="1"/>
  <c r="B1353" i="14" s="1"/>
  <c r="B1354" i="14" s="1"/>
  <c r="B1355" i="14" s="1"/>
  <c r="B1356" i="14" s="1"/>
  <c r="B1357" i="14" s="1"/>
  <c r="B1358" i="14" s="1"/>
  <c r="B1359" i="14" s="1"/>
  <c r="B1360" i="14" s="1"/>
  <c r="B1361" i="14" s="1"/>
  <c r="B1362" i="14" s="1"/>
  <c r="B1363" i="14" s="1"/>
  <c r="B1364" i="14" s="1"/>
  <c r="B1365" i="14" s="1"/>
  <c r="S1775" i="14"/>
  <c r="M49" i="14"/>
  <c r="O49" i="14" s="1"/>
  <c r="S49" i="14" s="1"/>
  <c r="M47" i="14"/>
  <c r="O47" i="14" s="1"/>
  <c r="S47" i="14" s="1"/>
  <c r="I14" i="14"/>
  <c r="K14" i="14" s="1"/>
  <c r="S14" i="14" s="1"/>
  <c r="G483" i="13"/>
  <c r="I483" i="13" s="1"/>
  <c r="G441" i="13"/>
  <c r="I441" i="13" s="1"/>
  <c r="G438" i="13"/>
  <c r="I438" i="13" s="1"/>
  <c r="G431" i="13"/>
  <c r="I431" i="13" s="1"/>
  <c r="G429" i="13"/>
  <c r="I429" i="13" s="1"/>
  <c r="B1366" i="14" l="1"/>
  <c r="B1367" i="14" s="1"/>
  <c r="B1368" i="14" s="1"/>
  <c r="B1369" i="14" s="1"/>
  <c r="B1370" i="14" s="1"/>
  <c r="B1371" i="14" s="1"/>
  <c r="B1372" i="14" s="1"/>
  <c r="B1373" i="14" s="1"/>
  <c r="B1374" i="14" s="1"/>
  <c r="B1375" i="14" s="1"/>
  <c r="B1376" i="14" s="1"/>
  <c r="B1377" i="14" s="1"/>
  <c r="B1378" i="14" s="1"/>
  <c r="B1379" i="14" s="1"/>
  <c r="B1380" i="14" s="1"/>
  <c r="B1381" i="14" s="1"/>
  <c r="B1382" i="14" s="1"/>
  <c r="B1383" i="14" s="1"/>
  <c r="S1774" i="14"/>
  <c r="G52" i="13"/>
  <c r="I52" i="13" s="1"/>
  <c r="S1773" i="14" l="1"/>
  <c r="I29" i="14"/>
  <c r="K29" i="14" s="1"/>
  <c r="S29" i="14" s="1"/>
  <c r="S1772" i="14" l="1"/>
  <c r="G414" i="13"/>
  <c r="I414" i="13" s="1"/>
  <c r="I25" i="14"/>
  <c r="K25" i="14" s="1"/>
  <c r="S25" i="14" s="1"/>
  <c r="S1771" i="14" l="1"/>
  <c r="J25" i="15"/>
  <c r="L25" i="15" s="1"/>
  <c r="G500" i="13"/>
  <c r="G451" i="13"/>
  <c r="G459" i="13"/>
  <c r="G445" i="13"/>
  <c r="G462" i="13"/>
  <c r="G448" i="13"/>
  <c r="G436" i="13"/>
  <c r="G360" i="13"/>
  <c r="I360" i="13" s="1"/>
  <c r="G311" i="13"/>
  <c r="G51" i="13"/>
  <c r="G499" i="13" l="1"/>
  <c r="I499" i="13" s="1"/>
  <c r="I500" i="13"/>
  <c r="G50" i="13"/>
  <c r="I51" i="13"/>
  <c r="G450" i="13"/>
  <c r="I450" i="13" s="1"/>
  <c r="I451" i="13"/>
  <c r="G461" i="13"/>
  <c r="I461" i="13" s="1"/>
  <c r="I462" i="13"/>
  <c r="G444" i="13"/>
  <c r="I444" i="13" s="1"/>
  <c r="I445" i="13"/>
  <c r="G447" i="13"/>
  <c r="I447" i="13" s="1"/>
  <c r="I448" i="13"/>
  <c r="G309" i="13"/>
  <c r="I309" i="13" s="1"/>
  <c r="I311" i="13"/>
  <c r="G435" i="13"/>
  <c r="I435" i="13" s="1"/>
  <c r="I436" i="13"/>
  <c r="G458" i="13"/>
  <c r="I458" i="13" s="1"/>
  <c r="I459" i="13"/>
  <c r="G454" i="13"/>
  <c r="I454" i="13" s="1"/>
  <c r="I455" i="13"/>
  <c r="S1770" i="14"/>
  <c r="J27" i="15"/>
  <c r="L27" i="15" s="1"/>
  <c r="J26" i="15"/>
  <c r="L26" i="15" s="1"/>
  <c r="J24" i="15"/>
  <c r="L24" i="15" s="1"/>
  <c r="G49" i="13" l="1"/>
  <c r="I49" i="13" s="1"/>
  <c r="I50" i="13"/>
  <c r="S1769" i="14"/>
  <c r="I58" i="14"/>
  <c r="K58" i="14" s="1"/>
  <c r="S58" i="14" s="1"/>
  <c r="I56" i="14"/>
  <c r="K56" i="14" s="1"/>
  <c r="S56" i="14" s="1"/>
  <c r="I54" i="14"/>
  <c r="K54" i="14" s="1"/>
  <c r="S54" i="14" s="1"/>
  <c r="G482" i="13"/>
  <c r="G443" i="13"/>
  <c r="I443" i="13" s="1"/>
  <c r="G427" i="13"/>
  <c r="I427" i="13" s="1"/>
  <c r="G411" i="13"/>
  <c r="I411" i="13" s="1"/>
  <c r="G221" i="13"/>
  <c r="I221" i="13" s="1"/>
  <c r="G36" i="13"/>
  <c r="I36" i="13" s="1"/>
  <c r="G27" i="13"/>
  <c r="I27" i="13" s="1"/>
  <c r="G479" i="13" l="1"/>
  <c r="I479" i="13" s="1"/>
  <c r="I482" i="13"/>
  <c r="S1768" i="14"/>
  <c r="G428" i="13"/>
  <c r="G89" i="13"/>
  <c r="I89" i="13" s="1"/>
  <c r="G86" i="13"/>
  <c r="I86" i="13" s="1"/>
  <c r="G426" i="13" l="1"/>
  <c r="I426" i="13" s="1"/>
  <c r="I428" i="13"/>
  <c r="S1767" i="14"/>
  <c r="B24" i="15"/>
  <c r="G412" i="13"/>
  <c r="Q44" i="14"/>
  <c r="G476" i="13"/>
  <c r="G474" i="13"/>
  <c r="G10" i="13"/>
  <c r="I10" i="13" s="1"/>
  <c r="B470" i="13"/>
  <c r="B471" i="13" s="1"/>
  <c r="B472" i="13" s="1"/>
  <c r="B473" i="13" s="1"/>
  <c r="B474" i="13" s="1"/>
  <c r="B475" i="13" s="1"/>
  <c r="B476" i="13" s="1"/>
  <c r="B477" i="13" s="1"/>
  <c r="B478" i="13" s="1"/>
  <c r="B479" i="13" s="1"/>
  <c r="B480" i="13" s="1"/>
  <c r="M40" i="14"/>
  <c r="G373" i="13"/>
  <c r="G110" i="13"/>
  <c r="G113" i="13"/>
  <c r="G442" i="13"/>
  <c r="I442" i="13" s="1"/>
  <c r="Q49" i="14"/>
  <c r="G478" i="13"/>
  <c r="I31" i="14"/>
  <c r="I36" i="14"/>
  <c r="G35" i="13"/>
  <c r="G25" i="13"/>
  <c r="I62" i="14"/>
  <c r="I55" i="14"/>
  <c r="I59" i="14"/>
  <c r="I26" i="14"/>
  <c r="I22" i="14"/>
  <c r="I19" i="14"/>
  <c r="I12" i="14"/>
  <c r="J36" i="15"/>
  <c r="Q64" i="14"/>
  <c r="Q63" i="14"/>
  <c r="Q60" i="14"/>
  <c r="Q58" i="14"/>
  <c r="Q57" i="14"/>
  <c r="Q56" i="14"/>
  <c r="Q54" i="14"/>
  <c r="Q52" i="14"/>
  <c r="Q51" i="14"/>
  <c r="Q50" i="14"/>
  <c r="Q47" i="14"/>
  <c r="Q41" i="14"/>
  <c r="Q39" i="14"/>
  <c r="Q35" i="14"/>
  <c r="Q34" i="14"/>
  <c r="Q33" i="14"/>
  <c r="Q29" i="14"/>
  <c r="Q28" i="14"/>
  <c r="Q27" i="14"/>
  <c r="Q25" i="14"/>
  <c r="Q23" i="14"/>
  <c r="Q20" i="14"/>
  <c r="Q17" i="14"/>
  <c r="Q16" i="14"/>
  <c r="Q15" i="14"/>
  <c r="Q14" i="14"/>
  <c r="Q13" i="14"/>
  <c r="M46" i="14"/>
  <c r="M38" i="14"/>
  <c r="G399" i="13"/>
  <c r="G396" i="13"/>
  <c r="G393" i="13"/>
  <c r="G389" i="13"/>
  <c r="G384" i="13"/>
  <c r="G381" i="13"/>
  <c r="G377" i="13"/>
  <c r="G370" i="13"/>
  <c r="G363" i="13"/>
  <c r="G358" i="13"/>
  <c r="G355" i="13"/>
  <c r="G351" i="13"/>
  <c r="G346" i="13"/>
  <c r="G343" i="13"/>
  <c r="G339" i="13"/>
  <c r="G334" i="13"/>
  <c r="G331" i="13"/>
  <c r="G324" i="13"/>
  <c r="G321" i="13"/>
  <c r="G318" i="13"/>
  <c r="G308" i="13"/>
  <c r="I308" i="13" s="1"/>
  <c r="G306" i="13"/>
  <c r="G301" i="13"/>
  <c r="G298" i="13"/>
  <c r="G293" i="13"/>
  <c r="G290" i="13"/>
  <c r="G286" i="13"/>
  <c r="G281" i="13"/>
  <c r="G275" i="13"/>
  <c r="G269" i="13"/>
  <c r="G263" i="13"/>
  <c r="G260" i="13"/>
  <c r="G255" i="13"/>
  <c r="G252" i="13"/>
  <c r="G248" i="13"/>
  <c r="G245" i="13"/>
  <c r="G241" i="13"/>
  <c r="G237" i="13"/>
  <c r="G233" i="13"/>
  <c r="G227" i="13"/>
  <c r="G215" i="13"/>
  <c r="G212" i="13"/>
  <c r="G206" i="13"/>
  <c r="G203" i="13"/>
  <c r="G199" i="13"/>
  <c r="G195" i="13"/>
  <c r="G190" i="13"/>
  <c r="G185" i="13"/>
  <c r="G180" i="13"/>
  <c r="G175" i="13"/>
  <c r="G169" i="13"/>
  <c r="G164" i="13"/>
  <c r="G159" i="13"/>
  <c r="G154" i="13"/>
  <c r="G149" i="13"/>
  <c r="G144" i="13"/>
  <c r="G139" i="13"/>
  <c r="G134" i="13"/>
  <c r="G129" i="13"/>
  <c r="G124" i="13"/>
  <c r="G85" i="13"/>
  <c r="G120" i="13"/>
  <c r="G117" i="13"/>
  <c r="G106" i="13"/>
  <c r="G103" i="13"/>
  <c r="G99" i="13"/>
  <c r="G95" i="13"/>
  <c r="G92" i="13"/>
  <c r="G88" i="13"/>
  <c r="G81" i="13"/>
  <c r="G77" i="13"/>
  <c r="G73" i="13"/>
  <c r="G70" i="13"/>
  <c r="G58" i="13"/>
  <c r="G61" i="13"/>
  <c r="G64" i="13"/>
  <c r="G29" i="13"/>
  <c r="I29" i="13" s="1"/>
  <c r="G44" i="13"/>
  <c r="G41" i="13"/>
  <c r="G38" i="13"/>
  <c r="I38" i="13" s="1"/>
  <c r="G32" i="13"/>
  <c r="I32" i="13" s="1"/>
  <c r="G17" i="13"/>
  <c r="G9" i="13"/>
  <c r="G12" i="13"/>
  <c r="B10" i="14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M48" i="14"/>
  <c r="O48" i="14" s="1"/>
  <c r="S48" i="14" s="1"/>
  <c r="G69" i="13" l="1"/>
  <c r="I69" i="13" s="1"/>
  <c r="I70" i="13"/>
  <c r="G87" i="13"/>
  <c r="I87" i="13" s="1"/>
  <c r="I88" i="13"/>
  <c r="G102" i="13"/>
  <c r="I102" i="13" s="1"/>
  <c r="I103" i="13"/>
  <c r="G84" i="13"/>
  <c r="I84" i="13" s="1"/>
  <c r="I85" i="13"/>
  <c r="G138" i="13"/>
  <c r="I139" i="13"/>
  <c r="G158" i="13"/>
  <c r="I159" i="13"/>
  <c r="G179" i="13"/>
  <c r="I180" i="13"/>
  <c r="G198" i="13"/>
  <c r="I199" i="13"/>
  <c r="G214" i="13"/>
  <c r="I214" i="13" s="1"/>
  <c r="I215" i="13"/>
  <c r="G240" i="13"/>
  <c r="I241" i="13"/>
  <c r="G254" i="13"/>
  <c r="I254" i="13" s="1"/>
  <c r="I255" i="13"/>
  <c r="G274" i="13"/>
  <c r="I275" i="13"/>
  <c r="G292" i="13"/>
  <c r="I292" i="13" s="1"/>
  <c r="I293" i="13"/>
  <c r="G330" i="13"/>
  <c r="I330" i="13" s="1"/>
  <c r="I331" i="13"/>
  <c r="G345" i="13"/>
  <c r="I345" i="13" s="1"/>
  <c r="I346" i="13"/>
  <c r="G362" i="13"/>
  <c r="I362" i="13" s="1"/>
  <c r="I363" i="13"/>
  <c r="G383" i="13"/>
  <c r="I383" i="13" s="1"/>
  <c r="I384" i="13"/>
  <c r="G398" i="13"/>
  <c r="I398" i="13" s="1"/>
  <c r="I399" i="13"/>
  <c r="G475" i="13"/>
  <c r="I475" i="13" s="1"/>
  <c r="I476" i="13"/>
  <c r="G16" i="13"/>
  <c r="I16" i="13" s="1"/>
  <c r="I17" i="13"/>
  <c r="G80" i="13"/>
  <c r="I80" i="13" s="1"/>
  <c r="I81" i="13"/>
  <c r="G133" i="13"/>
  <c r="I134" i="13"/>
  <c r="G174" i="13"/>
  <c r="I175" i="13"/>
  <c r="G211" i="13"/>
  <c r="I211" i="13" s="1"/>
  <c r="I212" i="13"/>
  <c r="G251" i="13"/>
  <c r="I251" i="13" s="1"/>
  <c r="I252" i="13"/>
  <c r="G289" i="13"/>
  <c r="I289" i="13" s="1"/>
  <c r="I290" i="13"/>
  <c r="G323" i="13"/>
  <c r="I323" i="13" s="1"/>
  <c r="I324" i="13"/>
  <c r="G357" i="13"/>
  <c r="I357" i="13" s="1"/>
  <c r="I358" i="13"/>
  <c r="G395" i="13"/>
  <c r="I395" i="13" s="1"/>
  <c r="I396" i="13"/>
  <c r="G34" i="13"/>
  <c r="I34" i="13" s="1"/>
  <c r="I35" i="13"/>
  <c r="G372" i="13"/>
  <c r="I372" i="13" s="1"/>
  <c r="I373" i="13"/>
  <c r="G473" i="13"/>
  <c r="I473" i="13" s="1"/>
  <c r="I474" i="13"/>
  <c r="G11" i="13"/>
  <c r="I11" i="13" s="1"/>
  <c r="I12" i="13"/>
  <c r="G63" i="13"/>
  <c r="I63" i="13" s="1"/>
  <c r="I64" i="13"/>
  <c r="G72" i="13"/>
  <c r="I72" i="13" s="1"/>
  <c r="I73" i="13"/>
  <c r="G91" i="13"/>
  <c r="I91" i="13" s="1"/>
  <c r="I92" i="13"/>
  <c r="G105" i="13"/>
  <c r="I105" i="13" s="1"/>
  <c r="I106" i="13"/>
  <c r="G123" i="13"/>
  <c r="I124" i="13"/>
  <c r="G143" i="13"/>
  <c r="I144" i="13"/>
  <c r="G163" i="13"/>
  <c r="I164" i="13"/>
  <c r="G184" i="13"/>
  <c r="I185" i="13"/>
  <c r="G202" i="13"/>
  <c r="I203" i="13"/>
  <c r="G226" i="13"/>
  <c r="I227" i="13"/>
  <c r="G244" i="13"/>
  <c r="I244" i="13" s="1"/>
  <c r="I245" i="13"/>
  <c r="G259" i="13"/>
  <c r="I259" i="13" s="1"/>
  <c r="I260" i="13"/>
  <c r="G280" i="13"/>
  <c r="I281" i="13"/>
  <c r="G297" i="13"/>
  <c r="I297" i="13" s="1"/>
  <c r="I298" i="13"/>
  <c r="G317" i="13"/>
  <c r="I317" i="13" s="1"/>
  <c r="I318" i="13"/>
  <c r="G333" i="13"/>
  <c r="I333" i="13" s="1"/>
  <c r="I334" i="13"/>
  <c r="G350" i="13"/>
  <c r="I350" i="13" s="1"/>
  <c r="I351" i="13"/>
  <c r="G369" i="13"/>
  <c r="I369" i="13" s="1"/>
  <c r="I370" i="13"/>
  <c r="G388" i="13"/>
  <c r="I388" i="13" s="1"/>
  <c r="I389" i="13"/>
  <c r="G112" i="13"/>
  <c r="I112" i="13" s="1"/>
  <c r="I113" i="13"/>
  <c r="G43" i="13"/>
  <c r="I43" i="13" s="1"/>
  <c r="I44" i="13"/>
  <c r="G57" i="13"/>
  <c r="I57" i="13" s="1"/>
  <c r="I58" i="13"/>
  <c r="G98" i="13"/>
  <c r="I99" i="13"/>
  <c r="G119" i="13"/>
  <c r="I119" i="13" s="1"/>
  <c r="I120" i="13"/>
  <c r="G153" i="13"/>
  <c r="I154" i="13"/>
  <c r="G194" i="13"/>
  <c r="I195" i="13"/>
  <c r="G236" i="13"/>
  <c r="I237" i="13"/>
  <c r="G268" i="13"/>
  <c r="I269" i="13"/>
  <c r="G305" i="13"/>
  <c r="I305" i="13" s="1"/>
  <c r="I306" i="13"/>
  <c r="G342" i="13"/>
  <c r="I342" i="13" s="1"/>
  <c r="I343" i="13"/>
  <c r="G380" i="13"/>
  <c r="I380" i="13" s="1"/>
  <c r="I381" i="13"/>
  <c r="G8" i="13"/>
  <c r="I8" i="13" s="1"/>
  <c r="I9" i="13"/>
  <c r="G40" i="13"/>
  <c r="I40" i="13" s="1"/>
  <c r="I41" i="13"/>
  <c r="G60" i="13"/>
  <c r="I60" i="13" s="1"/>
  <c r="I61" i="13"/>
  <c r="G76" i="13"/>
  <c r="I76" i="13" s="1"/>
  <c r="I77" i="13"/>
  <c r="G94" i="13"/>
  <c r="I94" i="13" s="1"/>
  <c r="I95" i="13"/>
  <c r="G116" i="13"/>
  <c r="I116" i="13" s="1"/>
  <c r="I117" i="13"/>
  <c r="G128" i="13"/>
  <c r="I129" i="13"/>
  <c r="G148" i="13"/>
  <c r="I149" i="13"/>
  <c r="G168" i="13"/>
  <c r="I169" i="13"/>
  <c r="G189" i="13"/>
  <c r="I190" i="13"/>
  <c r="G205" i="13"/>
  <c r="I205" i="13" s="1"/>
  <c r="I206" i="13"/>
  <c r="G232" i="13"/>
  <c r="I233" i="13"/>
  <c r="G247" i="13"/>
  <c r="I247" i="13" s="1"/>
  <c r="I248" i="13"/>
  <c r="G262" i="13"/>
  <c r="I262" i="13" s="1"/>
  <c r="I263" i="13"/>
  <c r="G285" i="13"/>
  <c r="I286" i="13"/>
  <c r="G300" i="13"/>
  <c r="I300" i="13" s="1"/>
  <c r="I301" i="13"/>
  <c r="G320" i="13"/>
  <c r="I320" i="13" s="1"/>
  <c r="I321" i="13"/>
  <c r="G338" i="13"/>
  <c r="I338" i="13" s="1"/>
  <c r="I339" i="13"/>
  <c r="G354" i="13"/>
  <c r="I354" i="13" s="1"/>
  <c r="I355" i="13"/>
  <c r="G376" i="13"/>
  <c r="I376" i="13" s="1"/>
  <c r="I377" i="13"/>
  <c r="G392" i="13"/>
  <c r="I392" i="13" s="1"/>
  <c r="I393" i="13"/>
  <c r="J33" i="15"/>
  <c r="L33" i="15" s="1"/>
  <c r="L36" i="15"/>
  <c r="G24" i="13"/>
  <c r="I24" i="13" s="1"/>
  <c r="I25" i="13"/>
  <c r="G477" i="13"/>
  <c r="I477" i="13" s="1"/>
  <c r="I478" i="13"/>
  <c r="G109" i="13"/>
  <c r="I109" i="13" s="1"/>
  <c r="I110" i="13"/>
  <c r="G410" i="13"/>
  <c r="I410" i="13" s="1"/>
  <c r="I412" i="13"/>
  <c r="S1766" i="14"/>
  <c r="Q19" i="14"/>
  <c r="K19" i="14"/>
  <c r="S19" i="14" s="1"/>
  <c r="Q36" i="14"/>
  <c r="K36" i="14"/>
  <c r="S36" i="14" s="1"/>
  <c r="Q38" i="14"/>
  <c r="O38" i="14"/>
  <c r="S38" i="14" s="1"/>
  <c r="I21" i="14"/>
  <c r="K22" i="14"/>
  <c r="S22" i="14" s="1"/>
  <c r="Q62" i="14"/>
  <c r="K62" i="14"/>
  <c r="S62" i="14" s="1"/>
  <c r="Q31" i="14"/>
  <c r="K31" i="14"/>
  <c r="S31" i="14" s="1"/>
  <c r="Q40" i="14"/>
  <c r="O40" i="14"/>
  <c r="S40" i="14" s="1"/>
  <c r="Q46" i="14"/>
  <c r="O46" i="14"/>
  <c r="S46" i="14" s="1"/>
  <c r="Q26" i="14"/>
  <c r="K26" i="14"/>
  <c r="S26" i="14" s="1"/>
  <c r="Q55" i="14"/>
  <c r="K55" i="14"/>
  <c r="S55" i="14" s="1"/>
  <c r="I11" i="14"/>
  <c r="K12" i="14"/>
  <c r="S12" i="14" s="1"/>
  <c r="Q59" i="14"/>
  <c r="K59" i="14"/>
  <c r="S59" i="14" s="1"/>
  <c r="G210" i="13"/>
  <c r="I43" i="14"/>
  <c r="K43" i="14" s="1"/>
  <c r="S43" i="14" s="1"/>
  <c r="B481" i="13"/>
  <c r="B482" i="13" s="1"/>
  <c r="B483" i="13" s="1"/>
  <c r="B484" i="13" s="1"/>
  <c r="B485" i="13" s="1"/>
  <c r="B486" i="13" s="1"/>
  <c r="B487" i="13" s="1"/>
  <c r="B488" i="13" s="1"/>
  <c r="B489" i="13" s="1"/>
  <c r="B490" i="13" s="1"/>
  <c r="B66" i="13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I61" i="14"/>
  <c r="B25" i="15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I32" i="14"/>
  <c r="I53" i="14"/>
  <c r="M37" i="14"/>
  <c r="G440" i="13"/>
  <c r="G368" i="13"/>
  <c r="I368" i="13" s="1"/>
  <c r="G75" i="13"/>
  <c r="I75" i="13" s="1"/>
  <c r="J23" i="15"/>
  <c r="L23" i="15" s="1"/>
  <c r="G250" i="13"/>
  <c r="I250" i="13" s="1"/>
  <c r="G304" i="13"/>
  <c r="I304" i="13" s="1"/>
  <c r="Q12" i="14"/>
  <c r="G288" i="13"/>
  <c r="I288" i="13" s="1"/>
  <c r="M45" i="14"/>
  <c r="G68" i="13"/>
  <c r="I68" i="13" s="1"/>
  <c r="I18" i="14"/>
  <c r="G329" i="13"/>
  <c r="I329" i="13" s="1"/>
  <c r="G258" i="13"/>
  <c r="I258" i="13" s="1"/>
  <c r="G353" i="13"/>
  <c r="I353" i="13" s="1"/>
  <c r="Q22" i="14"/>
  <c r="G7" i="13"/>
  <c r="G90" i="13"/>
  <c r="I90" i="13" s="1"/>
  <c r="G316" i="13"/>
  <c r="I316" i="13" s="1"/>
  <c r="Q48" i="14"/>
  <c r="G83" i="13"/>
  <c r="I83" i="13" s="1"/>
  <c r="I24" i="14"/>
  <c r="G472" i="13"/>
  <c r="G341" i="13"/>
  <c r="I341" i="13" s="1"/>
  <c r="G28" i="13"/>
  <c r="G115" i="13"/>
  <c r="I115" i="13" s="1"/>
  <c r="G101" i="13"/>
  <c r="I101" i="13" s="1"/>
  <c r="G243" i="13"/>
  <c r="I243" i="13" s="1"/>
  <c r="G379" i="13"/>
  <c r="I379" i="13" s="1"/>
  <c r="G391" i="13"/>
  <c r="I391" i="13" s="1"/>
  <c r="G108" i="13"/>
  <c r="I108" i="13" s="1"/>
  <c r="G231" i="13" l="1"/>
  <c r="I231" i="13" s="1"/>
  <c r="I232" i="13"/>
  <c r="G188" i="13"/>
  <c r="I188" i="13" s="1"/>
  <c r="I189" i="13"/>
  <c r="G147" i="13"/>
  <c r="I147" i="13" s="1"/>
  <c r="I148" i="13"/>
  <c r="G235" i="13"/>
  <c r="I235" i="13" s="1"/>
  <c r="I236" i="13"/>
  <c r="G152" i="13"/>
  <c r="I152" i="13" s="1"/>
  <c r="I153" i="13"/>
  <c r="G97" i="13"/>
  <c r="I97" i="13" s="1"/>
  <c r="I98" i="13"/>
  <c r="G279" i="13"/>
  <c r="I279" i="13" s="1"/>
  <c r="I280" i="13"/>
  <c r="G201" i="13"/>
  <c r="I201" i="13" s="1"/>
  <c r="I202" i="13"/>
  <c r="G162" i="13"/>
  <c r="I162" i="13" s="1"/>
  <c r="I163" i="13"/>
  <c r="G122" i="13"/>
  <c r="I122" i="13" s="1"/>
  <c r="I123" i="13"/>
  <c r="G132" i="13"/>
  <c r="I132" i="13" s="1"/>
  <c r="I133" i="13"/>
  <c r="G273" i="13"/>
  <c r="I273" i="13" s="1"/>
  <c r="I274" i="13"/>
  <c r="G239" i="13"/>
  <c r="I239" i="13" s="1"/>
  <c r="I240" i="13"/>
  <c r="G197" i="13"/>
  <c r="I197" i="13" s="1"/>
  <c r="I198" i="13"/>
  <c r="G157" i="13"/>
  <c r="I157" i="13" s="1"/>
  <c r="I158" i="13"/>
  <c r="G471" i="13"/>
  <c r="I472" i="13"/>
  <c r="G23" i="13"/>
  <c r="I23" i="13" s="1"/>
  <c r="I28" i="13"/>
  <c r="G439" i="13"/>
  <c r="I439" i="13" s="1"/>
  <c r="I440" i="13"/>
  <c r="G409" i="13"/>
  <c r="G6" i="13"/>
  <c r="I6" i="13" s="1"/>
  <c r="I7" i="13"/>
  <c r="I210" i="13"/>
  <c r="G284" i="13"/>
  <c r="I284" i="13" s="1"/>
  <c r="I285" i="13"/>
  <c r="G167" i="13"/>
  <c r="I167" i="13" s="1"/>
  <c r="I168" i="13"/>
  <c r="G127" i="13"/>
  <c r="I127" i="13" s="1"/>
  <c r="I128" i="13"/>
  <c r="G267" i="13"/>
  <c r="I267" i="13" s="1"/>
  <c r="I268" i="13"/>
  <c r="G193" i="13"/>
  <c r="I193" i="13" s="1"/>
  <c r="I194" i="13"/>
  <c r="G225" i="13"/>
  <c r="I225" i="13" s="1"/>
  <c r="I226" i="13"/>
  <c r="G183" i="13"/>
  <c r="I183" i="13" s="1"/>
  <c r="I184" i="13"/>
  <c r="G142" i="13"/>
  <c r="I142" i="13" s="1"/>
  <c r="I143" i="13"/>
  <c r="G173" i="13"/>
  <c r="I173" i="13" s="1"/>
  <c r="I174" i="13"/>
  <c r="G178" i="13"/>
  <c r="I178" i="13" s="1"/>
  <c r="I179" i="13"/>
  <c r="G137" i="13"/>
  <c r="I137" i="13" s="1"/>
  <c r="I138" i="13"/>
  <c r="S1765" i="14"/>
  <c r="Q32" i="14"/>
  <c r="K32" i="14"/>
  <c r="S32" i="14" s="1"/>
  <c r="Q21" i="14"/>
  <c r="K21" i="14"/>
  <c r="S21" i="14" s="1"/>
  <c r="Q53" i="14"/>
  <c r="K53" i="14"/>
  <c r="S53" i="14" s="1"/>
  <c r="M42" i="14"/>
  <c r="O42" i="14" s="1"/>
  <c r="O45" i="14"/>
  <c r="S45" i="14" s="1"/>
  <c r="Q18" i="14"/>
  <c r="K18" i="14"/>
  <c r="S18" i="14" s="1"/>
  <c r="Q24" i="14"/>
  <c r="K24" i="14"/>
  <c r="S24" i="14" s="1"/>
  <c r="Q37" i="14"/>
  <c r="O37" i="14"/>
  <c r="S37" i="14" s="1"/>
  <c r="Q61" i="14"/>
  <c r="K61" i="14"/>
  <c r="S61" i="14" s="1"/>
  <c r="Q11" i="14"/>
  <c r="K11" i="14"/>
  <c r="S11" i="14" s="1"/>
  <c r="B205" i="13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491" i="13"/>
  <c r="B492" i="13" s="1"/>
  <c r="B493" i="13" s="1"/>
  <c r="B494" i="13" s="1"/>
  <c r="B495" i="13" s="1"/>
  <c r="B496" i="13" s="1"/>
  <c r="B497" i="13" s="1"/>
  <c r="B498" i="13" s="1"/>
  <c r="B499" i="13" s="1"/>
  <c r="B500" i="13" s="1"/>
  <c r="B501" i="13" s="1"/>
  <c r="B502" i="13" s="1"/>
  <c r="Q43" i="14"/>
  <c r="I42" i="14"/>
  <c r="I30" i="14"/>
  <c r="K30" i="14" s="1"/>
  <c r="M30" i="14"/>
  <c r="Q45" i="14"/>
  <c r="I10" i="14"/>
  <c r="G56" i="13"/>
  <c r="I56" i="13" s="1"/>
  <c r="G470" i="13" l="1"/>
  <c r="I471" i="13"/>
  <c r="G126" i="13"/>
  <c r="I126" i="13" s="1"/>
  <c r="G220" i="13"/>
  <c r="I220" i="13" s="1"/>
  <c r="G406" i="13"/>
  <c r="I409" i="13"/>
  <c r="S1764" i="14"/>
  <c r="Q10" i="14"/>
  <c r="K10" i="14"/>
  <c r="S10" i="14" s="1"/>
  <c r="Q42" i="14"/>
  <c r="K42" i="14"/>
  <c r="S42" i="14" s="1"/>
  <c r="M9" i="14"/>
  <c r="O9" i="14" s="1"/>
  <c r="O30" i="14"/>
  <c r="S30" i="14" s="1"/>
  <c r="B220" i="13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Q30" i="14"/>
  <c r="I9" i="14"/>
  <c r="K9" i="14" s="1"/>
  <c r="J7" i="15"/>
  <c r="L7" i="15" s="1"/>
  <c r="G22" i="13" l="1"/>
  <c r="I22" i="13" s="1"/>
  <c r="I406" i="13"/>
  <c r="G405" i="13"/>
  <c r="G502" i="13"/>
  <c r="I470" i="13"/>
  <c r="G6" i="15"/>
  <c r="I6" i="15" s="1"/>
  <c r="B302" i="13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6" i="13" s="1"/>
  <c r="B317" i="13" s="1"/>
  <c r="B318" i="13" s="1"/>
  <c r="B319" i="13" s="1"/>
  <c r="B320" i="13" s="1"/>
  <c r="B321" i="13" s="1"/>
  <c r="B322" i="13" s="1"/>
  <c r="S9" i="14"/>
  <c r="S1763" i="14"/>
  <c r="I5" i="15"/>
  <c r="D6" i="15"/>
  <c r="Q9" i="14"/>
  <c r="J10" i="15"/>
  <c r="L10" i="15" s="1"/>
  <c r="J17" i="15"/>
  <c r="L17" i="15" s="1"/>
  <c r="J14" i="15"/>
  <c r="L14" i="15" s="1"/>
  <c r="J9" i="15"/>
  <c r="L9" i="15" s="1"/>
  <c r="J8" i="15"/>
  <c r="L8" i="15" s="1"/>
  <c r="I405" i="13" l="1"/>
  <c r="G404" i="13"/>
  <c r="G509" i="13"/>
  <c r="I502" i="13"/>
  <c r="B323" i="13"/>
  <c r="B324" i="13" s="1"/>
  <c r="B325" i="13" s="1"/>
  <c r="B326" i="13" s="1"/>
  <c r="B327" i="13" s="1"/>
  <c r="B328" i="13" s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S1762" i="14"/>
  <c r="J6" i="15"/>
  <c r="L6" i="15" s="1"/>
  <c r="F6" i="15"/>
  <c r="J13" i="15"/>
  <c r="L13" i="15" s="1"/>
  <c r="J15" i="15"/>
  <c r="L15" i="15" s="1"/>
  <c r="B363" i="13" l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I404" i="13"/>
  <c r="G464" i="13"/>
  <c r="G4" i="15"/>
  <c r="I4" i="15" s="1"/>
  <c r="I19" i="15" s="1"/>
  <c r="I509" i="13"/>
  <c r="S1761" i="14"/>
  <c r="F5" i="15"/>
  <c r="G5" i="15"/>
  <c r="J11" i="15"/>
  <c r="L11" i="15" s="1"/>
  <c r="J12" i="15"/>
  <c r="L12" i="15" s="1"/>
  <c r="J16" i="15"/>
  <c r="L16" i="15" s="1"/>
  <c r="B398" i="13" l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412" i="13" s="1"/>
  <c r="B413" i="13" s="1"/>
  <c r="B414" i="13" s="1"/>
  <c r="B415" i="13" s="1"/>
  <c r="B416" i="13" s="1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B442" i="13" s="1"/>
  <c r="B443" i="13" s="1"/>
  <c r="B444" i="13" s="1"/>
  <c r="B445" i="13" s="1"/>
  <c r="B446" i="13" s="1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G508" i="13"/>
  <c r="I464" i="13"/>
  <c r="S1760" i="14"/>
  <c r="G19" i="15"/>
  <c r="D5" i="15"/>
  <c r="D4" i="15" l="1"/>
  <c r="G510" i="13"/>
  <c r="I510" i="13" s="1"/>
  <c r="I508" i="13"/>
  <c r="J5" i="15"/>
  <c r="L5" i="15" s="1"/>
  <c r="D18" i="15"/>
  <c r="F18" i="15" s="1"/>
  <c r="B457" i="13"/>
  <c r="B458" i="13" s="1"/>
  <c r="B459" i="13" s="1"/>
  <c r="B460" i="13" s="1"/>
  <c r="B461" i="13" s="1"/>
  <c r="B462" i="13" s="1"/>
  <c r="B463" i="13" s="1"/>
  <c r="B464" i="13" s="1"/>
  <c r="S1759" i="14"/>
  <c r="J4" i="15" l="1"/>
  <c r="L4" i="15" s="1"/>
  <c r="F4" i="15"/>
  <c r="J41" i="15"/>
  <c r="L41" i="15" s="1"/>
  <c r="J20" i="15"/>
  <c r="L20" i="15" s="1"/>
  <c r="S1758" i="14"/>
  <c r="S1757" i="14" l="1"/>
  <c r="S1756" i="14" l="1"/>
  <c r="S1755" i="14" l="1"/>
  <c r="S1754" i="14" l="1"/>
  <c r="S1753" i="14" l="1"/>
  <c r="S1752" i="14" l="1"/>
  <c r="S1747" i="14" l="1"/>
  <c r="S1746" i="14" l="1"/>
  <c r="S1745" i="14" l="1"/>
  <c r="S1744" i="14" l="1"/>
  <c r="S1743" i="14" l="1"/>
  <c r="S1742" i="14" l="1"/>
  <c r="S1741" i="14" l="1"/>
  <c r="S1739" i="14" l="1"/>
  <c r="S1738" i="14" l="1"/>
  <c r="S1737" i="14" l="1"/>
  <c r="S1736" i="14" l="1"/>
  <c r="S1735" i="14" l="1"/>
  <c r="S1734" i="14" l="1"/>
  <c r="S1733" i="14" l="1"/>
  <c r="S1732" i="14" l="1"/>
  <c r="S1731" i="14" l="1"/>
  <c r="S1730" i="14" l="1"/>
  <c r="S1729" i="14" l="1"/>
  <c r="S1728" i="14" l="1"/>
  <c r="S1727" i="14" l="1"/>
  <c r="S1726" i="14" l="1"/>
  <c r="S1725" i="14" l="1"/>
  <c r="S1724" i="14" l="1"/>
  <c r="S1723" i="14" l="1"/>
  <c r="S1722" i="14" l="1"/>
  <c r="S1721" i="14" l="1"/>
  <c r="S1720" i="14" l="1"/>
  <c r="S1719" i="14" l="1"/>
  <c r="S1718" i="14" l="1"/>
  <c r="S1717" i="14" l="1"/>
  <c r="S1716" i="14" l="1"/>
  <c r="S1715" i="14" l="1"/>
  <c r="S1714" i="14" l="1"/>
  <c r="S1713" i="14" l="1"/>
  <c r="S1712" i="14" l="1"/>
  <c r="S1711" i="14" l="1"/>
  <c r="S1710" i="14" l="1"/>
  <c r="S1709" i="14" l="1"/>
  <c r="S1708" i="14" l="1"/>
  <c r="S1707" i="14" l="1"/>
  <c r="S1706" i="14" l="1"/>
  <c r="S1705" i="14" l="1"/>
  <c r="S1704" i="14" l="1"/>
  <c r="S1703" i="14" l="1"/>
  <c r="S1702" i="14" l="1"/>
  <c r="S1701" i="14" l="1"/>
  <c r="S1700" i="14" l="1"/>
  <c r="S1699" i="14" l="1"/>
  <c r="S1698" i="14" l="1"/>
  <c r="S1697" i="14" l="1"/>
  <c r="S1696" i="14" l="1"/>
  <c r="S1695" i="14" l="1"/>
  <c r="S1694" i="14" l="1"/>
  <c r="S1693" i="14" l="1"/>
  <c r="S1692" i="14" l="1"/>
  <c r="S1691" i="14" l="1"/>
  <c r="S1690" i="14" l="1"/>
  <c r="S1689" i="14" l="1"/>
  <c r="S1688" i="14" l="1"/>
  <c r="S1687" i="14" l="1"/>
  <c r="S1686" i="14" l="1"/>
  <c r="S1685" i="14" l="1"/>
  <c r="S1684" i="14" l="1"/>
  <c r="S1683" i="14" l="1"/>
  <c r="S1682" i="14" l="1"/>
  <c r="S1679" i="14" l="1"/>
  <c r="S1678" i="14" l="1"/>
  <c r="S1677" i="14" l="1"/>
  <c r="S1676" i="14" l="1"/>
  <c r="S1675" i="14" l="1"/>
  <c r="S1674" i="14" l="1"/>
  <c r="S1673" i="14" l="1"/>
  <c r="S1672" i="14" l="1"/>
  <c r="S1671" i="14" l="1"/>
  <c r="S1670" i="14"/>
</calcChain>
</file>

<file path=xl/sharedStrings.xml><?xml version="1.0" encoding="utf-8"?>
<sst xmlns="http://schemas.openxmlformats.org/spreadsheetml/2006/main" count="3668" uniqueCount="677">
  <si>
    <t>Dotácie na strategické športy</t>
  </si>
  <si>
    <t>PROGRAM   8: ŠPORT A MLÁDEŽ</t>
  </si>
  <si>
    <t>Základná škola, Na dolinách 27, Trenčín</t>
  </si>
  <si>
    <t>Základná umelecká škola Karola Pádivého, Nám. SNP 2, Trenčín</t>
  </si>
  <si>
    <t>Nová letná plaváreň - KR</t>
  </si>
  <si>
    <t>Bazovského Galéria</t>
  </si>
  <si>
    <t>KC Kubra</t>
  </si>
  <si>
    <t>Kultúrne centrum seniorov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</si>
  <si>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</si>
  <si>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</si>
  <si>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</si>
  <si>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</si>
  <si>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Zakladná škola, Bezručova 66, Trenčín</t>
  </si>
  <si>
    <t>Zakladná škola, Dlhé Hony 1, Trenčín</t>
  </si>
  <si>
    <t>Materská škola, Šafárikova 11, Trenčín</t>
  </si>
  <si>
    <t>DHZ Záblatie</t>
  </si>
  <si>
    <t>DHZ Opatová</t>
  </si>
  <si>
    <t>DHZ Kubrica</t>
  </si>
  <si>
    <t>Mestské hospodárstvo a správa lesov, m.r.o, Trenčín</t>
  </si>
  <si>
    <t>Základná škola, Východná 9, Trenčín</t>
  </si>
  <si>
    <t>Dotácie na šport a mládež</t>
  </si>
  <si>
    <t>Dotácie na výnimočné akcie</t>
  </si>
  <si>
    <t>Dotácie na mládež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</si>
  <si>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</si>
  <si>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</si>
  <si>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</si>
  <si>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</si>
  <si>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</si>
  <si>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</si>
  <si>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</si>
  <si>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</si>
  <si>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</si>
  <si>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</si>
  <si>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</si>
  <si>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</si>
  <si>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 ý d a v k y</t>
  </si>
  <si>
    <t>Výsledok hospodárenia</t>
  </si>
  <si>
    <t>Križovatka pod starým mostom a CSS - rekonštrukcia</t>
  </si>
  <si>
    <t>Chodník križovatka Majerská, Kasárenská, Na Kamenci</t>
  </si>
  <si>
    <t>Chodník Hanzlíkovská</t>
  </si>
  <si>
    <t>Rekonštrukcia Mierového námestia</t>
  </si>
  <si>
    <t>Napojenie Ul.Opatovská na Ul.Armádna pri VÚO</t>
  </si>
  <si>
    <t>PROGRAM   1: MANAŽMENT a PLÁNOVANIE</t>
  </si>
  <si>
    <t>Mesto Trenčín</t>
  </si>
  <si>
    <t>Kapitálové príjmy spolu</t>
  </si>
  <si>
    <t>PRÍJMY Spolu</t>
  </si>
  <si>
    <t>Rozvoz stravy</t>
  </si>
  <si>
    <t>Nozdrkovský chodník v úseku ČOV</t>
  </si>
  <si>
    <t>Miestne médiá</t>
  </si>
  <si>
    <t>Fontány</t>
  </si>
  <si>
    <t>Verejné toalety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</si>
  <si>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</si>
  <si>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</si>
  <si>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</si>
  <si>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</si>
  <si>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</si>
  <si>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</si>
  <si>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</si>
  <si>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</si>
  <si>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</si>
  <si>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</si>
  <si>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Pokuty, penále a iné sankcie</t>
  </si>
  <si>
    <t>Licencie</t>
  </si>
  <si>
    <t>Nocľaháreň</t>
  </si>
  <si>
    <t>Podporná činnosť</t>
  </si>
  <si>
    <t>Nákup budov, objektov alebo ich častí</t>
  </si>
  <si>
    <t>Zariadenie pre seniorov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</si>
  <si>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</si>
  <si>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</si>
  <si>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</si>
  <si>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</si>
  <si>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</si>
  <si>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</si>
  <si>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</si>
  <si>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</si>
  <si>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</si>
  <si>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</si>
  <si>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</si>
  <si>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</si>
  <si>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</si>
  <si>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0960</t>
  </si>
  <si>
    <t>0111</t>
  </si>
  <si>
    <t>0820</t>
  </si>
  <si>
    <t>1040</t>
  </si>
  <si>
    <t>1012</t>
  </si>
  <si>
    <t>1020</t>
  </si>
  <si>
    <t>Implementácia projektov EU</t>
  </si>
  <si>
    <t>09602</t>
  </si>
  <si>
    <t>71 44</t>
  </si>
  <si>
    <t>MŠ Halašu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</si>
  <si>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</si>
  <si>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</si>
  <si>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</si>
  <si>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</si>
  <si>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</si>
  <si>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</si>
  <si>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</si>
  <si>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Správa SZTN</t>
  </si>
  <si>
    <t>ZŠ Potočná</t>
  </si>
  <si>
    <t>71 38</t>
  </si>
  <si>
    <t>71 37</t>
  </si>
  <si>
    <t>71 51</t>
  </si>
  <si>
    <t>MŠ Pri Parku</t>
  </si>
  <si>
    <t>71 40</t>
  </si>
  <si>
    <t>MŠ  Turkovej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</si>
  <si>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</si>
  <si>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</si>
  <si>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</si>
  <si>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</si>
  <si>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</si>
  <si>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</si>
  <si>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</si>
  <si>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</si>
  <si>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</si>
  <si>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</si>
  <si>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</si>
  <si>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</si>
  <si>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</si>
  <si>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</si>
  <si>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</si>
  <si>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kategória</t>
  </si>
  <si>
    <t>položka</t>
  </si>
  <si>
    <t>príjem</t>
  </si>
  <si>
    <t>podpoložka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</si>
  <si>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</si>
  <si>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</si>
  <si>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</si>
  <si>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</si>
  <si>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</si>
  <si>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</si>
  <si>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</si>
  <si>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</si>
  <si>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</si>
  <si>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</si>
  <si>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</si>
  <si>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</si>
  <si>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</si>
  <si>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</si>
  <si>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</si>
  <si>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</si>
  <si>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</si>
  <si>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</si>
  <si>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</si>
  <si>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</si>
  <si>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</si>
  <si>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</si>
  <si>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</si>
  <si>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</si>
  <si>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</si>
  <si>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</si>
  <si>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</si>
  <si>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</si>
  <si>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</si>
  <si>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</si>
  <si>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</si>
  <si>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</si>
  <si>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</si>
  <si>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</si>
  <si>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</si>
  <si>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</si>
  <si>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</si>
  <si>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</si>
  <si>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</si>
  <si>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</si>
  <si>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</si>
  <si>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</si>
  <si>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</si>
  <si>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</si>
  <si>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</si>
  <si>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</si>
  <si>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</si>
  <si>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</si>
  <si>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</si>
  <si>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</si>
  <si>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</si>
  <si>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Príjem z predaja pozemkov a nehmotných aktív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</si>
  <si>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</si>
  <si>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</si>
  <si>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</si>
  <si>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</si>
  <si>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</si>
  <si>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Ostatné príjmy</t>
  </si>
  <si>
    <t>Z odvodov z hazardných hier a iných podobných hier</t>
  </si>
  <si>
    <t>Klientske centrum</t>
  </si>
  <si>
    <t>Organizácia kultúrnych podujatí</t>
  </si>
  <si>
    <t>Obnova rodinných pomerov</t>
  </si>
  <si>
    <t>Prepravná služba SSMT</t>
  </si>
  <si>
    <t>Obstarávanie kapitálových aktív</t>
  </si>
  <si>
    <t>Nákup dopravných prostriedkov všetkých druhov</t>
  </si>
  <si>
    <t>Denné centrá pre seniorov</t>
  </si>
  <si>
    <t>Podpora seniorov</t>
  </si>
  <si>
    <t>Zabezpečovanie volieb</t>
  </si>
  <si>
    <t>0810</t>
  </si>
  <si>
    <t>Dotácie na šport</t>
  </si>
  <si>
    <t>Transfery v rámci verejnej správy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</si>
  <si>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</si>
  <si>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</si>
  <si>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</si>
  <si>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</si>
  <si>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</si>
  <si>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</si>
  <si>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</si>
  <si>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</si>
  <si>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</si>
  <si>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</si>
  <si>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</si>
  <si>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</si>
  <si>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</si>
  <si>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</si>
  <si>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</si>
  <si>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</si>
  <si>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</si>
  <si>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</si>
  <si>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</si>
  <si>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</si>
  <si>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</si>
  <si>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</si>
  <si>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</si>
  <si>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</si>
  <si>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</si>
  <si>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</si>
  <si>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</si>
  <si>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</si>
  <si>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</si>
  <si>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</si>
  <si>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</si>
  <si>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Administratívne poplatky</t>
  </si>
  <si>
    <t>Ostatné poplatky</t>
  </si>
  <si>
    <t>Granty a transfery</t>
  </si>
  <si>
    <t>Tuzemské bežné granty a transfery</t>
  </si>
  <si>
    <t>Iné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</si>
  <si>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</si>
  <si>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</si>
  <si>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</si>
  <si>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</si>
  <si>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</si>
  <si>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</si>
  <si>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</si>
  <si>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Zo štátneho rozpočtu okrem transferu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</si>
  <si>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</si>
  <si>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</si>
  <si>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</si>
  <si>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</si>
  <si>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</si>
  <si>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</si>
  <si>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</si>
  <si>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</si>
  <si>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</si>
  <si>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</si>
  <si>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KC Stred</t>
  </si>
  <si>
    <t>Príjmy z podnikania a z vlastníctva majetku</t>
  </si>
  <si>
    <t>Príjmy z vlastníctva</t>
  </si>
  <si>
    <t>Z prenajatých budov, priestorov a objektov</t>
  </si>
  <si>
    <t>Z prenajatých strojov, prístrojov, zariadení, techniky a náradia</t>
  </si>
  <si>
    <t>Poplatky a platby z nepriemyselného a náhodného predaja a služieb</t>
  </si>
  <si>
    <t>Za predaj výrobkov, tovarov a služieb</t>
  </si>
  <si>
    <t>Zneškodňovanie odpadu</t>
  </si>
  <si>
    <t>Autobusová doprava SAD Trenčín</t>
  </si>
  <si>
    <t>0560</t>
  </si>
  <si>
    <t>0473</t>
  </si>
  <si>
    <t>Cestovný ruch</t>
  </si>
  <si>
    <t>Skládka Zámostie</t>
  </si>
  <si>
    <t>0112</t>
  </si>
  <si>
    <t>Daň. a rozp.agenda mesta a účtov.</t>
  </si>
  <si>
    <t>Autodoprava</t>
  </si>
  <si>
    <t>Mobilná ľadová plocha</t>
  </si>
  <si>
    <t>Ďalšie administratívne a iné poplatky a platby</t>
  </si>
  <si>
    <t>Za znečisťovanie ovzdušia</t>
  </si>
  <si>
    <t>Príjem z predaja kapitálových aktív</t>
  </si>
  <si>
    <t>Výnos dane z príjmov poukázaný územnej samospráve</t>
  </si>
  <si>
    <t>Daňové príjmy</t>
  </si>
  <si>
    <t>Dane z príjmov a kapitálového majetku</t>
  </si>
  <si>
    <t>Dane z príjmov fyzickej osoby</t>
  </si>
  <si>
    <t>Z pozemkov</t>
  </si>
  <si>
    <t>Dane z majetku</t>
  </si>
  <si>
    <t>Daň z nehnuteľností</t>
  </si>
  <si>
    <t>Zo stavieb</t>
  </si>
  <si>
    <t>Z bytov a nebytových priestorov v bytovom dome</t>
  </si>
  <si>
    <t>Za psa</t>
  </si>
  <si>
    <t>Dane za tovary a služby</t>
  </si>
  <si>
    <t>Dane za špecifické služby</t>
  </si>
  <si>
    <t>Za ubytovanie</t>
  </si>
  <si>
    <t>Za užívanie verejného priestranstva</t>
  </si>
  <si>
    <t>Za komunálne odpady a drobné stavebné odpady</t>
  </si>
  <si>
    <t>Z prenajatých pozemkov</t>
  </si>
  <si>
    <t>Vzdelávanie zamestnancov</t>
  </si>
  <si>
    <t>ÚPSVR - rodinné prídavky</t>
  </si>
  <si>
    <t>MPSVaR - soc.zabezp. ZOS</t>
  </si>
  <si>
    <t>Kr. staveb. úrad</t>
  </si>
  <si>
    <t>Vojnové hroby</t>
  </si>
  <si>
    <t>MVaRR SR - dotácia v obl. bývania</t>
  </si>
  <si>
    <t>Obv.Ú - matrika</t>
  </si>
  <si>
    <t>Obv.Ú - evidencia obyvateľstva</t>
  </si>
  <si>
    <t>Tuzemské kapitálové granty a transfery</t>
  </si>
  <si>
    <t>Zo štátneho rozpočtu</t>
  </si>
  <si>
    <t>Členstvo v samosp. org. a združ.</t>
  </si>
  <si>
    <t>Grantový program</t>
  </si>
  <si>
    <t>OÚ - školstvo-prenes.komp., mzdy, platy</t>
  </si>
  <si>
    <t>OÚ - škol. úrady - náklady</t>
  </si>
  <si>
    <t>OÚ -predškolský vek</t>
  </si>
  <si>
    <t>Správa a údržba pozemných komunikácií a parkovísk</t>
  </si>
  <si>
    <t>Plavecký kurz pre deti predškolského veku</t>
  </si>
  <si>
    <t>MK Jahodová - slepá ulica</t>
  </si>
  <si>
    <t>Námestie študentov</t>
  </si>
  <si>
    <t>MČ Juh / mestské zásahy - Workout a Seniori cvičisko v parku nad Južankou</t>
  </si>
  <si>
    <t>Otoč MHD Sihoť</t>
  </si>
  <si>
    <t>Priechod pre chodcov pri Fiate</t>
  </si>
  <si>
    <t>Nízkoprahové denné centrum</t>
  </si>
  <si>
    <t>Správa a údržba komunikácií</t>
  </si>
  <si>
    <t>Statická doprava</t>
  </si>
  <si>
    <t>Dotácie v oblasti školstva, vzdelávania a výchovy</t>
  </si>
  <si>
    <t>Za stravné - zamestnanci</t>
  </si>
  <si>
    <t xml:space="preserve">Nízkoprahové denné centrum </t>
  </si>
  <si>
    <t>Materská škola</t>
  </si>
  <si>
    <t>Za predaj výrobkov, tovarov a služieb - ubytovanie</t>
  </si>
  <si>
    <t>Za predaj výrobkov, tovarov a služieb - stravovanie</t>
  </si>
  <si>
    <t>Za predaj výrobkov, tovarov a služieb - zaopatrenie</t>
  </si>
  <si>
    <t>ZOS 24 hod starostlivosť</t>
  </si>
  <si>
    <t>Denný a týždenný pobyt</t>
  </si>
  <si>
    <t>Celoročný pobyt</t>
  </si>
  <si>
    <t>Za predaj výrobkov, tovarov a služieb - staroba</t>
  </si>
  <si>
    <t>Za predaj výrobkov, tovarov a služieb - invalidi</t>
  </si>
  <si>
    <t xml:space="preserve">Opatrovateľská služba </t>
  </si>
  <si>
    <t>Členské do OOCR</t>
  </si>
  <si>
    <t>Trafostanica - prekládka (Mládežnícka ul.)</t>
  </si>
  <si>
    <t>Rekonštrukcia veľkej zasadacej miestnosti</t>
  </si>
  <si>
    <t>Trafostanica - prekládka (gr.-kat.kostol)</t>
  </si>
  <si>
    <t>Okresná org. Jednoty dôchodcov na Slovensku v Trenčíne z toho:</t>
  </si>
  <si>
    <t>Hospic milosrdných sestier - dotácia na činnosť</t>
  </si>
  <si>
    <t>Jednota dôchodcov - ZO č. 01</t>
  </si>
  <si>
    <t>Jednota dôchodcov - ZO č. 02</t>
  </si>
  <si>
    <t>Jednota dôchodcov - ZO č. 05</t>
  </si>
  <si>
    <t>Jednota dôchodcov - ZO č. 06</t>
  </si>
  <si>
    <t>Jednota dôchodcov - ZO č. 19</t>
  </si>
  <si>
    <t>Jednota dôchodcov - ZO č. 27</t>
  </si>
  <si>
    <t>Jednota dôchodcov - ZO č. 30</t>
  </si>
  <si>
    <t>Prípojka elektrickej energie</t>
  </si>
  <si>
    <t>HK Dukla a.s. - dotácia na nájom nebytových priestorov, energie a ľadovú plochu</t>
  </si>
  <si>
    <t>HK Dukla n.o.  - dotácia na nájom nebytových priestorov, energie a ľadovú plochu</t>
  </si>
  <si>
    <t>Kraso Trenčín o.z. - dotácia na nájom nebytových priestorov, energie a ľadovú plochu</t>
  </si>
  <si>
    <t>FRYSLA Slovakia s.r.o. - dotácia na nájom nebytových priestorov , energie a ľadovú plochu</t>
  </si>
  <si>
    <t>TJ Družstevník Záblatie - dotácia na činnosť</t>
  </si>
  <si>
    <t>TJ Družstevník Opatová - dotácia na činnosť</t>
  </si>
  <si>
    <t>Tanečný kluby Dukla Trenčín - Laugaricio Cup</t>
  </si>
  <si>
    <t>Zníženie energetickej náročnosti budovy</t>
  </si>
  <si>
    <t>Pohoda Festival s.r.o. - Festival Pohoda</t>
  </si>
  <si>
    <t>Rekonštrukcia exteriéru KS Zlatovce</t>
  </si>
  <si>
    <t>Horyzonty o.z. - HoryZonty</t>
  </si>
  <si>
    <t>Kolomaž o.z. - Sám na javisku</t>
  </si>
  <si>
    <t>LampART o.z. - činnosť</t>
  </si>
  <si>
    <t>OZ Trenčiansky ÚTULOK - dotácia na prevádzku a činnosť</t>
  </si>
  <si>
    <t>Poradenstvo - bytové problémy</t>
  </si>
  <si>
    <t>Normotvorná činnosť mesta</t>
  </si>
  <si>
    <t>Komunikácia s verej.inštitúciami v mene mesta</t>
  </si>
  <si>
    <t>Kontrola činnosti samosprávy</t>
  </si>
  <si>
    <t>453: Prevod hospodárskeho výsledku za predchádzajúci rok</t>
  </si>
  <si>
    <t>454: Prevod z rezervného fondu</t>
  </si>
  <si>
    <t>513: Prijatie dlhodobého úveru</t>
  </si>
  <si>
    <t>514: Prijatie úveru zo ŠFRB</t>
  </si>
  <si>
    <t>R O Z P O Č E T    2018</t>
  </si>
  <si>
    <t>Splácanie úrokov a ostatné platby súvisiace s úverom</t>
  </si>
  <si>
    <t>Príjem z parkovného</t>
  </si>
  <si>
    <t>ÚPP a dokumentácie, príprava ÚPN CMZ</t>
  </si>
  <si>
    <t>ÚPP a dokumentácie, štúdie</t>
  </si>
  <si>
    <t>Spoluúčasť na projektoch EÚ</t>
  </si>
  <si>
    <t>Osobné motorové vozidlo</t>
  </si>
  <si>
    <t>Hardvér</t>
  </si>
  <si>
    <t>Softvér</t>
  </si>
  <si>
    <t>Rozšírenie cintorína Opatová</t>
  </si>
  <si>
    <t>Maják na auto</t>
  </si>
  <si>
    <t>Modernizácia kamerového systému Mestskej polície v Trenčíne</t>
  </si>
  <si>
    <t>Rampy 2 ks - kúpa</t>
  </si>
  <si>
    <t>Obnova MŠ Šafárikova 11</t>
  </si>
  <si>
    <t>Obnova MŠ Opatovská 654/39</t>
  </si>
  <si>
    <t>Dopravné ihrisko</t>
  </si>
  <si>
    <t>Detské ihriská</t>
  </si>
  <si>
    <t>PD Park pre Úspech</t>
  </si>
  <si>
    <t xml:space="preserve">Klimatizácia </t>
  </si>
  <si>
    <t>Vybudovanie stojísk polopodzemných kontajnerov ul. Kvetná</t>
  </si>
  <si>
    <t>Softwarové vybavenie pre aplikáciu elektronickej registratúry</t>
  </si>
  <si>
    <t>Jednorazové dávky sociálnej pomoci</t>
  </si>
  <si>
    <t>Kúpa 48 nájomných bytov</t>
  </si>
  <si>
    <t>Komplexná svetelno-technická štúdia prioritných opatrení rekonštrukcie VO</t>
  </si>
  <si>
    <t>SO/RO</t>
  </si>
  <si>
    <t>Reštaurovanie súsošia na stĺpe na Mierovom námestí</t>
  </si>
  <si>
    <t>Cyklotrasy</t>
  </si>
  <si>
    <t>Výstavba chodníkov Záblatie Sigôtky, Záblatská ulica</t>
  </si>
  <si>
    <t>Sprístupnenie južného opevnenia Trenčianskeho hradu</t>
  </si>
  <si>
    <t>Nové parkovacie miesta</t>
  </si>
  <si>
    <t>Príprava rozpočtov</t>
  </si>
  <si>
    <t>Statická doprava Šmidkeho</t>
  </si>
  <si>
    <t>Statická doprava Dlhé Hony</t>
  </si>
  <si>
    <t>Statická doprava Dlhé Hony, Inovecká - vnútrobloky</t>
  </si>
  <si>
    <t>Statická doprava Dlhé Hony - Smažienka</t>
  </si>
  <si>
    <t>Gagarinova - vybúranie chodníka pri MŠ</t>
  </si>
  <si>
    <t>456: Zábezpeky - verejné obstarávanie</t>
  </si>
  <si>
    <t>819: Zábezpeky verejné obstarávanie</t>
  </si>
  <si>
    <t>Detské ihriská a oddychové zóny</t>
  </si>
  <si>
    <t>Statická doprava Bazovského</t>
  </si>
  <si>
    <t>Statická doprava Západná</t>
  </si>
  <si>
    <t>Statická doprava Strojárenská</t>
  </si>
  <si>
    <t>Statická doprava Cintorínska</t>
  </si>
  <si>
    <t>Statická doprava Strojárenská - vnútrobloky</t>
  </si>
  <si>
    <t>Riešenie statickej dopravy a prístupovej komunikácie Opatovská</t>
  </si>
  <si>
    <t>Riešenie statickej dopravy na Žilinskej</t>
  </si>
  <si>
    <t>Statická doprava Bazovského pri MŠ Šafárikova</t>
  </si>
  <si>
    <t>Zo ŠRna úhradu nákladov preneseného výkonu štátnej správy</t>
  </si>
  <si>
    <t>Zo ŠR okrem nákladov preneseného výkonu</t>
  </si>
  <si>
    <t>MHSL m.r.o.</t>
  </si>
  <si>
    <t>MŠ Šafárikova 11, Trenčín</t>
  </si>
  <si>
    <t>ŠZMT m.r.o.</t>
  </si>
  <si>
    <t>Základná umelecká škola Karola Pádivého</t>
  </si>
  <si>
    <t>P1: MANAŽMENT a PLÁNOVANIE</t>
  </si>
  <si>
    <t>P2: PROPAGÁCIA A CESTOVNÝ RUCH</t>
  </si>
  <si>
    <t>P3: INTERNÉ SLUŽBY MESTA</t>
  </si>
  <si>
    <t>P4: SLUŽBY OBČANOM</t>
  </si>
  <si>
    <t>P6: DOPRAVA</t>
  </si>
  <si>
    <t>P8: ŠPORT A MLÁDEŽ</t>
  </si>
  <si>
    <t>P9: KULTÚRA</t>
  </si>
  <si>
    <t>P10: ŽIVOTNÉ PROSTREDIE</t>
  </si>
  <si>
    <t>P11: SOCIÁLNE SLUŽBY</t>
  </si>
  <si>
    <t>P12: ROZVOJ MESTA</t>
  </si>
  <si>
    <t>PRÍJMY</t>
  </si>
  <si>
    <t>VÝDAVKY</t>
  </si>
  <si>
    <t>P5: BEZPEČNOSŤ</t>
  </si>
  <si>
    <t>P7: VZDELÁVANIE</t>
  </si>
  <si>
    <t>821: Istina z bankových úverov dlhodobých</t>
  </si>
  <si>
    <t>821: ČSOB a.s. - istina z dohôd o reštrukturalizácii dlhu</t>
  </si>
  <si>
    <t>821: SLSP a.s. - istina z dohôd o reštrukturaliácii dlhu</t>
  </si>
  <si>
    <t>821: ŠFRB:  istina - 61 nájomných bytov</t>
  </si>
  <si>
    <t>Orezy</t>
  </si>
  <si>
    <t>Centrum pre rodinu o.z. - dotácia na činnosť</t>
  </si>
  <si>
    <t>Dobudovanie učební a rekonštrukcia jedálne a kuchyne</t>
  </si>
  <si>
    <t>Letné kúpalisko</t>
  </si>
  <si>
    <t>Zabezpečenie činnosti Kultúrno - informačného centra</t>
  </si>
  <si>
    <t>Príjmy z činnosti Kultúrno - informačného centra</t>
  </si>
  <si>
    <t>MFF Eko s.r.o - EKOTOPFILM</t>
  </si>
  <si>
    <t>Dokument starostlivosti o dreviny v meste Trenčín</t>
  </si>
  <si>
    <t>Schodok/Prebytok kapitálového rozpočtu</t>
  </si>
  <si>
    <t>Schodok/Prebytok rozpočtu spolu</t>
  </si>
  <si>
    <t>0860</t>
  </si>
  <si>
    <t>Historická revue</t>
  </si>
  <si>
    <t>Opravy a výmena mobiliáru detských ihrísk MČ Západ</t>
  </si>
  <si>
    <t>NFP z MŽP SR - Obnova MŠ Opatovská</t>
  </si>
  <si>
    <t>NFP z MŽP SR - Obnova MŠ Šafárikova</t>
  </si>
  <si>
    <t>Plavecký kurz</t>
  </si>
  <si>
    <t>Chodník v parku M.R.Štefánika</t>
  </si>
  <si>
    <t>Chodníky Staničná, Zlatovská</t>
  </si>
  <si>
    <t>Lesné ihrisko KIOSK</t>
  </si>
  <si>
    <t>Dotácia z Ministerstva dopravy a výstavby SR na obstaranie nájomných bytov</t>
  </si>
  <si>
    <t>Obnova sochy sv. Jána Nepomuckého</t>
  </si>
  <si>
    <t>Kruhový objazd Brnianska Zlatovská</t>
  </si>
  <si>
    <t>Chodník cintorín Zlatovce</t>
  </si>
  <si>
    <t>Oporný múr cintorín</t>
  </si>
  <si>
    <t>Križovatka Opatová Dobrá</t>
  </si>
  <si>
    <t>Futbalový štadión Záblatie</t>
  </si>
  <si>
    <t>Defibrilátor</t>
  </si>
  <si>
    <t>Vertikulátor</t>
  </si>
  <si>
    <t>Rozšírenie statickej dopravy na ul. Gagarinova</t>
  </si>
  <si>
    <t>Riešenie statickej dopravy Pod Skalkou</t>
  </si>
  <si>
    <t>Riešenie statickej dopravy Sibírska</t>
  </si>
  <si>
    <t>Riešenie statickej dopravy Turkovej 4-20</t>
  </si>
  <si>
    <t>Presun zastávky MHD na ul. Hodžova k VII. ZŠ</t>
  </si>
  <si>
    <t>Rozšírenie parkoviska ul. Gen. Svobodu</t>
  </si>
  <si>
    <t>J.Halašu</t>
  </si>
  <si>
    <t>Statická doprava Novomeského</t>
  </si>
  <si>
    <t>Saratovská pri záhradách</t>
  </si>
  <si>
    <t>Statická doprava Saratovská</t>
  </si>
  <si>
    <t>Saratovská  - rozšírenie komunikácie</t>
  </si>
  <si>
    <t>Statická doprava Soblahovská 59,61</t>
  </si>
  <si>
    <t>Prepaľovač káblov</t>
  </si>
  <si>
    <t>Chodník + Cyklotrasa Kasárenská ulica od MŽT po Majerskú ul.</t>
  </si>
  <si>
    <t>Parkovisko Pred poľom</t>
  </si>
  <si>
    <t>Rekonštrukcia MK Gen.Svobodu</t>
  </si>
  <si>
    <t>Chodník na Bratislavskej ul. Od Veľkomoravskej po kruháč pri Lidli</t>
  </si>
  <si>
    <t>Chodníky Sigôtky + Záblatská</t>
  </si>
  <si>
    <t>Rekonštrukcia chodníka od pohotovosti k Fak.nemocnici</t>
  </si>
  <si>
    <t>Presun zastávky pred Fak.nemocnicou</t>
  </si>
  <si>
    <t>Podchod pri Obchodnej akadémii</t>
  </si>
  <si>
    <t>Detské ihrisko Istebník Orechové/Rezidencia Vinohrady</t>
  </si>
  <si>
    <t>Polopodzemné kontajnery MČ Sever</t>
  </si>
  <si>
    <t>Vnútrobloky na Sihoti</t>
  </si>
  <si>
    <t>Krízová intervencia</t>
  </si>
  <si>
    <t>Stavebné úpravy spojovacej chodby a vybudovanie šatní</t>
  </si>
  <si>
    <t>Jahodová ulica - slepá</t>
  </si>
  <si>
    <t>MK Hanzlíkovská</t>
  </si>
  <si>
    <t>Chodník prepojenie Gen.Svobodu a Východná,  prechody s osvetlením</t>
  </si>
  <si>
    <t>Združenie kresťanských seniorov - dotácia činnosť</t>
  </si>
  <si>
    <t>Slovenský zväz protifašistických bojovníkov - ZO Trenčín 1 - dotácia na činnosť</t>
  </si>
  <si>
    <t>Mestské divadlo Trenčín o.z. - činnosť</t>
  </si>
  <si>
    <t>Chodník pri dome smútku Juh</t>
  </si>
  <si>
    <t>Polopodzemné kontajnery Juh</t>
  </si>
  <si>
    <t>Kiržovatka ul. Východná - M.Bela - Lavičkova</t>
  </si>
  <si>
    <t>Priechody pre chodcov Juh</t>
  </si>
  <si>
    <t>Chodník ul. Partizánska  - ul. Saratovská</t>
  </si>
  <si>
    <t>Klub priateľov vážnej hudby v Trenčíne - Trenčianska hudobná jar a Trenčianska hudobná jeseň 2018</t>
  </si>
  <si>
    <t>MK Stromová - chodníky</t>
  </si>
  <si>
    <t>* - v zmysle § 10 ods. 6 zákona č.583/2004 Z.z. o rozpočtových pravidlách územnej samosprávy sú súčasťou rozpočtu obce aj finančné operácie, ktorými sa vykonávajú prevody z peňažných fondov obce a realizujú sa návratné zdroje financovania a ich splácanie. Finančné operácie nie sú súčasťou príjmov a výdavkov rozpočtu obce.</t>
  </si>
  <si>
    <t xml:space="preserve">PROGRAM   1: MANAŽMENT A PLÁNOVANIE </t>
  </si>
  <si>
    <t>Osobné motorové vozidlo s technológiou</t>
  </si>
  <si>
    <t>Rekonštrukcia Vlárska</t>
  </si>
  <si>
    <t>Kotolňa Sokolovňa - búranie</t>
  </si>
  <si>
    <t>Priechod pre chodcov ul. Palackého pri MsP</t>
  </si>
  <si>
    <t>Sociálne zariadenia MHSL</t>
  </si>
  <si>
    <t>* - na preklenutie časového nesúladu medzi príjmami a výdavkami rozpočtu sa môže čerpať kontokorentný úver spolu vo výške  2 500 tis. € z ČSOB a.s. s tým, že do konca roka 2018 bude predmetný úver splatený</t>
  </si>
  <si>
    <t>PD Výťah</t>
  </si>
  <si>
    <t>Saratovská - chodník</t>
  </si>
  <si>
    <t>PD Brezina</t>
  </si>
  <si>
    <t>Búranie budovy pod bývalou strojovňou chladenia pri ZŠ</t>
  </si>
  <si>
    <t>Oprava oplotenia a údržba športoviska pri bytovom dome K Výstavisku č.2</t>
  </si>
  <si>
    <t>Výruby</t>
  </si>
  <si>
    <t>o.z.Pre prírodu - projekt Zelená míľa 2018</t>
  </si>
  <si>
    <t>Kúpa tribúny futbalový štadión Záblatie</t>
  </si>
  <si>
    <t>Okružná ulica - projektová dokumentácia</t>
  </si>
  <si>
    <t>Ochrana prostredia pre život</t>
  </si>
  <si>
    <t>NFP cyklotrasa II.etapa z Juhu do centra</t>
  </si>
  <si>
    <t>Cyklotrasa II.etapa</t>
  </si>
  <si>
    <t>Parkovisko ul. Mládežnícka</t>
  </si>
  <si>
    <t>MK Karpatská</t>
  </si>
  <si>
    <t>PD Letné kúpalisko</t>
  </si>
  <si>
    <t>PD Rozkvet</t>
  </si>
  <si>
    <t>Rekonštrukcia detského ihriska na ul. Karpatskej</t>
  </si>
  <si>
    <t>Umývačka riadu</t>
  </si>
  <si>
    <t>Elektronický systém predaja a správy parkovacích kariet</t>
  </si>
  <si>
    <t>Oprava oporných múrov pri farských schodoch</t>
  </si>
  <si>
    <t>PD Pump Track</t>
  </si>
  <si>
    <t>KS Dlhé Hony - okná a dvere</t>
  </si>
  <si>
    <t>Osvetlenie podjazdu na Noviny</t>
  </si>
  <si>
    <t>Chodník pri Družbe</t>
  </si>
  <si>
    <t>Dotácia z Ministerstva dopravy a výstavby SR na obstaranie 26 nájomných bytov</t>
  </si>
  <si>
    <t>Kúpa 26 nájomných bytov</t>
  </si>
  <si>
    <t>514: Prijatie úveru zo ŠFRB (26 nájomných bytov)</t>
  </si>
  <si>
    <t xml:space="preserve">821: ŠFRB: istina - 26 nájomných bytov </t>
  </si>
  <si>
    <t xml:space="preserve">821: ŠFRB: istina - 48 nájomných bytov </t>
  </si>
  <si>
    <t>SMŠ Orechovská 14</t>
  </si>
  <si>
    <t>SMŠ Janka Kráľa 14</t>
  </si>
  <si>
    <t>SMŠ Motýlik</t>
  </si>
  <si>
    <t>SMŠ Best Friends Kids Club</t>
  </si>
  <si>
    <t>CMŠ bl.Tarzícia</t>
  </si>
  <si>
    <t>CMŠ sv.Andreja -Svorada a Benedikta</t>
  </si>
  <si>
    <t>SMŠ 2M</t>
  </si>
  <si>
    <t>CVČ pri ZŠ s MŠ sv.Andreja - Svorada a Benedikta</t>
  </si>
  <si>
    <t>ŠKD pri ZŠ s MŠ sv.Andreja - Svorada a Benedikta</t>
  </si>
  <si>
    <t>CVČ pri Piaristickom Gymnáziu Jozefa Braneckého "M-centrum"</t>
  </si>
  <si>
    <t>SŠKD FUTURUM pri SZŠ Futurum</t>
  </si>
  <si>
    <t>SZUŠ Gagarinova 7</t>
  </si>
  <si>
    <t>SZUŠ ul. Novomeského 11</t>
  </si>
  <si>
    <t>SZUŠ Stromová 1</t>
  </si>
  <si>
    <t>ŠJ pri Piaristickom gymnáziu Jozefa Braneckého</t>
  </si>
  <si>
    <t>ŠJ pri ZŠ s MŠ sv.Andreja -  Svorada a Benedikta</t>
  </si>
  <si>
    <t>ŠJ pri SZŠ FUTURUM</t>
  </si>
  <si>
    <t>ŠJ pri SZŠ pre žiakov s autizmom alebo ďalšími pervazívnymi vývinovými poruchami</t>
  </si>
  <si>
    <t>ŠJ pri S gymnáziu FUTURUM</t>
  </si>
  <si>
    <t>SŠKD pri SZŠ pre žiakov s autizmom alebo ďalšími pervazívnymi vývinovými poruchami</t>
  </si>
  <si>
    <t>SMŠ Slimáčik</t>
  </si>
  <si>
    <t>Mgr.art. Zuzana Laurinčíková - Monografia Gavurky</t>
  </si>
  <si>
    <t>Klimatizácia serverovňa</t>
  </si>
  <si>
    <t>KS Hviezda - s posuvom výťahu</t>
  </si>
  <si>
    <t>Chodník z nového detského ihriska na Karpatskej ulici na hrádzu</t>
  </si>
  <si>
    <t>Oprava a izolácia strechy budovy Farská 10</t>
  </si>
  <si>
    <t>TJ Družstevník Záblatie - dotácia na futbalový štadión Záblatie</t>
  </si>
  <si>
    <t>Kapitálové transfery</t>
  </si>
  <si>
    <t>HK Dukla Trenčín a.s. - dotácia na činnosť klubu vrátane juniorov</t>
  </si>
  <si>
    <t>MŠ Medňanského - okná</t>
  </si>
  <si>
    <t>Chodníky pred trenčianskou univerzitou</t>
  </si>
  <si>
    <t xml:space="preserve">Granty   </t>
  </si>
  <si>
    <t>Hala o.z. - HALA 2018 - Festival súčasného umenia</t>
  </si>
  <si>
    <t>AMADEUS - Oslavy 780.výročia prvej písomnej zmienky v obci Opatová nad Váhom</t>
  </si>
  <si>
    <t>Dychová hudba Textilanka - Kultúrne leto na Zámostí</t>
  </si>
  <si>
    <t>Detský folklórny súbor Kornička - Zabezpečenie činnosti DFS Kornička</t>
  </si>
  <si>
    <t>Jednota dôchodcov - ZO č. 32</t>
  </si>
  <si>
    <t>453: SSmT m.r.o. - Prostriedky z minulých rokov</t>
  </si>
  <si>
    <t>455: Postúpené pohľadávky z MHSL m.r.o.</t>
  </si>
  <si>
    <t>Vybudovanie výkladnej skrine</t>
  </si>
  <si>
    <t>Fond na podporu umenia - Ora et Ars - Skalka 2018</t>
  </si>
  <si>
    <t>Dotácia z MPSVaR SR na nákup motorového vozidla na prevoz stravy</t>
  </si>
  <si>
    <t>Dotácia SZĽH na obnovu a rekonštrukciu hokejovej infraštruktúry</t>
  </si>
  <si>
    <t>Prípojka vody chata Soblahov</t>
  </si>
  <si>
    <t>Nevyčerpaná dotácia za rok 2017 - vratka do ŠR</t>
  </si>
  <si>
    <t>PD Chodník pri dome smútku Juh</t>
  </si>
  <si>
    <t>Rekonštrukcia CSS pri Hoteli Elizabeth</t>
  </si>
  <si>
    <t>Integrovaný systém dopravy s TSK</t>
  </si>
  <si>
    <t>Priechody pre chodcov Východná - nasvietenie</t>
  </si>
  <si>
    <t>Nevyčerpaná dotácia za rok 2017</t>
  </si>
  <si>
    <t>Rekonštrukcia okien</t>
  </si>
  <si>
    <t>Veľkokapacitný krájač</t>
  </si>
  <si>
    <t>nevyčerpaná dotácia za rok 2017 - vratka do ŠR</t>
  </si>
  <si>
    <t>Výmena chladiaceho zariadenia</t>
  </si>
  <si>
    <t>Bazénový vysávač</t>
  </si>
  <si>
    <t>PD Chodníky Brezina</t>
  </si>
  <si>
    <t>Polopodzemné kontajnery Olbrachtova - Soblahovská</t>
  </si>
  <si>
    <t>Osobné vozidlo</t>
  </si>
  <si>
    <t>Priemyselná práčka</t>
  </si>
  <si>
    <t>Nákup motorového vozidla na prevoz stravy</t>
  </si>
  <si>
    <t>Obytné dvojkontajnery</t>
  </si>
  <si>
    <t>453: Prevod nevyčerpaných dotácií z roku 2017</t>
  </si>
  <si>
    <t>Presun zastávok + priechody pre chodcov Gagarinova, Žilinská, Považská</t>
  </si>
  <si>
    <t>Deaflympijský výbor Slovenska - ME v bedmintone nepočujúcich</t>
  </si>
  <si>
    <t>Workoutové prvky pri moste na Ostrove</t>
  </si>
  <si>
    <t>SHŠ Wagus n.o. - Trenčianske historické slávnosti</t>
  </si>
  <si>
    <t>Cyklostojany</t>
  </si>
  <si>
    <t>JK Fit štúdio s.r.o. - Tanečný klub BAMBULA ME Rumunsko</t>
  </si>
  <si>
    <t>KC Kubra - Oslavy 85.výročia FS Kubra</t>
  </si>
  <si>
    <t>Tábory a súťaže</t>
  </si>
  <si>
    <t>Výsadba cibuľovín</t>
  </si>
  <si>
    <t>Frézovanie pňov</t>
  </si>
  <si>
    <t>Vozidlo s polievacou nadstavbou</t>
  </si>
  <si>
    <t>Rehoľa piaristov na Slovensku - dotácia na údržbu kultúrnej pamiatky</t>
  </si>
  <si>
    <t>MŠ Pri Parku - stavebné úpravy</t>
  </si>
  <si>
    <t>Osvetlenie priechodu pre chodcov vrátane bezpečnostných prvkov Ul.Štefánikova pri odbočke na Ul.K Výstavisku</t>
  </si>
  <si>
    <t>Rekonštrukcia elektroinštalácie kuchyne</t>
  </si>
  <si>
    <t>MŠ 28.októbra - rekonštrukcia</t>
  </si>
  <si>
    <t>Strelecký klub Inovec o.z. -ME v diaľkovej streľbe vo Švédsku</t>
  </si>
  <si>
    <t>AS Trenčín a.s. - dotácia na činnosť</t>
  </si>
  <si>
    <t>TJ Družstevník Opatová - dotácia na údržbu futbalového štadióna v Opatovej</t>
  </si>
  <si>
    <t>Ultramax s.r.o. - Módny veľtrh "Trenčín - mesto módy"</t>
  </si>
  <si>
    <t>O.z. Trenčianska jazzová spoločnosť FÉNIX - XXV.Trenčiansky jazzový festival Jazz pod hradom</t>
  </si>
  <si>
    <t>PD Nocľaháreň</t>
  </si>
  <si>
    <t>Župný dom</t>
  </si>
  <si>
    <t>Osvetlenie dvoch priechodov pre chodcov na ul. Východná</t>
  </si>
  <si>
    <t>Chodník na hrádzi od elektrárne po most Ostrov</t>
  </si>
  <si>
    <t>ŠJ Šafárikova - vzduchotechnika</t>
  </si>
  <si>
    <t>DPO SR - dotácia pre DHZ</t>
  </si>
  <si>
    <t>Materiál pre DHZ Opatová</t>
  </si>
  <si>
    <t>Rutinná a štandardná údržba DHZ Záblatie</t>
  </si>
  <si>
    <t>Rutinná a štandardná údržba - Zelené plochy Žabinská</t>
  </si>
  <si>
    <t>Dar od Trenčianska Riviéra s.r.o. - na realizáciu detského ihriska Riviéra</t>
  </si>
  <si>
    <t>Detské ihrisko - Riviéra</t>
  </si>
  <si>
    <t>COOLTURNE o.z.: dotácia na festival Priestor</t>
  </si>
  <si>
    <t>Dar od Leoni Slovakia s.r.o. - na podujatie pri Trenčianskej bráne</t>
  </si>
  <si>
    <t>Paddock Service s.r.o. - dotácia na Festival za Paddockom a zimný Paddock Market</t>
  </si>
  <si>
    <t>Vianočné osvetlenie</t>
  </si>
  <si>
    <t>Klimatizácia Farská</t>
  </si>
  <si>
    <t>Lávka pre peších od Farského kostola na Brezinu</t>
  </si>
  <si>
    <t>Nadácia EPH</t>
  </si>
  <si>
    <t>Fakultná nemocnica Trenčín - dotácia pre ortopedické oddelenie na kongres SOTS</t>
  </si>
  <si>
    <t>MK SR - Súsošie na stĺpe na Mierovom námestí</t>
  </si>
  <si>
    <t>NFP Zelené pľúca mesta - Revitalizácia Parku M.R.Štefánika</t>
  </si>
  <si>
    <t>NFP Stratégia adaptability mesta Trenčín na klimatickú zmenu</t>
  </si>
  <si>
    <t>NFP Zvýšenie mestskej mobility budovaním siete cyklistickej infraštruktúry v Trenčíne: Trasa C - ul. Karpatská</t>
  </si>
  <si>
    <t>NFP Zvýšenie mestskej mobility budovaním siete cyklistickej infraštruktúry v Trenčíne: Chodník a cyklotrasa Kasárenská</t>
  </si>
  <si>
    <t>NFP Zlepšenie enviromentálnych aspektov v meste Trenčín - vybudovanie prvkov zelenej infraštruktúry pri regenerácii vnútrobloku Východná ul.</t>
  </si>
  <si>
    <t>NFP Obnova MŠ Kubranská 20</t>
  </si>
  <si>
    <t>NFP Plán udržateľnej mobility funkčného územia krajského mesta Trenčín</t>
  </si>
  <si>
    <t>NFP Zlepšenie enviromentálnych aspektov v meste Trenčín - vybudovanie prvkov zelenej infraštruktúry pri regenerácii vnútrobloku J. Halašu</t>
  </si>
  <si>
    <t>Plán udržateľnej adaptability mesta Trenčín na klimatickú zmenu</t>
  </si>
  <si>
    <t>Cyklotrasa Trasa C - ul.Karpatská</t>
  </si>
  <si>
    <t>Chodník a cyklotrasa Kasárenská ul.</t>
  </si>
  <si>
    <t>PD pre stavebné povolenie</t>
  </si>
  <si>
    <t>Obnova MŠ Kubranská 20</t>
  </si>
  <si>
    <t>Vnútroblok Východná ulica</t>
  </si>
  <si>
    <t>Vnútroblok J.Halašu</t>
  </si>
  <si>
    <t>Zelené pľúca mesta - Revitalizácia Parku M.R.Štefánika</t>
  </si>
  <si>
    <t>Južná časť hradobného múru - architektonicko-historický výskum</t>
  </si>
  <si>
    <t>Stratégia adaptability na klimatickú zmenu</t>
  </si>
  <si>
    <t>Oprava strechy kotolne</t>
  </si>
  <si>
    <t>Hmotná núdza - školské potreby, strava</t>
  </si>
  <si>
    <t>Hmotná núdza</t>
  </si>
  <si>
    <t>Rekonštrukcia Hviezdoslavovej ul.</t>
  </si>
  <si>
    <t>EXPO CENTER a.s. - dotácia na Beerfest</t>
  </si>
  <si>
    <t>Komunálne voľby 2018</t>
  </si>
  <si>
    <t>MK SR - projekt Opevnenie mestské</t>
  </si>
  <si>
    <t>Opevnenie mestské</t>
  </si>
  <si>
    <t>Ochranné siete za ihriskom Termion</t>
  </si>
  <si>
    <t>SO pre IROP nábytok + informačno - komunikačné technológie a prístrojové vybavenie</t>
  </si>
  <si>
    <t>Upravený rozpočet na rok 2018</t>
  </si>
  <si>
    <t>Zmena +/-</t>
  </si>
  <si>
    <t>Rozpočet 2018 spolu</t>
  </si>
  <si>
    <t>Návrh na zmenu +/-</t>
  </si>
  <si>
    <t>Upravený rozpočet 2018</t>
  </si>
  <si>
    <t>Bežný rozpočet 2018</t>
  </si>
  <si>
    <t>Upravený bežný rozpočet 2018</t>
  </si>
  <si>
    <t>Kapitálový rozpočet 2018</t>
  </si>
  <si>
    <t>Upravený kapitálový rozpočet 2018</t>
  </si>
  <si>
    <t>Rozpočet 2018</t>
  </si>
  <si>
    <t>Úrad vlády SR - dotácia na nákup športovej výbavy do telocvične ZŠ Východná 9 Trenčín</t>
  </si>
  <si>
    <t>Schválená Zmena Programového rozpočtu Mesta Trenčín na rok 2018 uznesením č.7 MsZ v Trenčíne dňa 10.12.2018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</si>
</sst>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20"/>
      <color indexed="18"/>
      <name val="Arial CE"/>
      <family val="2"/>
      <charset val="238"/>
    </font>
    <font>
      <sz val="8"/>
      <color indexed="18"/>
      <name val="Arial CE"/>
      <family val="2"/>
      <charset val="238"/>
    </font>
    <font>
      <sz val="6"/>
      <color indexed="18"/>
      <name val="Arial CE"/>
      <family val="2"/>
      <charset val="238"/>
    </font>
    <font>
      <sz val="9"/>
      <name val="Arial"/>
      <family val="2"/>
      <charset val="238"/>
    </font>
    <font>
      <b/>
      <sz val="8"/>
      <color indexed="18"/>
      <name val="Arial CE"/>
      <charset val="238"/>
    </font>
    <font>
      <b/>
      <i/>
      <sz val="12"/>
      <color indexed="9"/>
      <name val="Arial CE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color indexed="56"/>
      <name val="Arial"/>
      <family val="2"/>
      <charset val="238"/>
    </font>
    <font>
      <sz val="8"/>
      <name val="Arial CE"/>
      <family val="2"/>
      <charset val="238"/>
    </font>
    <font>
      <b/>
      <sz val="22"/>
      <color indexed="18"/>
      <name val="Tahoma"/>
      <family val="2"/>
      <charset val="238"/>
    </font>
    <font>
      <b/>
      <sz val="12"/>
      <color indexed="9"/>
      <name val="Arial CE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sz val="8"/>
      <color indexed="9"/>
      <name val="Arial"/>
      <family val="2"/>
      <charset val="238"/>
    </font>
    <font>
      <b/>
      <sz val="12"/>
      <name val="Arial CE"/>
      <charset val="238"/>
    </font>
    <font>
      <i/>
      <sz val="11"/>
      <name val="Arial CE"/>
      <charset val="238"/>
    </font>
    <font>
      <sz val="10"/>
      <name val="Arial"/>
      <family val="2"/>
      <charset val="238"/>
    </font>
    <font>
      <b/>
      <i/>
      <sz val="12"/>
      <color indexed="56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indexed="9"/>
      <name val="Arial CE"/>
      <family val="2"/>
      <charset val="238"/>
    </font>
    <font>
      <b/>
      <sz val="11"/>
      <name val="Arial"/>
      <family val="2"/>
      <charset val="238"/>
    </font>
    <font>
      <sz val="8"/>
      <color indexed="13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 CE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i/>
      <sz val="8"/>
      <color indexed="9"/>
      <name val="Arial CE"/>
      <charset val="238"/>
    </font>
    <font>
      <b/>
      <sz val="8"/>
      <name val="Arial CE"/>
      <charset val="238"/>
    </font>
    <font>
      <b/>
      <i/>
      <sz val="11"/>
      <color indexed="9"/>
      <name val="Arial CE"/>
      <charset val="238"/>
    </font>
    <font>
      <b/>
      <i/>
      <sz val="11"/>
      <color indexed="56"/>
      <name val="Arial CE"/>
      <charset val="238"/>
    </font>
    <font>
      <i/>
      <sz val="10"/>
      <name val="Arial CE"/>
      <charset val="238"/>
    </font>
    <font>
      <b/>
      <sz val="11"/>
      <color indexed="9"/>
      <name val="Arial CE"/>
      <charset val="238"/>
    </font>
    <font>
      <b/>
      <sz val="10"/>
      <name val="Arial CE"/>
      <charset val="238"/>
    </font>
    <font>
      <b/>
      <sz val="14"/>
      <color indexed="9"/>
      <name val="Arial CE"/>
      <charset val="238"/>
    </font>
    <font>
      <sz val="14"/>
      <name val="Arial"/>
      <family val="2"/>
      <charset val="238"/>
    </font>
    <font>
      <sz val="9"/>
      <name val="Arial CE"/>
      <family val="2"/>
      <charset val="238"/>
    </font>
    <font>
      <b/>
      <sz val="15"/>
      <color indexed="1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8"/>
      <color rgb="FFFF0000"/>
      <name val="Arial"/>
      <family val="2"/>
      <charset val="238"/>
    </font>
    <font>
      <b/>
      <sz val="10"/>
      <color rgb="FFFF0000"/>
      <name val="Arial CE"/>
      <charset val="238"/>
    </font>
    <font>
      <b/>
      <sz val="10"/>
      <color theme="1"/>
      <name val="Arial CE"/>
      <family val="2"/>
      <charset val="238"/>
    </font>
    <font>
      <b/>
      <sz val="8"/>
      <color theme="0"/>
      <name val="Arial CE"/>
      <charset val="238"/>
    </font>
    <font>
      <b/>
      <sz val="9"/>
      <color indexed="9"/>
      <name val="Arial CE"/>
      <charset val="238"/>
    </font>
    <font>
      <b/>
      <sz val="8"/>
      <color indexed="9"/>
      <name val="Arial CE"/>
      <charset val="238"/>
    </font>
    <font>
      <b/>
      <sz val="9"/>
      <color theme="0"/>
      <name val="Arial CE"/>
      <charset val="238"/>
    </font>
    <font>
      <b/>
      <sz val="8"/>
      <color theme="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1F4E78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33" fillId="0" borderId="0"/>
    <xf numFmtId="0" fontId="4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</cellStyleXfs>
  <cellXfs count="513">
    <xf numFmtId="0" fontId="0" fillId="0" borderId="0" xfId="0"/>
    <xf numFmtId="0" fontId="9" fillId="2" borderId="1" xfId="0" applyFont="1" applyFill="1" applyBorder="1" applyAlignment="1">
      <alignment vertical="center"/>
    </xf>
    <xf numFmtId="0" fontId="11" fillId="0" borderId="2" xfId="0" applyFont="1" applyBorder="1"/>
    <xf numFmtId="0" fontId="7" fillId="0" borderId="2" xfId="0" applyFont="1" applyBorder="1"/>
    <xf numFmtId="0" fontId="10" fillId="0" borderId="2" xfId="0" applyFont="1" applyBorder="1"/>
    <xf numFmtId="0" fontId="3" fillId="4" borderId="2" xfId="0" applyFont="1" applyFill="1" applyBorder="1"/>
    <xf numFmtId="0" fontId="11" fillId="6" borderId="2" xfId="0" applyFont="1" applyFill="1" applyBorder="1"/>
    <xf numFmtId="0" fontId="11" fillId="0" borderId="2" xfId="0" applyFont="1" applyFill="1" applyBorder="1"/>
    <xf numFmtId="0" fontId="2" fillId="5" borderId="3" xfId="0" applyFont="1" applyFill="1" applyBorder="1"/>
    <xf numFmtId="0" fontId="26" fillId="6" borderId="4" xfId="0" applyFont="1" applyFill="1" applyBorder="1" applyAlignment="1"/>
    <xf numFmtId="0" fontId="26" fillId="7" borderId="2" xfId="0" applyFont="1" applyFill="1" applyBorder="1"/>
    <xf numFmtId="0" fontId="28" fillId="0" borderId="2" xfId="0" applyFont="1" applyBorder="1"/>
    <xf numFmtId="0" fontId="10" fillId="0" borderId="5" xfId="0" applyFont="1" applyBorder="1"/>
    <xf numFmtId="0" fontId="10" fillId="0" borderId="3" xfId="0" applyFont="1" applyBorder="1"/>
    <xf numFmtId="0" fontId="7" fillId="0" borderId="6" xfId="0" applyFont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11" fillId="0" borderId="2" xfId="0" applyNumberFormat="1" applyFont="1" applyBorder="1"/>
    <xf numFmtId="3" fontId="7" fillId="0" borderId="2" xfId="0" applyNumberFormat="1" applyFont="1" applyBorder="1"/>
    <xf numFmtId="3" fontId="7" fillId="0" borderId="2" xfId="0" applyNumberFormat="1" applyFont="1" applyFill="1" applyBorder="1"/>
    <xf numFmtId="3" fontId="10" fillId="0" borderId="2" xfId="0" applyNumberFormat="1" applyFont="1" applyBorder="1"/>
    <xf numFmtId="3" fontId="10" fillId="0" borderId="2" xfId="0" applyNumberFormat="1" applyFont="1" applyFill="1" applyBorder="1"/>
    <xf numFmtId="3" fontId="11" fillId="0" borderId="2" xfId="0" applyNumberFormat="1" applyFont="1" applyFill="1" applyBorder="1"/>
    <xf numFmtId="3" fontId="7" fillId="0" borderId="6" xfId="0" applyNumberFormat="1" applyFont="1" applyBorder="1"/>
    <xf numFmtId="49" fontId="11" fillId="0" borderId="2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6" fillId="7" borderId="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0" fontId="7" fillId="0" borderId="3" xfId="0" applyFont="1" applyBorder="1"/>
    <xf numFmtId="0" fontId="10" fillId="0" borderId="0" xfId="0" applyFont="1"/>
    <xf numFmtId="0" fontId="10" fillId="0" borderId="2" xfId="0" applyFont="1" applyBorder="1" applyAlignment="1">
      <alignment wrapText="1"/>
    </xf>
    <xf numFmtId="3" fontId="15" fillId="2" borderId="2" xfId="0" applyNumberFormat="1" applyFont="1" applyFill="1" applyBorder="1" applyAlignment="1">
      <alignment vertical="center"/>
    </xf>
    <xf numFmtId="3" fontId="17" fillId="5" borderId="2" xfId="0" applyNumberFormat="1" applyFont="1" applyFill="1" applyBorder="1" applyAlignment="1"/>
    <xf numFmtId="3" fontId="16" fillId="3" borderId="2" xfId="0" applyNumberFormat="1" applyFont="1" applyFill="1" applyBorder="1" applyAlignment="1"/>
    <xf numFmtId="3" fontId="26" fillId="7" borderId="2" xfId="0" applyNumberFormat="1" applyFont="1" applyFill="1" applyBorder="1"/>
    <xf numFmtId="3" fontId="10" fillId="13" borderId="2" xfId="0" applyNumberFormat="1" applyFont="1" applyFill="1" applyBorder="1"/>
    <xf numFmtId="3" fontId="11" fillId="6" borderId="2" xfId="0" applyNumberFormat="1" applyFont="1" applyFill="1" applyBorder="1"/>
    <xf numFmtId="3" fontId="20" fillId="0" borderId="2" xfId="0" applyNumberFormat="1" applyFont="1" applyBorder="1" applyAlignment="1"/>
    <xf numFmtId="0" fontId="0" fillId="0" borderId="0" xfId="0" applyAlignment="1">
      <alignment vertical="center"/>
    </xf>
    <xf numFmtId="0" fontId="19" fillId="5" borderId="5" xfId="0" applyFont="1" applyFill="1" applyBorder="1"/>
    <xf numFmtId="3" fontId="0" fillId="0" borderId="0" xfId="0" applyNumberFormat="1" applyBorder="1"/>
    <xf numFmtId="0" fontId="10" fillId="0" borderId="2" xfId="0" applyFont="1" applyFill="1" applyBorder="1"/>
    <xf numFmtId="0" fontId="10" fillId="13" borderId="2" xfId="0" applyFont="1" applyFill="1" applyBorder="1"/>
    <xf numFmtId="0" fontId="7" fillId="0" borderId="2" xfId="0" applyFont="1" applyBorder="1" applyAlignment="1">
      <alignment vertical="center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vertical="center"/>
    </xf>
    <xf numFmtId="0" fontId="7" fillId="0" borderId="2" xfId="0" applyFont="1" applyFill="1" applyBorder="1"/>
    <xf numFmtId="3" fontId="15" fillId="2" borderId="0" xfId="0" applyNumberFormat="1" applyFont="1" applyFill="1" applyBorder="1" applyAlignment="1">
      <alignment vertical="center"/>
    </xf>
    <xf numFmtId="0" fontId="0" fillId="13" borderId="0" xfId="0" applyFill="1" applyBorder="1"/>
    <xf numFmtId="0" fontId="10" fillId="13" borderId="0" xfId="0" applyFont="1" applyFill="1" applyBorder="1"/>
    <xf numFmtId="0" fontId="7" fillId="13" borderId="2" xfId="0" applyFont="1" applyFill="1" applyBorder="1"/>
    <xf numFmtId="0" fontId="0" fillId="0" borderId="7" xfId="0" applyBorder="1" applyAlignment="1"/>
    <xf numFmtId="0" fontId="24" fillId="8" borderId="5" xfId="0" applyFont="1" applyFill="1" applyBorder="1" applyAlignment="1"/>
    <xf numFmtId="0" fontId="24" fillId="8" borderId="8" xfId="0" applyFont="1" applyFill="1" applyBorder="1" applyAlignment="1"/>
    <xf numFmtId="0" fontId="0" fillId="0" borderId="9" xfId="0" applyBorder="1" applyAlignment="1"/>
    <xf numFmtId="3" fontId="1" fillId="13" borderId="0" xfId="0" applyNumberFormat="1" applyFont="1" applyFill="1" applyBorder="1"/>
    <xf numFmtId="0" fontId="26" fillId="14" borderId="2" xfId="0" applyFont="1" applyFill="1" applyBorder="1"/>
    <xf numFmtId="3" fontId="26" fillId="14" borderId="2" xfId="0" applyNumberFormat="1" applyFont="1" applyFill="1" applyBorder="1"/>
    <xf numFmtId="3" fontId="7" fillId="13" borderId="2" xfId="0" applyNumberFormat="1" applyFont="1" applyFill="1" applyBorder="1"/>
    <xf numFmtId="0" fontId="32" fillId="5" borderId="3" xfId="0" applyFont="1" applyFill="1" applyBorder="1"/>
    <xf numFmtId="0" fontId="32" fillId="6" borderId="4" xfId="0" applyFont="1" applyFill="1" applyBorder="1" applyAlignment="1"/>
    <xf numFmtId="0" fontId="32" fillId="4" borderId="2" xfId="0" applyFont="1" applyFill="1" applyBorder="1"/>
    <xf numFmtId="0" fontId="32" fillId="0" borderId="2" xfId="0" applyFont="1" applyBorder="1"/>
    <xf numFmtId="0" fontId="1" fillId="0" borderId="2" xfId="0" applyFont="1" applyBorder="1"/>
    <xf numFmtId="0" fontId="32" fillId="4" borderId="5" xfId="0" applyFont="1" applyFill="1" applyBorder="1"/>
    <xf numFmtId="0" fontId="32" fillId="4" borderId="3" xfId="0" applyFont="1" applyFill="1" applyBorder="1"/>
    <xf numFmtId="0" fontId="32" fillId="0" borderId="5" xfId="0" applyFont="1" applyBorder="1"/>
    <xf numFmtId="0" fontId="32" fillId="0" borderId="3" xfId="0" applyFont="1" applyBorder="1"/>
    <xf numFmtId="0" fontId="1" fillId="0" borderId="5" xfId="0" applyFont="1" applyBorder="1"/>
    <xf numFmtId="0" fontId="1" fillId="0" borderId="3" xfId="0" applyFont="1" applyBorder="1"/>
    <xf numFmtId="0" fontId="32" fillId="6" borderId="10" xfId="0" applyFont="1" applyFill="1" applyBorder="1" applyAlignment="1"/>
    <xf numFmtId="0" fontId="32" fillId="6" borderId="11" xfId="0" applyFont="1" applyFill="1" applyBorder="1" applyAlignment="1"/>
    <xf numFmtId="0" fontId="32" fillId="5" borderId="7" xfId="0" applyFont="1" applyFill="1" applyBorder="1"/>
    <xf numFmtId="49" fontId="30" fillId="13" borderId="0" xfId="0" applyNumberFormat="1" applyFont="1" applyFill="1" applyBorder="1" applyAlignment="1">
      <alignment horizontal="center" vertical="center"/>
    </xf>
    <xf numFmtId="3" fontId="18" fillId="13" borderId="0" xfId="0" applyNumberFormat="1" applyFont="1" applyFill="1" applyBorder="1" applyAlignment="1">
      <alignment horizontal="center" vertical="center" wrapText="1"/>
    </xf>
    <xf numFmtId="3" fontId="0" fillId="13" borderId="0" xfId="0" applyNumberFormat="1" applyFill="1" applyBorder="1"/>
    <xf numFmtId="0" fontId="7" fillId="0" borderId="12" xfId="0" applyFont="1" applyBorder="1"/>
    <xf numFmtId="3" fontId="15" fillId="2" borderId="13" xfId="0" applyNumberFormat="1" applyFont="1" applyFill="1" applyBorder="1" applyAlignment="1">
      <alignment vertical="center"/>
    </xf>
    <xf numFmtId="0" fontId="7" fillId="0" borderId="14" xfId="0" applyFont="1" applyBorder="1"/>
    <xf numFmtId="3" fontId="17" fillId="5" borderId="15" xfId="0" applyNumberFormat="1" applyFont="1" applyFill="1" applyBorder="1" applyAlignment="1"/>
    <xf numFmtId="3" fontId="16" fillId="3" borderId="15" xfId="0" applyNumberFormat="1" applyFont="1" applyFill="1" applyBorder="1" applyAlignment="1"/>
    <xf numFmtId="3" fontId="11" fillId="0" borderId="15" xfId="0" applyNumberFormat="1" applyFont="1" applyFill="1" applyBorder="1"/>
    <xf numFmtId="3" fontId="7" fillId="0" borderId="15" xfId="0" applyNumberFormat="1" applyFont="1" applyBorder="1"/>
    <xf numFmtId="3" fontId="10" fillId="0" borderId="15" xfId="0" applyNumberFormat="1" applyFont="1" applyBorder="1"/>
    <xf numFmtId="0" fontId="7" fillId="0" borderId="16" xfId="0" applyFont="1" applyBorder="1"/>
    <xf numFmtId="49" fontId="7" fillId="0" borderId="6" xfId="0" applyNumberFormat="1" applyFont="1" applyBorder="1" applyAlignment="1">
      <alignment horizontal="center"/>
    </xf>
    <xf numFmtId="3" fontId="7" fillId="0" borderId="17" xfId="0" applyNumberFormat="1" applyFont="1" applyBorder="1"/>
    <xf numFmtId="3" fontId="7" fillId="13" borderId="2" xfId="0" applyNumberFormat="1" applyFont="1" applyFill="1" applyBorder="1" applyAlignment="1">
      <alignment vertical="center"/>
    </xf>
    <xf numFmtId="3" fontId="15" fillId="2" borderId="15" xfId="0" applyNumberFormat="1" applyFont="1" applyFill="1" applyBorder="1" applyAlignment="1">
      <alignment vertical="center"/>
    </xf>
    <xf numFmtId="3" fontId="26" fillId="7" borderId="15" xfId="0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29" fillId="0" borderId="18" xfId="0" applyFont="1" applyBorder="1"/>
    <xf numFmtId="3" fontId="10" fillId="0" borderId="6" xfId="0" applyNumberFormat="1" applyFont="1" applyBorder="1"/>
    <xf numFmtId="3" fontId="10" fillId="0" borderId="17" xfId="0" applyNumberFormat="1" applyFont="1" applyBorder="1"/>
    <xf numFmtId="3" fontId="11" fillId="6" borderId="15" xfId="0" applyNumberFormat="1" applyFont="1" applyFill="1" applyBorder="1"/>
    <xf numFmtId="49" fontId="10" fillId="0" borderId="6" xfId="0" applyNumberFormat="1" applyFont="1" applyBorder="1" applyAlignment="1">
      <alignment horizontal="center"/>
    </xf>
    <xf numFmtId="0" fontId="38" fillId="0" borderId="5" xfId="0" applyFont="1" applyBorder="1" applyAlignment="1"/>
    <xf numFmtId="3" fontId="16" fillId="15" borderId="2" xfId="0" applyNumberFormat="1" applyFont="1" applyFill="1" applyBorder="1"/>
    <xf numFmtId="0" fontId="35" fillId="5" borderId="19" xfId="0" applyFont="1" applyFill="1" applyBorder="1"/>
    <xf numFmtId="0" fontId="19" fillId="5" borderId="20" xfId="0" applyFont="1" applyFill="1" applyBorder="1"/>
    <xf numFmtId="0" fontId="35" fillId="5" borderId="14" xfId="0" applyFont="1" applyFill="1" applyBorder="1"/>
    <xf numFmtId="0" fontId="31" fillId="0" borderId="14" xfId="0" applyFont="1" applyBorder="1" applyAlignment="1"/>
    <xf numFmtId="3" fontId="20" fillId="0" borderId="15" xfId="0" applyNumberFormat="1" applyFont="1" applyBorder="1" applyAlignment="1"/>
    <xf numFmtId="0" fontId="7" fillId="0" borderId="22" xfId="0" applyFont="1" applyBorder="1"/>
    <xf numFmtId="3" fontId="24" fillId="8" borderId="15" xfId="0" applyNumberFormat="1" applyFont="1" applyFill="1" applyBorder="1" applyAlignment="1"/>
    <xf numFmtId="3" fontId="7" fillId="0" borderId="15" xfId="0" applyNumberFormat="1" applyFont="1" applyBorder="1" applyAlignment="1">
      <alignment vertical="center"/>
    </xf>
    <xf numFmtId="3" fontId="28" fillId="0" borderId="15" xfId="0" applyNumberFormat="1" applyFont="1" applyFill="1" applyBorder="1"/>
    <xf numFmtId="3" fontId="10" fillId="0" borderId="15" xfId="0" applyNumberFormat="1" applyFont="1" applyFill="1" applyBorder="1"/>
    <xf numFmtId="3" fontId="11" fillId="0" borderId="15" xfId="0" applyNumberFormat="1" applyFont="1" applyBorder="1"/>
    <xf numFmtId="0" fontId="11" fillId="0" borderId="6" xfId="0" applyFont="1" applyFill="1" applyBorder="1"/>
    <xf numFmtId="49" fontId="11" fillId="0" borderId="6" xfId="0" applyNumberFormat="1" applyFont="1" applyFill="1" applyBorder="1" applyAlignment="1">
      <alignment horizontal="center"/>
    </xf>
    <xf numFmtId="3" fontId="11" fillId="0" borderId="6" xfId="0" applyNumberFormat="1" applyFont="1" applyFill="1" applyBorder="1"/>
    <xf numFmtId="3" fontId="11" fillId="0" borderId="17" xfId="0" applyNumberFormat="1" applyFont="1" applyFill="1" applyBorder="1"/>
    <xf numFmtId="3" fontId="39" fillId="9" borderId="15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3" fontId="26" fillId="5" borderId="23" xfId="0" applyNumberFormat="1" applyFont="1" applyFill="1" applyBorder="1"/>
    <xf numFmtId="3" fontId="2" fillId="5" borderId="23" xfId="0" applyNumberFormat="1" applyFont="1" applyFill="1" applyBorder="1"/>
    <xf numFmtId="3" fontId="7" fillId="0" borderId="15" xfId="0" applyNumberFormat="1" applyFont="1" applyFill="1" applyBorder="1"/>
    <xf numFmtId="0" fontId="34" fillId="2" borderId="24" xfId="0" applyFont="1" applyFill="1" applyBorder="1" applyAlignment="1">
      <alignment vertical="center"/>
    </xf>
    <xf numFmtId="0" fontId="34" fillId="2" borderId="6" xfId="0" applyFont="1" applyFill="1" applyBorder="1" applyAlignment="1">
      <alignment vertical="center"/>
    </xf>
    <xf numFmtId="0" fontId="34" fillId="2" borderId="18" xfId="0" applyFont="1" applyFill="1" applyBorder="1" applyAlignment="1">
      <alignment vertical="center"/>
    </xf>
    <xf numFmtId="0" fontId="9" fillId="2" borderId="25" xfId="0" applyFont="1" applyFill="1" applyBorder="1" applyAlignment="1">
      <alignment horizontal="center" vertical="center"/>
    </xf>
    <xf numFmtId="0" fontId="22" fillId="6" borderId="27" xfId="0" applyFont="1" applyFill="1" applyBorder="1" applyAlignment="1">
      <alignment horizontal="center"/>
    </xf>
    <xf numFmtId="0" fontId="22" fillId="6" borderId="28" xfId="0" applyFont="1" applyFill="1" applyBorder="1"/>
    <xf numFmtId="0" fontId="7" fillId="0" borderId="5" xfId="0" applyFont="1" applyBorder="1"/>
    <xf numFmtId="0" fontId="11" fillId="0" borderId="3" xfId="0" applyFont="1" applyBorder="1"/>
    <xf numFmtId="0" fontId="1" fillId="0" borderId="2" xfId="0" applyFont="1" applyBorder="1" applyAlignment="1">
      <alignment horizontal="center"/>
    </xf>
    <xf numFmtId="0" fontId="35" fillId="5" borderId="14" xfId="0" applyFont="1" applyFill="1" applyBorder="1" applyAlignment="1">
      <alignment vertical="center"/>
    </xf>
    <xf numFmtId="3" fontId="16" fillId="5" borderId="2" xfId="0" applyNumberFormat="1" applyFont="1" applyFill="1" applyBorder="1" applyAlignment="1">
      <alignment vertical="center"/>
    </xf>
    <xf numFmtId="3" fontId="16" fillId="15" borderId="2" xfId="0" applyNumberFormat="1" applyFont="1" applyFill="1" applyBorder="1" applyAlignment="1">
      <alignment vertical="center"/>
    </xf>
    <xf numFmtId="3" fontId="16" fillId="5" borderId="15" xfId="0" applyNumberFormat="1" applyFont="1" applyFill="1" applyBorder="1" applyAlignment="1">
      <alignment vertical="center"/>
    </xf>
    <xf numFmtId="0" fontId="35" fillId="5" borderId="16" xfId="0" applyFont="1" applyFill="1" applyBorder="1" applyAlignment="1">
      <alignment vertical="center"/>
    </xf>
    <xf numFmtId="3" fontId="16" fillId="5" borderId="6" xfId="0" applyNumberFormat="1" applyFont="1" applyFill="1" applyBorder="1" applyAlignment="1">
      <alignment vertical="center"/>
    </xf>
    <xf numFmtId="0" fontId="40" fillId="5" borderId="5" xfId="0" applyFont="1" applyFill="1" applyBorder="1" applyAlignment="1">
      <alignment vertical="center"/>
    </xf>
    <xf numFmtId="0" fontId="40" fillId="5" borderId="5" xfId="0" applyFont="1" applyFill="1" applyBorder="1" applyAlignment="1">
      <alignment vertical="center" wrapText="1"/>
    </xf>
    <xf numFmtId="0" fontId="40" fillId="5" borderId="24" xfId="0" applyFont="1" applyFill="1" applyBorder="1" applyAlignment="1">
      <alignment vertical="center" wrapText="1"/>
    </xf>
    <xf numFmtId="3" fontId="17" fillId="16" borderId="2" xfId="0" applyNumberFormat="1" applyFont="1" applyFill="1" applyBorder="1" applyAlignment="1"/>
    <xf numFmtId="0" fontId="10" fillId="0" borderId="0" xfId="0" applyFont="1" applyBorder="1"/>
    <xf numFmtId="0" fontId="10" fillId="0" borderId="1" xfId="0" applyFont="1" applyBorder="1"/>
    <xf numFmtId="0" fontId="10" fillId="0" borderId="29" xfId="0" applyFont="1" applyBorder="1"/>
    <xf numFmtId="3" fontId="46" fillId="0" borderId="6" xfId="0" applyNumberFormat="1" applyFont="1" applyBorder="1"/>
    <xf numFmtId="3" fontId="1" fillId="0" borderId="2" xfId="0" applyNumberFormat="1" applyFont="1" applyBorder="1"/>
    <xf numFmtId="0" fontId="10" fillId="0" borderId="30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vertical="center"/>
    </xf>
    <xf numFmtId="3" fontId="10" fillId="0" borderId="1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" fillId="0" borderId="1" xfId="0" applyFont="1" applyBorder="1"/>
    <xf numFmtId="0" fontId="32" fillId="4" borderId="31" xfId="0" applyFont="1" applyFill="1" applyBorder="1"/>
    <xf numFmtId="0" fontId="32" fillId="6" borderId="32" xfId="0" applyFont="1" applyFill="1" applyBorder="1" applyAlignment="1"/>
    <xf numFmtId="0" fontId="32" fillId="0" borderId="31" xfId="0" applyFont="1" applyBorder="1"/>
    <xf numFmtId="0" fontId="32" fillId="5" borderId="1" xfId="0" applyFont="1" applyFill="1" applyBorder="1"/>
    <xf numFmtId="0" fontId="47" fillId="13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17" fillId="5" borderId="6" xfId="0" applyFont="1" applyFill="1" applyBorder="1" applyAlignment="1"/>
    <xf numFmtId="3" fontId="17" fillId="5" borderId="6" xfId="0" applyNumberFormat="1" applyFont="1" applyFill="1" applyBorder="1" applyAlignment="1"/>
    <xf numFmtId="3" fontId="17" fillId="5" borderId="17" xfId="0" applyNumberFormat="1" applyFont="1" applyFill="1" applyBorder="1" applyAlignment="1"/>
    <xf numFmtId="3" fontId="0" fillId="0" borderId="33" xfId="0" applyNumberFormat="1" applyBorder="1"/>
    <xf numFmtId="0" fontId="10" fillId="0" borderId="2" xfId="0" applyFont="1" applyFill="1" applyBorder="1" applyAlignment="1">
      <alignment horizontal="center"/>
    </xf>
    <xf numFmtId="3" fontId="1" fillId="0" borderId="2" xfId="0" applyNumberFormat="1" applyFont="1" applyFill="1" applyBorder="1"/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3" fontId="16" fillId="15" borderId="15" xfId="0" applyNumberFormat="1" applyFont="1" applyFill="1" applyBorder="1"/>
    <xf numFmtId="3" fontId="16" fillId="15" borderId="17" xfId="0" applyNumberFormat="1" applyFont="1" applyFill="1" applyBorder="1" applyAlignment="1">
      <alignment vertical="center"/>
    </xf>
    <xf numFmtId="0" fontId="0" fillId="0" borderId="35" xfId="0" applyBorder="1"/>
    <xf numFmtId="0" fontId="0" fillId="0" borderId="0" xfId="0" applyBorder="1"/>
    <xf numFmtId="3" fontId="1" fillId="0" borderId="6" xfId="0" applyNumberFormat="1" applyFont="1" applyBorder="1"/>
    <xf numFmtId="3" fontId="7" fillId="13" borderId="15" xfId="0" applyNumberFormat="1" applyFont="1" applyFill="1" applyBorder="1"/>
    <xf numFmtId="3" fontId="10" fillId="0" borderId="26" xfId="0" applyNumberFormat="1" applyFont="1" applyBorder="1"/>
    <xf numFmtId="0" fontId="10" fillId="0" borderId="2" xfId="0" applyFont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/>
    </xf>
    <xf numFmtId="0" fontId="34" fillId="2" borderId="51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49" fontId="11" fillId="0" borderId="2" xfId="0" applyNumberFormat="1" applyFont="1" applyFill="1" applyBorder="1"/>
    <xf numFmtId="0" fontId="11" fillId="0" borderId="2" xfId="0" applyFont="1" applyFill="1" applyBorder="1" applyAlignment="1">
      <alignment horizontal="center"/>
    </xf>
    <xf numFmtId="49" fontId="7" fillId="0" borderId="2" xfId="0" applyNumberFormat="1" applyFont="1" applyBorder="1"/>
    <xf numFmtId="0" fontId="7" fillId="0" borderId="2" xfId="0" applyFont="1" applyBorder="1" applyAlignment="1">
      <alignment horizontal="center"/>
    </xf>
    <xf numFmtId="3" fontId="29" fillId="0" borderId="2" xfId="0" applyNumberFormat="1" applyFont="1" applyBorder="1"/>
    <xf numFmtId="3" fontId="29" fillId="0" borderId="15" xfId="0" applyNumberFormat="1" applyFont="1" applyBorder="1"/>
    <xf numFmtId="0" fontId="7" fillId="0" borderId="25" xfId="0" applyFont="1" applyBorder="1"/>
    <xf numFmtId="0" fontId="10" fillId="0" borderId="1" xfId="0" applyFont="1" applyBorder="1" applyAlignment="1">
      <alignment horizontal="center"/>
    </xf>
    <xf numFmtId="0" fontId="29" fillId="0" borderId="59" xfId="0" applyFont="1" applyBorder="1"/>
    <xf numFmtId="3" fontId="46" fillId="0" borderId="1" xfId="0" applyNumberFormat="1" applyFont="1" applyBorder="1"/>
    <xf numFmtId="3" fontId="10" fillId="0" borderId="1" xfId="0" applyNumberFormat="1" applyFont="1" applyBorder="1"/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right" vertical="center"/>
    </xf>
    <xf numFmtId="3" fontId="7" fillId="0" borderId="15" xfId="0" applyNumberFormat="1" applyFont="1" applyFill="1" applyBorder="1" applyAlignment="1">
      <alignment horizontal="right" vertical="center"/>
    </xf>
    <xf numFmtId="0" fontId="0" fillId="0" borderId="7" xfId="0" applyBorder="1" applyAlignment="1"/>
    <xf numFmtId="0" fontId="24" fillId="8" borderId="5" xfId="0" applyFont="1" applyFill="1" applyBorder="1" applyAlignment="1"/>
    <xf numFmtId="0" fontId="0" fillId="0" borderId="7" xfId="0" applyBorder="1" applyAlignment="1"/>
    <xf numFmtId="0" fontId="24" fillId="8" borderId="5" xfId="0" applyFont="1" applyFill="1" applyBorder="1" applyAlignment="1"/>
    <xf numFmtId="3" fontId="3" fillId="4" borderId="5" xfId="0" applyNumberFormat="1" applyFont="1" applyFill="1" applyBorder="1"/>
    <xf numFmtId="3" fontId="11" fillId="0" borderId="5" xfId="0" applyNumberFormat="1" applyFont="1" applyBorder="1"/>
    <xf numFmtId="3" fontId="7" fillId="0" borderId="5" xfId="0" applyNumberFormat="1" applyFont="1" applyBorder="1"/>
    <xf numFmtId="3" fontId="1" fillId="0" borderId="15" xfId="0" applyNumberFormat="1" applyFont="1" applyFill="1" applyBorder="1"/>
    <xf numFmtId="0" fontId="11" fillId="0" borderId="5" xfId="0" applyFont="1" applyFill="1" applyBorder="1"/>
    <xf numFmtId="0" fontId="11" fillId="0" borderId="3" xfId="0" applyFont="1" applyFill="1" applyBorder="1"/>
    <xf numFmtId="3" fontId="11" fillId="0" borderId="3" xfId="0" applyNumberFormat="1" applyFont="1" applyBorder="1"/>
    <xf numFmtId="3" fontId="7" fillId="0" borderId="3" xfId="0" applyNumberFormat="1" applyFont="1" applyBorder="1"/>
    <xf numFmtId="3" fontId="29" fillId="0" borderId="3" xfId="0" applyNumberFormat="1" applyFont="1" applyBorder="1"/>
    <xf numFmtId="49" fontId="10" fillId="0" borderId="1" xfId="0" applyNumberFormat="1" applyFont="1" applyBorder="1" applyAlignment="1">
      <alignment horizontal="center"/>
    </xf>
    <xf numFmtId="0" fontId="32" fillId="4" borderId="1" xfId="0" applyFont="1" applyFill="1" applyBorder="1"/>
    <xf numFmtId="0" fontId="32" fillId="0" borderId="2" xfId="0" applyFont="1" applyFill="1" applyBorder="1" applyAlignment="1"/>
    <xf numFmtId="0" fontId="26" fillId="6" borderId="10" xfId="0" applyFont="1" applyFill="1" applyBorder="1" applyAlignment="1"/>
    <xf numFmtId="0" fontId="11" fillId="0" borderId="5" xfId="0" applyFont="1" applyBorder="1"/>
    <xf numFmtId="0" fontId="9" fillId="2" borderId="24" xfId="0" applyFont="1" applyFill="1" applyBorder="1" applyAlignment="1">
      <alignment vertical="center"/>
    </xf>
    <xf numFmtId="0" fontId="10" fillId="0" borderId="7" xfId="0" applyFont="1" applyBorder="1"/>
    <xf numFmtId="49" fontId="10" fillId="0" borderId="7" xfId="0" applyNumberFormat="1" applyFont="1" applyBorder="1" applyAlignment="1">
      <alignment horizontal="center"/>
    </xf>
    <xf numFmtId="0" fontId="7" fillId="0" borderId="1" xfId="0" applyFont="1" applyBorder="1"/>
    <xf numFmtId="0" fontId="11" fillId="0" borderId="2" xfId="0" applyFont="1" applyBorder="1" applyAlignment="1">
      <alignment wrapText="1"/>
    </xf>
    <xf numFmtId="0" fontId="7" fillId="0" borderId="14" xfId="0" applyFont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11" fillId="0" borderId="1" xfId="0" applyFont="1" applyFill="1" applyBorder="1"/>
    <xf numFmtId="0" fontId="10" fillId="0" borderId="3" xfId="0" applyFont="1" applyBorder="1" applyAlignment="1">
      <alignment wrapText="1"/>
    </xf>
    <xf numFmtId="0" fontId="1" fillId="0" borderId="14" xfId="0" applyFont="1" applyBorder="1" applyAlignment="1">
      <alignment horizontal="center" vertical="center"/>
    </xf>
    <xf numFmtId="0" fontId="32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3" fontId="29" fillId="0" borderId="2" xfId="0" applyNumberFormat="1" applyFont="1" applyFill="1" applyBorder="1"/>
    <xf numFmtId="49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3" fontId="7" fillId="0" borderId="26" xfId="0" applyNumberFormat="1" applyFont="1" applyBorder="1"/>
    <xf numFmtId="0" fontId="11" fillId="0" borderId="2" xfId="0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0" fillId="0" borderId="7" xfId="0" applyBorder="1" applyAlignment="1"/>
    <xf numFmtId="0" fontId="17" fillId="5" borderId="2" xfId="0" applyFont="1" applyFill="1" applyBorder="1" applyAlignment="1"/>
    <xf numFmtId="0" fontId="16" fillId="3" borderId="2" xfId="0" applyFont="1" applyFill="1" applyBorder="1" applyAlignment="1"/>
    <xf numFmtId="0" fontId="0" fillId="0" borderId="9" xfId="0" applyBorder="1" applyAlignment="1"/>
    <xf numFmtId="0" fontId="16" fillId="3" borderId="2" xfId="0" applyFont="1" applyFill="1" applyBorder="1" applyAlignment="1"/>
    <xf numFmtId="0" fontId="17" fillId="5" borderId="2" xfId="0" applyFont="1" applyFill="1" applyBorder="1" applyAlignment="1"/>
    <xf numFmtId="3" fontId="17" fillId="5" borderId="5" xfId="0" applyNumberFormat="1" applyFont="1" applyFill="1" applyBorder="1" applyAlignment="1"/>
    <xf numFmtId="3" fontId="16" fillId="3" borderId="5" xfId="0" applyNumberFormat="1" applyFont="1" applyFill="1" applyBorder="1" applyAlignment="1"/>
    <xf numFmtId="3" fontId="11" fillId="0" borderId="5" xfId="0" applyNumberFormat="1" applyFont="1" applyFill="1" applyBorder="1"/>
    <xf numFmtId="3" fontId="10" fillId="0" borderId="5" xfId="0" applyNumberFormat="1" applyFont="1" applyBorder="1"/>
    <xf numFmtId="3" fontId="17" fillId="5" borderId="24" xfId="0" applyNumberFormat="1" applyFont="1" applyFill="1" applyBorder="1" applyAlignment="1"/>
    <xf numFmtId="3" fontId="15" fillId="2" borderId="5" xfId="0" applyNumberFormat="1" applyFont="1" applyFill="1" applyBorder="1" applyAlignment="1">
      <alignment vertical="center"/>
    </xf>
    <xf numFmtId="3" fontId="10" fillId="0" borderId="24" xfId="0" applyNumberFormat="1" applyFont="1" applyBorder="1"/>
    <xf numFmtId="3" fontId="7" fillId="13" borderId="5" xfId="0" applyNumberFormat="1" applyFont="1" applyFill="1" applyBorder="1"/>
    <xf numFmtId="3" fontId="10" fillId="0" borderId="5" xfId="0" applyNumberFormat="1" applyFont="1" applyFill="1" applyBorder="1"/>
    <xf numFmtId="3" fontId="26" fillId="7" borderId="5" xfId="0" applyNumberFormat="1" applyFont="1" applyFill="1" applyBorder="1"/>
    <xf numFmtId="3" fontId="7" fillId="0" borderId="5" xfId="0" applyNumberFormat="1" applyFont="1" applyFill="1" applyBorder="1"/>
    <xf numFmtId="3" fontId="10" fillId="0" borderId="5" xfId="0" applyNumberFormat="1" applyFont="1" applyBorder="1" applyAlignment="1">
      <alignment vertical="center"/>
    </xf>
    <xf numFmtId="3" fontId="7" fillId="0" borderId="24" xfId="0" applyNumberFormat="1" applyFont="1" applyBorder="1"/>
    <xf numFmtId="3" fontId="1" fillId="0" borderId="5" xfId="0" applyNumberFormat="1" applyFont="1" applyFill="1" applyBorder="1"/>
    <xf numFmtId="3" fontId="7" fillId="0" borderId="5" xfId="0" applyNumberFormat="1" applyFont="1" applyBorder="1" applyAlignment="1">
      <alignment vertical="center"/>
    </xf>
    <xf numFmtId="3" fontId="10" fillId="13" borderId="5" xfId="0" applyNumberFormat="1" applyFont="1" applyFill="1" applyBorder="1"/>
    <xf numFmtId="3" fontId="10" fillId="0" borderId="5" xfId="0" applyNumberFormat="1" applyFont="1" applyFill="1" applyBorder="1" applyAlignment="1">
      <alignment vertical="center"/>
    </xf>
    <xf numFmtId="3" fontId="11" fillId="6" borderId="5" xfId="0" applyNumberFormat="1" applyFont="1" applyFill="1" applyBorder="1"/>
    <xf numFmtId="3" fontId="29" fillId="0" borderId="5" xfId="0" applyNumberFormat="1" applyFont="1" applyBorder="1"/>
    <xf numFmtId="3" fontId="11" fillId="0" borderId="24" xfId="0" applyNumberFormat="1" applyFont="1" applyFill="1" applyBorder="1"/>
    <xf numFmtId="3" fontId="7" fillId="0" borderId="5" xfId="0" applyNumberFormat="1" applyFont="1" applyFill="1" applyBorder="1" applyAlignment="1">
      <alignment horizontal="right" vertical="center"/>
    </xf>
    <xf numFmtId="3" fontId="10" fillId="0" borderId="29" xfId="0" applyNumberFormat="1" applyFont="1" applyBorder="1"/>
    <xf numFmtId="3" fontId="7" fillId="0" borderId="29" xfId="0" applyNumberFormat="1" applyFont="1" applyBorder="1"/>
    <xf numFmtId="3" fontId="15" fillId="13" borderId="0" xfId="0" applyNumberFormat="1" applyFont="1" applyFill="1" applyBorder="1" applyAlignment="1">
      <alignment vertical="center"/>
    </xf>
    <xf numFmtId="3" fontId="0" fillId="13" borderId="0" xfId="0" applyNumberFormat="1" applyFill="1"/>
    <xf numFmtId="0" fontId="0" fillId="17" borderId="9" xfId="0" applyFill="1" applyBorder="1" applyAlignment="1"/>
    <xf numFmtId="0" fontId="0" fillId="17" borderId="7" xfId="0" applyFill="1" applyBorder="1" applyAlignment="1"/>
    <xf numFmtId="0" fontId="0" fillId="18" borderId="58" xfId="0" applyFill="1" applyBorder="1" applyAlignment="1"/>
    <xf numFmtId="3" fontId="53" fillId="20" borderId="21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>
      <alignment horizontal="center" vertical="center" wrapText="1"/>
    </xf>
    <xf numFmtId="3" fontId="18" fillId="20" borderId="34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0" fillId="0" borderId="2" xfId="0" applyBorder="1"/>
    <xf numFmtId="0" fontId="0" fillId="0" borderId="15" xfId="0" applyBorder="1"/>
    <xf numFmtId="3" fontId="16" fillId="15" borderId="6" xfId="0" applyNumberFormat="1" applyFont="1" applyFill="1" applyBorder="1" applyAlignment="1">
      <alignment vertical="center"/>
    </xf>
    <xf numFmtId="3" fontId="39" fillId="9" borderId="21" xfId="0" applyNumberFormat="1" applyFont="1" applyFill="1" applyBorder="1" applyAlignment="1"/>
    <xf numFmtId="3" fontId="39" fillId="9" borderId="34" xfId="0" applyNumberFormat="1" applyFont="1" applyFill="1" applyBorder="1" applyAlignment="1"/>
    <xf numFmtId="3" fontId="24" fillId="8" borderId="2" xfId="0" applyNumberFormat="1" applyFont="1" applyFill="1" applyBorder="1" applyAlignment="1"/>
    <xf numFmtId="3" fontId="48" fillId="8" borderId="2" xfId="0" applyNumberFormat="1" applyFont="1" applyFill="1" applyBorder="1" applyAlignment="1"/>
    <xf numFmtId="3" fontId="39" fillId="9" borderId="2" xfId="0" applyNumberFormat="1" applyFont="1" applyFill="1" applyBorder="1" applyAlignment="1"/>
    <xf numFmtId="3" fontId="24" fillId="13" borderId="2" xfId="0" applyNumberFormat="1" applyFont="1" applyFill="1" applyBorder="1" applyAlignment="1"/>
    <xf numFmtId="3" fontId="25" fillId="2" borderId="6" xfId="0" applyNumberFormat="1" applyFont="1" applyFill="1" applyBorder="1" applyAlignment="1"/>
    <xf numFmtId="3" fontId="25" fillId="2" borderId="17" xfId="0" applyNumberFormat="1" applyFont="1" applyFill="1" applyBorder="1" applyAlignment="1"/>
    <xf numFmtId="0" fontId="1" fillId="0" borderId="0" xfId="0" applyFont="1" applyBorder="1"/>
    <xf numFmtId="0" fontId="1" fillId="0" borderId="50" xfId="0" applyFont="1" applyBorder="1"/>
    <xf numFmtId="0" fontId="7" fillId="0" borderId="0" xfId="0" applyFont="1" applyBorder="1"/>
    <xf numFmtId="0" fontId="1" fillId="0" borderId="6" xfId="0" applyFont="1" applyBorder="1"/>
    <xf numFmtId="3" fontId="7" fillId="0" borderId="33" xfId="0" applyNumberFormat="1" applyFont="1" applyBorder="1"/>
    <xf numFmtId="3" fontId="7" fillId="0" borderId="0" xfId="0" applyNumberFormat="1" applyFont="1" applyBorder="1"/>
    <xf numFmtId="3" fontId="3" fillId="4" borderId="21" xfId="0" applyNumberFormat="1" applyFont="1" applyFill="1" applyBorder="1"/>
    <xf numFmtId="3" fontId="3" fillId="4" borderId="2" xfId="0" applyNumberFormat="1" applyFont="1" applyFill="1" applyBorder="1"/>
    <xf numFmtId="3" fontId="7" fillId="0" borderId="51" xfId="0" applyNumberFormat="1" applyFont="1" applyBorder="1"/>
    <xf numFmtId="0" fontId="32" fillId="0" borderId="1" xfId="0" applyFont="1" applyFill="1" applyBorder="1" applyAlignment="1"/>
    <xf numFmtId="3" fontId="7" fillId="0" borderId="23" xfId="0" applyNumberFormat="1" applyFont="1" applyBorder="1"/>
    <xf numFmtId="3" fontId="26" fillId="5" borderId="7" xfId="0" applyNumberFormat="1" applyFont="1" applyFill="1" applyBorder="1"/>
    <xf numFmtId="3" fontId="26" fillId="6" borderId="10" xfId="0" applyNumberFormat="1" applyFont="1" applyFill="1" applyBorder="1" applyAlignment="1"/>
    <xf numFmtId="3" fontId="3" fillId="4" borderId="20" xfId="0" applyNumberFormat="1" applyFont="1" applyFill="1" applyBorder="1"/>
    <xf numFmtId="3" fontId="7" fillId="0" borderId="66" xfId="0" applyNumberFormat="1" applyFont="1" applyBorder="1"/>
    <xf numFmtId="3" fontId="2" fillId="5" borderId="7" xfId="0" applyNumberFormat="1" applyFont="1" applyFill="1" applyBorder="1"/>
    <xf numFmtId="3" fontId="10" fillId="0" borderId="62" xfId="0" applyNumberFormat="1" applyFont="1" applyBorder="1"/>
    <xf numFmtId="3" fontId="26" fillId="6" borderId="65" xfId="0" applyNumberFormat="1" applyFont="1" applyFill="1" applyBorder="1" applyAlignment="1"/>
    <xf numFmtId="3" fontId="7" fillId="0" borderId="62" xfId="0" applyNumberFormat="1" applyFont="1" applyBorder="1"/>
    <xf numFmtId="3" fontId="36" fillId="2" borderId="24" xfId="0" applyNumberFormat="1" applyFont="1" applyFill="1" applyBorder="1" applyAlignment="1">
      <alignment vertical="center"/>
    </xf>
    <xf numFmtId="3" fontId="26" fillId="6" borderId="11" xfId="0" applyNumberFormat="1" applyFont="1" applyFill="1" applyBorder="1" applyAlignment="1"/>
    <xf numFmtId="3" fontId="3" fillId="4" borderId="23" xfId="0" applyNumberFormat="1" applyFont="1" applyFill="1" applyBorder="1"/>
    <xf numFmtId="3" fontId="11" fillId="0" borderId="23" xfId="0" applyNumberFormat="1" applyFont="1" applyBorder="1"/>
    <xf numFmtId="3" fontId="7" fillId="13" borderId="23" xfId="0" applyNumberFormat="1" applyFont="1" applyFill="1" applyBorder="1"/>
    <xf numFmtId="3" fontId="3" fillId="4" borderId="67" xfId="0" applyNumberFormat="1" applyFont="1" applyFill="1" applyBorder="1"/>
    <xf numFmtId="3" fontId="7" fillId="0" borderId="68" xfId="0" applyNumberFormat="1" applyFont="1" applyBorder="1"/>
    <xf numFmtId="3" fontId="10" fillId="0" borderId="23" xfId="0" applyNumberFormat="1" applyFont="1" applyBorder="1"/>
    <xf numFmtId="3" fontId="10" fillId="0" borderId="23" xfId="0" applyNumberFormat="1" applyFont="1" applyBorder="1" applyAlignment="1">
      <alignment vertical="center"/>
    </xf>
    <xf numFmtId="3" fontId="7" fillId="0" borderId="23" xfId="0" applyNumberFormat="1" applyFont="1" applyBorder="1" applyAlignment="1">
      <alignment vertical="center"/>
    </xf>
    <xf numFmtId="3" fontId="10" fillId="0" borderId="33" xfId="0" applyNumberFormat="1" applyFont="1" applyBorder="1"/>
    <xf numFmtId="3" fontId="36" fillId="2" borderId="69" xfId="0" applyNumberFormat="1" applyFont="1" applyFill="1" applyBorder="1" applyAlignment="1">
      <alignment vertical="center"/>
    </xf>
    <xf numFmtId="3" fontId="26" fillId="5" borderId="70" xfId="0" applyNumberFormat="1" applyFont="1" applyFill="1" applyBorder="1"/>
    <xf numFmtId="3" fontId="26" fillId="6" borderId="32" xfId="0" applyNumberFormat="1" applyFont="1" applyFill="1" applyBorder="1" applyAlignment="1"/>
    <xf numFmtId="3" fontId="26" fillId="5" borderId="2" xfId="0" applyNumberFormat="1" applyFont="1" applyFill="1" applyBorder="1"/>
    <xf numFmtId="3" fontId="7" fillId="0" borderId="50" xfId="0" applyNumberFormat="1" applyFont="1" applyBorder="1"/>
    <xf numFmtId="3" fontId="2" fillId="5" borderId="2" xfId="0" applyNumberFormat="1" applyFont="1" applyFill="1" applyBorder="1"/>
    <xf numFmtId="3" fontId="10" fillId="0" borderId="50" xfId="0" applyNumberFormat="1" applyFont="1" applyBorder="1"/>
    <xf numFmtId="3" fontId="36" fillId="2" borderId="6" xfId="0" applyNumberFormat="1" applyFont="1" applyFill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3" fontId="36" fillId="2" borderId="66" xfId="0" applyNumberFormat="1" applyFont="1" applyFill="1" applyBorder="1" applyAlignment="1">
      <alignment vertical="center"/>
    </xf>
    <xf numFmtId="3" fontId="11" fillId="0" borderId="23" xfId="0" applyNumberFormat="1" applyFont="1" applyBorder="1" applyAlignment="1">
      <alignment vertical="center"/>
    </xf>
    <xf numFmtId="3" fontId="10" fillId="0" borderId="71" xfId="0" applyNumberFormat="1" applyFont="1" applyBorder="1"/>
    <xf numFmtId="3" fontId="36" fillId="2" borderId="68" xfId="0" applyNumberFormat="1" applyFont="1" applyFill="1" applyBorder="1" applyAlignment="1">
      <alignment vertical="center"/>
    </xf>
    <xf numFmtId="3" fontId="2" fillId="5" borderId="70" xfId="0" applyNumberFormat="1" applyFont="1" applyFill="1" applyBorder="1"/>
    <xf numFmtId="3" fontId="11" fillId="0" borderId="2" xfId="0" applyNumberFormat="1" applyFont="1" applyBorder="1" applyAlignment="1">
      <alignment vertical="center"/>
    </xf>
    <xf numFmtId="3" fontId="36" fillId="2" borderId="51" xfId="0" applyNumberFormat="1" applyFont="1" applyFill="1" applyBorder="1" applyAlignment="1">
      <alignment vertical="center"/>
    </xf>
    <xf numFmtId="3" fontId="36" fillId="2" borderId="29" xfId="0" applyNumberFormat="1" applyFont="1" applyFill="1" applyBorder="1" applyAlignment="1">
      <alignment vertical="center"/>
    </xf>
    <xf numFmtId="3" fontId="37" fillId="6" borderId="57" xfId="0" applyNumberFormat="1" applyFont="1" applyFill="1" applyBorder="1"/>
    <xf numFmtId="3" fontId="36" fillId="2" borderId="71" xfId="0" applyNumberFormat="1" applyFont="1" applyFill="1" applyBorder="1" applyAlignment="1">
      <alignment vertical="center"/>
    </xf>
    <xf numFmtId="3" fontId="37" fillId="6" borderId="72" xfId="0" applyNumberFormat="1" applyFont="1" applyFill="1" applyBorder="1"/>
    <xf numFmtId="3" fontId="36" fillId="2" borderId="1" xfId="0" applyNumberFormat="1" applyFont="1" applyFill="1" applyBorder="1" applyAlignment="1">
      <alignment vertical="center"/>
    </xf>
    <xf numFmtId="3" fontId="37" fillId="6" borderId="28" xfId="0" applyNumberFormat="1" applyFont="1" applyFill="1" applyBorder="1"/>
    <xf numFmtId="49" fontId="12" fillId="13" borderId="35" xfId="0" applyNumberFormat="1" applyFont="1" applyFill="1" applyBorder="1" applyAlignment="1">
      <alignment horizontal="center" vertical="center"/>
    </xf>
    <xf numFmtId="3" fontId="15" fillId="2" borderId="22" xfId="0" applyNumberFormat="1" applyFont="1" applyFill="1" applyBorder="1" applyAlignment="1">
      <alignment vertical="center"/>
    </xf>
    <xf numFmtId="3" fontId="15" fillId="2" borderId="31" xfId="0" applyNumberFormat="1" applyFont="1" applyFill="1" applyBorder="1" applyAlignment="1">
      <alignment vertical="center"/>
    </xf>
    <xf numFmtId="3" fontId="17" fillId="5" borderId="14" xfId="0" applyNumberFormat="1" applyFont="1" applyFill="1" applyBorder="1" applyAlignment="1"/>
    <xf numFmtId="3" fontId="16" fillId="3" borderId="14" xfId="0" applyNumberFormat="1" applyFont="1" applyFill="1" applyBorder="1" applyAlignment="1"/>
    <xf numFmtId="3" fontId="11" fillId="0" borderId="14" xfId="0" applyNumberFormat="1" applyFont="1" applyFill="1" applyBorder="1"/>
    <xf numFmtId="3" fontId="7" fillId="0" borderId="14" xfId="0" applyNumberFormat="1" applyFont="1" applyBorder="1"/>
    <xf numFmtId="3" fontId="10" fillId="0" borderId="14" xfId="0" applyNumberFormat="1" applyFont="1" applyBorder="1"/>
    <xf numFmtId="3" fontId="17" fillId="5" borderId="16" xfId="0" applyNumberFormat="1" applyFont="1" applyFill="1" applyBorder="1" applyAlignment="1"/>
    <xf numFmtId="3" fontId="15" fillId="2" borderId="14" xfId="0" applyNumberFormat="1" applyFont="1" applyFill="1" applyBorder="1" applyAlignment="1">
      <alignment vertical="center"/>
    </xf>
    <xf numFmtId="3" fontId="11" fillId="0" borderId="14" xfId="0" applyNumberFormat="1" applyFont="1" applyBorder="1"/>
    <xf numFmtId="3" fontId="10" fillId="0" borderId="16" xfId="0" applyNumberFormat="1" applyFont="1" applyBorder="1"/>
    <xf numFmtId="49" fontId="12" fillId="13" borderId="0" xfId="0" applyNumberFormat="1" applyFont="1" applyFill="1" applyBorder="1" applyAlignment="1">
      <alignment horizontal="center" vertical="center"/>
    </xf>
    <xf numFmtId="3" fontId="15" fillId="13" borderId="9" xfId="0" applyNumberFormat="1" applyFont="1" applyFill="1" applyBorder="1" applyAlignment="1">
      <alignment vertical="center"/>
    </xf>
    <xf numFmtId="3" fontId="17" fillId="13" borderId="7" xfId="0" applyNumberFormat="1" applyFont="1" applyFill="1" applyBorder="1" applyAlignment="1"/>
    <xf numFmtId="3" fontId="16" fillId="13" borderId="7" xfId="0" applyNumberFormat="1" applyFont="1" applyFill="1" applyBorder="1" applyAlignment="1"/>
    <xf numFmtId="3" fontId="11" fillId="13" borderId="7" xfId="0" applyNumberFormat="1" applyFont="1" applyFill="1" applyBorder="1"/>
    <xf numFmtId="3" fontId="7" fillId="13" borderId="7" xfId="0" applyNumberFormat="1" applyFont="1" applyFill="1" applyBorder="1"/>
    <xf numFmtId="3" fontId="10" fillId="13" borderId="7" xfId="0" applyNumberFormat="1" applyFont="1" applyFill="1" applyBorder="1"/>
    <xf numFmtId="3" fontId="17" fillId="13" borderId="48" xfId="0" applyNumberFormat="1" applyFont="1" applyFill="1" applyBorder="1" applyAlignment="1"/>
    <xf numFmtId="3" fontId="15" fillId="2" borderId="33" xfId="0" applyNumberFormat="1" applyFont="1" applyFill="1" applyBorder="1" applyAlignment="1">
      <alignment vertical="center"/>
    </xf>
    <xf numFmtId="3" fontId="15" fillId="13" borderId="7" xfId="0" applyNumberFormat="1" applyFont="1" applyFill="1" applyBorder="1" applyAlignment="1">
      <alignment vertical="center"/>
    </xf>
    <xf numFmtId="3" fontId="10" fillId="13" borderId="48" xfId="0" applyNumberFormat="1" applyFont="1" applyFill="1" applyBorder="1"/>
    <xf numFmtId="3" fontId="26" fillId="7" borderId="14" xfId="0" applyNumberFormat="1" applyFont="1" applyFill="1" applyBorder="1"/>
    <xf numFmtId="3" fontId="7" fillId="0" borderId="14" xfId="0" applyNumberFormat="1" applyFont="1" applyFill="1" applyBorder="1"/>
    <xf numFmtId="3" fontId="7" fillId="0" borderId="14" xfId="0" applyNumberFormat="1" applyFont="1" applyBorder="1" applyAlignment="1">
      <alignment vertical="center"/>
    </xf>
    <xf numFmtId="3" fontId="26" fillId="13" borderId="7" xfId="0" applyNumberFormat="1" applyFont="1" applyFill="1" applyBorder="1"/>
    <xf numFmtId="3" fontId="10" fillId="13" borderId="7" xfId="0" applyNumberFormat="1" applyFont="1" applyFill="1" applyBorder="1" applyAlignment="1">
      <alignment vertical="center"/>
    </xf>
    <xf numFmtId="3" fontId="7" fillId="13" borderId="14" xfId="0" applyNumberFormat="1" applyFont="1" applyFill="1" applyBorder="1"/>
    <xf numFmtId="3" fontId="10" fillId="0" borderId="14" xfId="0" applyNumberFormat="1" applyFont="1" applyFill="1" applyBorder="1"/>
    <xf numFmtId="3" fontId="10" fillId="0" borderId="14" xfId="0" applyNumberFormat="1" applyFont="1" applyBorder="1" applyAlignment="1">
      <alignment vertical="center"/>
    </xf>
    <xf numFmtId="3" fontId="15" fillId="2" borderId="74" xfId="0" applyNumberFormat="1" applyFont="1" applyFill="1" applyBorder="1" applyAlignment="1">
      <alignment vertical="center"/>
    </xf>
    <xf numFmtId="3" fontId="17" fillId="5" borderId="74" xfId="0" applyNumberFormat="1" applyFont="1" applyFill="1" applyBorder="1" applyAlignment="1"/>
    <xf numFmtId="3" fontId="11" fillId="0" borderId="74" xfId="0" applyNumberFormat="1" applyFont="1" applyFill="1" applyBorder="1"/>
    <xf numFmtId="3" fontId="7" fillId="0" borderId="74" xfId="0" applyNumberFormat="1" applyFont="1" applyBorder="1"/>
    <xf numFmtId="3" fontId="26" fillId="7" borderId="74" xfId="0" applyNumberFormat="1" applyFont="1" applyFill="1" applyBorder="1"/>
    <xf numFmtId="3" fontId="10" fillId="0" borderId="74" xfId="0" applyNumberFormat="1" applyFont="1" applyBorder="1"/>
    <xf numFmtId="3" fontId="7" fillId="0" borderId="76" xfId="0" applyNumberFormat="1" applyFont="1" applyBorder="1"/>
    <xf numFmtId="3" fontId="15" fillId="2" borderId="23" xfId="0" applyNumberFormat="1" applyFont="1" applyFill="1" applyBorder="1" applyAlignment="1">
      <alignment vertical="center"/>
    </xf>
    <xf numFmtId="3" fontId="17" fillId="5" borderId="23" xfId="0" applyNumberFormat="1" applyFont="1" applyFill="1" applyBorder="1" applyAlignment="1"/>
    <xf numFmtId="3" fontId="11" fillId="0" borderId="23" xfId="0" applyNumberFormat="1" applyFont="1" applyFill="1" applyBorder="1"/>
    <xf numFmtId="3" fontId="26" fillId="7" borderId="23" xfId="0" applyNumberFormat="1" applyFont="1" applyFill="1" applyBorder="1"/>
    <xf numFmtId="3" fontId="7" fillId="0" borderId="69" xfId="0" applyNumberFormat="1" applyFont="1" applyBorder="1"/>
    <xf numFmtId="3" fontId="7" fillId="13" borderId="48" xfId="0" applyNumberFormat="1" applyFont="1" applyFill="1" applyBorder="1"/>
    <xf numFmtId="3" fontId="7" fillId="0" borderId="16" xfId="0" applyNumberFormat="1" applyFont="1" applyBorder="1"/>
    <xf numFmtId="3" fontId="1" fillId="0" borderId="14" xfId="0" applyNumberFormat="1" applyFont="1" applyFill="1" applyBorder="1"/>
    <xf numFmtId="3" fontId="1" fillId="13" borderId="7" xfId="0" applyNumberFormat="1" applyFont="1" applyFill="1" applyBorder="1"/>
    <xf numFmtId="3" fontId="7" fillId="13" borderId="7" xfId="0" applyNumberFormat="1" applyFont="1" applyFill="1" applyBorder="1" applyAlignment="1">
      <alignment vertical="center"/>
    </xf>
    <xf numFmtId="3" fontId="7" fillId="13" borderId="15" xfId="0" applyNumberFormat="1" applyFont="1" applyFill="1" applyBorder="1" applyAlignment="1">
      <alignment vertical="center"/>
    </xf>
    <xf numFmtId="3" fontId="10" fillId="13" borderId="14" xfId="0" applyNumberFormat="1" applyFont="1" applyFill="1" applyBorder="1"/>
    <xf numFmtId="3" fontId="10" fillId="13" borderId="15" xfId="0" applyNumberFormat="1" applyFont="1" applyFill="1" applyBorder="1"/>
    <xf numFmtId="3" fontId="10" fillId="0" borderId="14" xfId="0" applyNumberFormat="1" applyFont="1" applyFill="1" applyBorder="1" applyAlignment="1">
      <alignment vertical="center"/>
    </xf>
    <xf numFmtId="3" fontId="10" fillId="0" borderId="15" xfId="0" applyNumberFormat="1" applyFont="1" applyFill="1" applyBorder="1" applyAlignment="1">
      <alignment vertical="center"/>
    </xf>
    <xf numFmtId="3" fontId="1" fillId="13" borderId="48" xfId="0" applyNumberFormat="1" applyFont="1" applyFill="1" applyBorder="1"/>
    <xf numFmtId="3" fontId="1" fillId="0" borderId="15" xfId="0" applyNumberFormat="1" applyFont="1" applyBorder="1"/>
    <xf numFmtId="3" fontId="1" fillId="0" borderId="17" xfId="0" applyNumberFormat="1" applyFont="1" applyBorder="1"/>
    <xf numFmtId="3" fontId="29" fillId="13" borderId="7" xfId="0" applyNumberFormat="1" applyFont="1" applyFill="1" applyBorder="1"/>
    <xf numFmtId="3" fontId="28" fillId="0" borderId="14" xfId="0" applyNumberFormat="1" applyFont="1" applyFill="1" applyBorder="1"/>
    <xf numFmtId="3" fontId="28" fillId="0" borderId="2" xfId="0" applyNumberFormat="1" applyFont="1" applyFill="1" applyBorder="1"/>
    <xf numFmtId="3" fontId="11" fillId="6" borderId="14" xfId="0" applyNumberFormat="1" applyFont="1" applyFill="1" applyBorder="1"/>
    <xf numFmtId="3" fontId="29" fillId="0" borderId="14" xfId="0" applyNumberFormat="1" applyFont="1" applyBorder="1"/>
    <xf numFmtId="3" fontId="11" fillId="0" borderId="16" xfId="0" applyNumberFormat="1" applyFont="1" applyFill="1" applyBorder="1"/>
    <xf numFmtId="3" fontId="11" fillId="13" borderId="48" xfId="0" applyNumberFormat="1" applyFont="1" applyFill="1" applyBorder="1"/>
    <xf numFmtId="3" fontId="29" fillId="0" borderId="23" xfId="0" applyNumberFormat="1" applyFont="1" applyBorder="1"/>
    <xf numFmtId="3" fontId="29" fillId="0" borderId="15" xfId="0" applyNumberFormat="1" applyFont="1" applyFill="1" applyBorder="1"/>
    <xf numFmtId="3" fontId="26" fillId="14" borderId="15" xfId="0" applyNumberFormat="1" applyFont="1" applyFill="1" applyBorder="1"/>
    <xf numFmtId="3" fontId="7" fillId="0" borderId="14" xfId="0" applyNumberFormat="1" applyFont="1" applyFill="1" applyBorder="1" applyAlignment="1">
      <alignment horizontal="right" vertical="center"/>
    </xf>
    <xf numFmtId="3" fontId="7" fillId="13" borderId="7" xfId="0" applyNumberFormat="1" applyFont="1" applyFill="1" applyBorder="1" applyAlignment="1">
      <alignment horizontal="right" vertical="center"/>
    </xf>
    <xf numFmtId="3" fontId="7" fillId="13" borderId="7" xfId="0" applyNumberFormat="1" applyFont="1" applyFill="1" applyBorder="1" applyAlignment="1">
      <alignment horizontal="center" vertical="center"/>
    </xf>
    <xf numFmtId="3" fontId="7" fillId="0" borderId="15" xfId="0" applyNumberFormat="1" applyFont="1" applyFill="1" applyBorder="1" applyAlignment="1">
      <alignment horizontal="center" vertical="center"/>
    </xf>
    <xf numFmtId="3" fontId="17" fillId="16" borderId="15" xfId="0" applyNumberFormat="1" applyFont="1" applyFill="1" applyBorder="1" applyAlignment="1"/>
    <xf numFmtId="3" fontId="10" fillId="0" borderId="25" xfId="0" applyNumberFormat="1" applyFont="1" applyBorder="1"/>
    <xf numFmtId="3" fontId="10" fillId="13" borderId="77" xfId="0" applyNumberFormat="1" applyFont="1" applyFill="1" applyBorder="1"/>
    <xf numFmtId="3" fontId="7" fillId="0" borderId="25" xfId="0" applyNumberFormat="1" applyFont="1" applyBorder="1"/>
    <xf numFmtId="3" fontId="7" fillId="13" borderId="77" xfId="0" applyNumberFormat="1" applyFont="1" applyFill="1" applyBorder="1"/>
    <xf numFmtId="3" fontId="46" fillId="13" borderId="77" xfId="0" applyNumberFormat="1" applyFont="1" applyFill="1" applyBorder="1"/>
    <xf numFmtId="3" fontId="46" fillId="13" borderId="48" xfId="0" applyNumberFormat="1" applyFont="1" applyFill="1" applyBorder="1"/>
    <xf numFmtId="0" fontId="10" fillId="0" borderId="1" xfId="0" applyFont="1" applyBorder="1" applyAlignment="1">
      <alignment vertical="center"/>
    </xf>
    <xf numFmtId="3" fontId="10" fillId="0" borderId="2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10" fillId="0" borderId="71" xfId="0" applyNumberFormat="1" applyFont="1" applyBorder="1" applyAlignment="1">
      <alignment vertical="center"/>
    </xf>
    <xf numFmtId="0" fontId="44" fillId="0" borderId="45" xfId="0" applyFont="1" applyBorder="1" applyAlignment="1">
      <alignment horizontal="center" vertical="center" wrapText="1"/>
    </xf>
    <xf numFmtId="3" fontId="49" fillId="19" borderId="60" xfId="0" applyNumberFormat="1" applyFont="1" applyFill="1" applyBorder="1" applyAlignment="1">
      <alignment horizontal="center" vertical="center" wrapText="1"/>
    </xf>
    <xf numFmtId="3" fontId="49" fillId="19" borderId="62" xfId="0" applyNumberFormat="1" applyFont="1" applyFill="1" applyBorder="1" applyAlignment="1">
      <alignment horizontal="center" vertical="center" wrapText="1"/>
    </xf>
    <xf numFmtId="3" fontId="49" fillId="19" borderId="63" xfId="0" applyNumberFormat="1" applyFont="1" applyFill="1" applyBorder="1" applyAlignment="1">
      <alignment horizontal="center" vertical="center" wrapText="1"/>
    </xf>
    <xf numFmtId="49" fontId="4" fillId="10" borderId="41" xfId="0" applyNumberFormat="1" applyFont="1" applyFill="1" applyBorder="1" applyAlignment="1">
      <alignment horizontal="center" vertical="center"/>
    </xf>
    <xf numFmtId="49" fontId="4" fillId="10" borderId="42" xfId="0" applyNumberFormat="1" applyFont="1" applyFill="1" applyBorder="1" applyAlignment="1">
      <alignment horizontal="center" vertical="center"/>
    </xf>
    <xf numFmtId="49" fontId="4" fillId="10" borderId="43" xfId="0" applyNumberFormat="1" applyFont="1" applyFill="1" applyBorder="1" applyAlignment="1">
      <alignment horizontal="center" vertical="center"/>
    </xf>
    <xf numFmtId="49" fontId="4" fillId="10" borderId="44" xfId="0" applyNumberFormat="1" applyFont="1" applyFill="1" applyBorder="1" applyAlignment="1">
      <alignment horizontal="center" vertical="center"/>
    </xf>
    <xf numFmtId="49" fontId="4" fillId="10" borderId="9" xfId="0" applyNumberFormat="1" applyFont="1" applyFill="1" applyBorder="1" applyAlignment="1">
      <alignment horizontal="center" vertical="center"/>
    </xf>
    <xf numFmtId="49" fontId="4" fillId="10" borderId="30" xfId="0" applyNumberFormat="1" applyFont="1" applyFill="1" applyBorder="1" applyAlignment="1">
      <alignment horizontal="center" vertical="center"/>
    </xf>
    <xf numFmtId="49" fontId="6" fillId="10" borderId="1" xfId="0" applyNumberFormat="1" applyFont="1" applyFill="1" applyBorder="1" applyAlignment="1">
      <alignment horizontal="center" vertical="center"/>
    </xf>
    <xf numFmtId="49" fontId="6" fillId="10" borderId="36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36" xfId="0" applyFont="1" applyFill="1" applyBorder="1" applyAlignment="1">
      <alignment horizontal="center" vertical="center"/>
    </xf>
    <xf numFmtId="0" fontId="5" fillId="10" borderId="25" xfId="0" applyFont="1" applyFill="1" applyBorder="1" applyAlignment="1">
      <alignment horizontal="center"/>
    </xf>
    <xf numFmtId="0" fontId="5" fillId="10" borderId="37" xfId="0" applyFont="1" applyFill="1" applyBorder="1" applyAlignment="1">
      <alignment horizontal="center"/>
    </xf>
    <xf numFmtId="49" fontId="6" fillId="10" borderId="1" xfId="0" applyNumberFormat="1" applyFont="1" applyFill="1" applyBorder="1" applyAlignment="1">
      <alignment horizontal="center" vertical="center" wrapText="1"/>
    </xf>
    <xf numFmtId="49" fontId="6" fillId="10" borderId="36" xfId="0" applyNumberFormat="1" applyFont="1" applyFill="1" applyBorder="1" applyAlignment="1">
      <alignment horizontal="center" vertical="center" wrapText="1"/>
    </xf>
    <xf numFmtId="3" fontId="49" fillId="19" borderId="49" xfId="0" applyNumberFormat="1" applyFont="1" applyFill="1" applyBorder="1" applyAlignment="1">
      <alignment horizontal="center" vertical="center" wrapText="1"/>
    </xf>
    <xf numFmtId="3" fontId="49" fillId="19" borderId="50" xfId="0" applyNumberFormat="1" applyFont="1" applyFill="1" applyBorder="1" applyAlignment="1">
      <alignment horizontal="center" vertical="center" wrapText="1"/>
    </xf>
    <xf numFmtId="3" fontId="49" fillId="19" borderId="36" xfId="0" applyNumberFormat="1" applyFont="1" applyFill="1" applyBorder="1" applyAlignment="1">
      <alignment horizontal="center" vertical="center" wrapText="1"/>
    </xf>
    <xf numFmtId="3" fontId="49" fillId="19" borderId="61" xfId="0" applyNumberFormat="1" applyFont="1" applyFill="1" applyBorder="1" applyAlignment="1">
      <alignment horizontal="center" vertical="center" wrapText="1"/>
    </xf>
    <xf numFmtId="3" fontId="49" fillId="19" borderId="33" xfId="0" applyNumberFormat="1" applyFont="1" applyFill="1" applyBorder="1" applyAlignment="1">
      <alignment horizontal="center" vertical="center" wrapText="1"/>
    </xf>
    <xf numFmtId="3" fontId="49" fillId="19" borderId="64" xfId="0" applyNumberFormat="1" applyFont="1" applyFill="1" applyBorder="1" applyAlignment="1">
      <alignment horizontal="center" vertical="center" wrapText="1"/>
    </xf>
    <xf numFmtId="0" fontId="17" fillId="5" borderId="5" xfId="0" applyFont="1" applyFill="1" applyBorder="1" applyAlignment="1"/>
    <xf numFmtId="0" fontId="0" fillId="0" borderId="7" xfId="0" applyBorder="1" applyAlignment="1"/>
    <xf numFmtId="0" fontId="0" fillId="0" borderId="3" xfId="0" applyBorder="1" applyAlignment="1"/>
    <xf numFmtId="0" fontId="17" fillId="5" borderId="24" xfId="0" applyFont="1" applyFill="1" applyBorder="1" applyAlignment="1"/>
    <xf numFmtId="0" fontId="0" fillId="0" borderId="48" xfId="0" applyBorder="1" applyAlignment="1"/>
    <xf numFmtId="0" fontId="0" fillId="0" borderId="18" xfId="0" applyBorder="1" applyAlignment="1"/>
    <xf numFmtId="0" fontId="16" fillId="3" borderId="2" xfId="0" applyFont="1" applyFill="1" applyBorder="1" applyAlignment="1"/>
    <xf numFmtId="0" fontId="0" fillId="0" borderId="2" xfId="0" applyBorder="1" applyAlignment="1"/>
    <xf numFmtId="49" fontId="12" fillId="12" borderId="10" xfId="0" applyNumberFormat="1" applyFont="1" applyFill="1" applyBorder="1" applyAlignment="1">
      <alignment horizontal="center" vertical="center"/>
    </xf>
    <xf numFmtId="49" fontId="12" fillId="12" borderId="47" xfId="0" applyNumberFormat="1" applyFont="1" applyFill="1" applyBorder="1" applyAlignment="1">
      <alignment horizontal="center" vertical="center"/>
    </xf>
    <xf numFmtId="49" fontId="12" fillId="12" borderId="1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0" fillId="0" borderId="0" xfId="0" applyAlignment="1"/>
    <xf numFmtId="3" fontId="18" fillId="19" borderId="19" xfId="0" applyNumberFormat="1" applyFont="1" applyFill="1" applyBorder="1" applyAlignment="1">
      <alignment horizontal="center" vertical="center" wrapText="1"/>
    </xf>
    <xf numFmtId="3" fontId="18" fillId="19" borderId="14" xfId="0" applyNumberFormat="1" applyFont="1" applyFill="1" applyBorder="1" applyAlignment="1">
      <alignment horizontal="center" vertical="center" wrapText="1"/>
    </xf>
    <xf numFmtId="3" fontId="18" fillId="19" borderId="73" xfId="0" applyNumberFormat="1" applyFont="1" applyFill="1" applyBorder="1" applyAlignment="1">
      <alignment horizontal="center" vertical="center" wrapText="1"/>
    </xf>
    <xf numFmtId="0" fontId="13" fillId="11" borderId="21" xfId="0" applyFont="1" applyFill="1" applyBorder="1" applyAlignment="1">
      <alignment horizontal="center" vertical="center" textRotation="180" wrapText="1"/>
    </xf>
    <xf numFmtId="0" fontId="13" fillId="11" borderId="2" xfId="0" applyFont="1" applyFill="1" applyBorder="1" applyAlignment="1">
      <alignment horizontal="center" vertical="center" textRotation="180" wrapText="1"/>
    </xf>
    <xf numFmtId="0" fontId="13" fillId="11" borderId="6" xfId="0" applyFont="1" applyFill="1" applyBorder="1" applyAlignment="1">
      <alignment horizontal="center" vertical="center" textRotation="180" wrapText="1"/>
    </xf>
    <xf numFmtId="3" fontId="51" fillId="19" borderId="50" xfId="0" applyNumberFormat="1" applyFont="1" applyFill="1" applyBorder="1" applyAlignment="1">
      <alignment horizontal="center" vertical="center" wrapText="1"/>
    </xf>
    <xf numFmtId="3" fontId="51" fillId="19" borderId="36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/>
    <xf numFmtId="0" fontId="27" fillId="11" borderId="46" xfId="0" applyFont="1" applyFill="1" applyBorder="1" applyAlignment="1">
      <alignment horizontal="center" vertical="center"/>
    </xf>
    <xf numFmtId="0" fontId="16" fillId="3" borderId="5" xfId="0" applyFont="1" applyFill="1" applyBorder="1" applyAlignment="1"/>
    <xf numFmtId="0" fontId="41" fillId="2" borderId="0" xfId="0" applyFont="1" applyFill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13" fillId="11" borderId="21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13" fillId="11" borderId="32" xfId="0" applyFont="1" applyFill="1" applyBorder="1" applyAlignment="1">
      <alignment horizontal="center" vertical="center"/>
    </xf>
    <xf numFmtId="3" fontId="51" fillId="19" borderId="52" xfId="0" applyNumberFormat="1" applyFont="1" applyFill="1" applyBorder="1" applyAlignment="1">
      <alignment horizontal="center" vertical="center" wrapText="1"/>
    </xf>
    <xf numFmtId="3" fontId="51" fillId="19" borderId="53" xfId="0" applyNumberFormat="1" applyFont="1" applyFill="1" applyBorder="1" applyAlignment="1">
      <alignment horizontal="center" vertical="center" wrapText="1"/>
    </xf>
    <xf numFmtId="3" fontId="51" fillId="19" borderId="37" xfId="0" applyNumberFormat="1" applyFont="1" applyFill="1" applyBorder="1" applyAlignment="1">
      <alignment horizontal="center" vertical="center" wrapText="1"/>
    </xf>
    <xf numFmtId="0" fontId="15" fillId="2" borderId="54" xfId="0" applyFont="1" applyFill="1" applyBorder="1" applyAlignment="1">
      <alignment vertical="center"/>
    </xf>
    <xf numFmtId="0" fontId="15" fillId="2" borderId="55" xfId="0" applyFont="1" applyFill="1" applyBorder="1" applyAlignment="1">
      <alignment vertical="center"/>
    </xf>
    <xf numFmtId="0" fontId="15" fillId="2" borderId="56" xfId="0" applyFont="1" applyFill="1" applyBorder="1" applyAlignment="1">
      <alignment vertical="center"/>
    </xf>
    <xf numFmtId="0" fontId="17" fillId="5" borderId="7" xfId="0" applyFont="1" applyFill="1" applyBorder="1" applyAlignment="1"/>
    <xf numFmtId="0" fontId="17" fillId="5" borderId="3" xfId="0" applyFont="1" applyFill="1" applyBorder="1" applyAlignment="1"/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3" fontId="18" fillId="19" borderId="12" xfId="0" applyNumberFormat="1" applyFont="1" applyFill="1" applyBorder="1" applyAlignment="1">
      <alignment horizontal="center" vertical="center" wrapText="1"/>
    </xf>
    <xf numFmtId="3" fontId="18" fillId="19" borderId="74" xfId="0" applyNumberFormat="1" applyFont="1" applyFill="1" applyBorder="1" applyAlignment="1">
      <alignment horizontal="center" vertical="center" wrapText="1"/>
    </xf>
    <xf numFmtId="3" fontId="18" fillId="19" borderId="75" xfId="0" applyNumberFormat="1" applyFont="1" applyFill="1" applyBorder="1" applyAlignment="1">
      <alignment horizontal="center" vertical="center" wrapText="1"/>
    </xf>
    <xf numFmtId="3" fontId="51" fillId="19" borderId="49" xfId="0" applyNumberFormat="1" applyFont="1" applyFill="1" applyBorder="1" applyAlignment="1">
      <alignment horizontal="center" vertical="center" wrapText="1"/>
    </xf>
    <xf numFmtId="3" fontId="50" fillId="19" borderId="49" xfId="0" applyNumberFormat="1" applyFont="1" applyFill="1" applyBorder="1" applyAlignment="1">
      <alignment horizontal="center" vertical="center" wrapText="1"/>
    </xf>
    <xf numFmtId="3" fontId="50" fillId="19" borderId="50" xfId="0" applyNumberFormat="1" applyFont="1" applyFill="1" applyBorder="1" applyAlignment="1">
      <alignment horizontal="center" vertical="center" wrapText="1"/>
    </xf>
    <xf numFmtId="3" fontId="50" fillId="19" borderId="36" xfId="0" applyNumberFormat="1" applyFont="1" applyFill="1" applyBorder="1" applyAlignment="1">
      <alignment horizontal="center" vertical="center" wrapText="1"/>
    </xf>
    <xf numFmtId="3" fontId="50" fillId="19" borderId="38" xfId="0" applyNumberFormat="1" applyFont="1" applyFill="1" applyBorder="1" applyAlignment="1">
      <alignment horizontal="center" vertical="center" wrapText="1"/>
    </xf>
    <xf numFmtId="3" fontId="50" fillId="19" borderId="39" xfId="0" applyNumberFormat="1" applyFont="1" applyFill="1" applyBorder="1" applyAlignment="1">
      <alignment horizontal="center" vertical="center" wrapText="1"/>
    </xf>
    <xf numFmtId="3" fontId="50" fillId="19" borderId="40" xfId="0" applyNumberFormat="1" applyFont="1" applyFill="1" applyBorder="1" applyAlignment="1">
      <alignment horizontal="center" vertical="center" wrapText="1"/>
    </xf>
    <xf numFmtId="3" fontId="52" fillId="19" borderId="49" xfId="0" applyNumberFormat="1" applyFont="1" applyFill="1" applyBorder="1" applyAlignment="1">
      <alignment horizontal="center" vertical="center" wrapText="1"/>
    </xf>
    <xf numFmtId="3" fontId="52" fillId="19" borderId="50" xfId="0" applyNumberFormat="1" applyFont="1" applyFill="1" applyBorder="1" applyAlignment="1">
      <alignment horizontal="center" vertical="center" wrapText="1"/>
    </xf>
    <xf numFmtId="3" fontId="52" fillId="19" borderId="36" xfId="0" applyNumberFormat="1" applyFont="1" applyFill="1" applyBorder="1" applyAlignment="1">
      <alignment horizontal="center" vertical="center" wrapText="1"/>
    </xf>
    <xf numFmtId="3" fontId="50" fillId="19" borderId="61" xfId="0" applyNumberFormat="1" applyFont="1" applyFill="1" applyBorder="1" applyAlignment="1">
      <alignment horizontal="center" vertical="center" wrapText="1"/>
    </xf>
    <xf numFmtId="3" fontId="50" fillId="19" borderId="33" xfId="0" applyNumberFormat="1" applyFont="1" applyFill="1" applyBorder="1" applyAlignment="1">
      <alignment horizontal="center" vertical="center" wrapText="1"/>
    </xf>
    <xf numFmtId="3" fontId="50" fillId="19" borderId="64" xfId="0" applyNumberFormat="1" applyFont="1" applyFill="1" applyBorder="1" applyAlignment="1">
      <alignment horizontal="center" vertical="center" wrapText="1"/>
    </xf>
    <xf numFmtId="0" fontId="43" fillId="13" borderId="0" xfId="0" applyFont="1" applyFill="1" applyBorder="1" applyAlignment="1">
      <alignment horizontal="center" vertical="center" wrapText="1"/>
    </xf>
    <xf numFmtId="0" fontId="47" fillId="13" borderId="0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/>
    <xf numFmtId="3" fontId="25" fillId="2" borderId="57" xfId="0" applyNumberFormat="1" applyFont="1" applyFill="1" applyBorder="1" applyAlignment="1"/>
    <xf numFmtId="0" fontId="0" fillId="0" borderId="58" xfId="0" applyBorder="1" applyAlignment="1"/>
    <xf numFmtId="0" fontId="0" fillId="18" borderId="46" xfId="0" applyFill="1" applyBorder="1" applyAlignment="1">
      <alignment horizontal="center"/>
    </xf>
    <xf numFmtId="0" fontId="0" fillId="18" borderId="65" xfId="0" applyFill="1" applyBorder="1" applyAlignment="1">
      <alignment horizontal="center"/>
    </xf>
    <xf numFmtId="0" fontId="15" fillId="9" borderId="5" xfId="0" applyFont="1" applyFill="1" applyBorder="1" applyAlignment="1"/>
    <xf numFmtId="0" fontId="15" fillId="9" borderId="8" xfId="0" applyFont="1" applyFill="1" applyBorder="1" applyAlignment="1"/>
    <xf numFmtId="0" fontId="0" fillId="0" borderId="9" xfId="0" applyBorder="1" applyAlignment="1"/>
    <xf numFmtId="0" fontId="23" fillId="6" borderId="10" xfId="0" applyFont="1" applyFill="1" applyBorder="1" applyAlignment="1">
      <alignment horizontal="center"/>
    </xf>
    <xf numFmtId="0" fontId="23" fillId="6" borderId="47" xfId="0" applyFont="1" applyFill="1" applyBorder="1" applyAlignment="1">
      <alignment horizontal="center"/>
    </xf>
    <xf numFmtId="0" fontId="23" fillId="6" borderId="11" xfId="0" applyFont="1" applyFill="1" applyBorder="1" applyAlignment="1">
      <alignment horizontal="center"/>
    </xf>
  </cellXfs>
  <cellStyles count="14">
    <cellStyle name="Excel Built-in Normal" xfId="1"/>
    <cellStyle name="Normálne" xfId="0" builtinId="0"/>
    <cellStyle name="Normálne 10" xfId="2"/>
    <cellStyle name="Normálne 11" xfId="3"/>
    <cellStyle name="normálne 2" xfId="4"/>
    <cellStyle name="normálne 2 2" xfId="5"/>
    <cellStyle name="normálne 2 3" xfId="6"/>
    <cellStyle name="Normálne 3" xfId="7"/>
    <cellStyle name="Normálne 4" xfId="8"/>
    <cellStyle name="Normálne 5" xfId="9"/>
    <cellStyle name="Normálne 6" xfId="10"/>
    <cellStyle name="Normálne 7" xfId="11"/>
    <cellStyle name="Normálne 8" xfId="12"/>
    <cellStyle name="Normálne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J512"/>
  <sheetViews>
    <sheetView tabSelected="1" zoomScaleNormal="100" workbookViewId="0"/>
  </sheetViews>
  <sheetFormatPr defaultRowHeight="12.75" x14ac:dyDescent="0.2"/>
  <cols>
    <col min="1" max="1" width="7.28515625" customWidth="1"/>
    <col min="2" max="2" width="3.42578125" style="15" customWidth="1"/>
    <col min="3" max="3" width="4.85546875" customWidth="1"/>
    <col min="4" max="4" width="4.140625" customWidth="1"/>
    <col min="5" max="5" width="6.140625" customWidth="1"/>
    <col min="6" max="6" width="50.5703125" customWidth="1"/>
    <col min="7" max="7" width="13.28515625" style="17" customWidth="1"/>
    <col min="8" max="8" width="10.140625" customWidth="1"/>
    <col min="9" max="9" width="12.7109375" customWidth="1"/>
  </cols>
  <sheetData>
    <row r="1" spans="2:9" ht="45.75" customHeight="1" thickBot="1" x14ac:dyDescent="0.25">
      <c r="B1" s="420" t="s">
        <v>676</v>
      </c>
      <c r="C1" s="420"/>
      <c r="D1" s="420"/>
      <c r="E1" s="420"/>
      <c r="F1" s="420"/>
      <c r="G1" s="420"/>
      <c r="H1" s="420"/>
      <c r="I1" s="420"/>
    </row>
    <row r="2" spans="2:9" ht="12.75" customHeight="1" x14ac:dyDescent="0.2">
      <c r="B2" s="424"/>
      <c r="C2" s="425"/>
      <c r="D2" s="425"/>
      <c r="E2" s="425"/>
      <c r="F2" s="426"/>
      <c r="G2" s="421" t="s">
        <v>665</v>
      </c>
      <c r="H2" s="438" t="s">
        <v>666</v>
      </c>
      <c r="I2" s="441" t="s">
        <v>665</v>
      </c>
    </row>
    <row r="3" spans="2:9" x14ac:dyDescent="0.2">
      <c r="B3" s="427"/>
      <c r="C3" s="428"/>
      <c r="D3" s="428"/>
      <c r="E3" s="428"/>
      <c r="F3" s="429"/>
      <c r="G3" s="422"/>
      <c r="H3" s="439"/>
      <c r="I3" s="442"/>
    </row>
    <row r="4" spans="2:9" x14ac:dyDescent="0.2">
      <c r="B4" s="434" t="s">
        <v>119</v>
      </c>
      <c r="C4" s="436" t="s">
        <v>120</v>
      </c>
      <c r="D4" s="430" t="s">
        <v>121</v>
      </c>
      <c r="E4" s="430" t="s">
        <v>123</v>
      </c>
      <c r="F4" s="432" t="s">
        <v>122</v>
      </c>
      <c r="G4" s="422"/>
      <c r="H4" s="439"/>
      <c r="I4" s="442"/>
    </row>
    <row r="5" spans="2:9" ht="7.5" customHeight="1" thickBot="1" x14ac:dyDescent="0.25">
      <c r="B5" s="435"/>
      <c r="C5" s="437"/>
      <c r="D5" s="431"/>
      <c r="E5" s="431"/>
      <c r="F5" s="433"/>
      <c r="G5" s="423"/>
      <c r="H5" s="440"/>
      <c r="I5" s="443"/>
    </row>
    <row r="6" spans="2:9" ht="17.25" thickTop="1" thickBot="1" x14ac:dyDescent="0.3">
      <c r="B6" s="120">
        <v>1</v>
      </c>
      <c r="C6" s="64">
        <v>100</v>
      </c>
      <c r="D6" s="64"/>
      <c r="E6" s="64"/>
      <c r="F6" s="8" t="s">
        <v>270</v>
      </c>
      <c r="G6" s="298">
        <f>G7</f>
        <v>28576671</v>
      </c>
      <c r="H6" s="318">
        <f t="shared" ref="H6" si="0">H7</f>
        <v>0</v>
      </c>
      <c r="I6" s="121">
        <f>G6+H6</f>
        <v>28576671</v>
      </c>
    </row>
    <row r="7" spans="2:9" ht="18" customHeight="1" thickBot="1" x14ac:dyDescent="0.3">
      <c r="B7" s="120">
        <f>B6+1</f>
        <v>2</v>
      </c>
      <c r="C7" s="65"/>
      <c r="D7" s="65"/>
      <c r="E7" s="65"/>
      <c r="F7" s="9" t="s">
        <v>43</v>
      </c>
      <c r="G7" s="299">
        <f>G16+G11+G8</f>
        <v>28576671</v>
      </c>
      <c r="H7" s="319">
        <f t="shared" ref="H7" si="1">H16+H11+H8</f>
        <v>0</v>
      </c>
      <c r="I7" s="307">
        <f t="shared" ref="I7:I73" si="2">G7+H7</f>
        <v>28576671</v>
      </c>
    </row>
    <row r="8" spans="2:9" x14ac:dyDescent="0.2">
      <c r="B8" s="120">
        <f>B7+1</f>
        <v>3</v>
      </c>
      <c r="C8" s="66">
        <v>110</v>
      </c>
      <c r="D8" s="66"/>
      <c r="E8" s="66"/>
      <c r="F8" s="5" t="s">
        <v>271</v>
      </c>
      <c r="G8" s="206">
        <f>G9</f>
        <v>20437671</v>
      </c>
      <c r="H8" s="294">
        <f t="shared" ref="H8:H9" si="3">H9</f>
        <v>0</v>
      </c>
      <c r="I8" s="308">
        <f t="shared" si="2"/>
        <v>20437671</v>
      </c>
    </row>
    <row r="9" spans="2:9" ht="14.25" customHeight="1" x14ac:dyDescent="0.2">
      <c r="B9" s="120">
        <f t="shared" ref="B9:B72" si="4">B8+1</f>
        <v>4</v>
      </c>
      <c r="C9" s="67"/>
      <c r="D9" s="67">
        <v>111</v>
      </c>
      <c r="E9" s="67"/>
      <c r="F9" s="2" t="s">
        <v>272</v>
      </c>
      <c r="G9" s="207">
        <f>G10</f>
        <v>20437671</v>
      </c>
      <c r="H9" s="18">
        <f t="shared" si="3"/>
        <v>0</v>
      </c>
      <c r="I9" s="309">
        <f t="shared" si="2"/>
        <v>20437671</v>
      </c>
    </row>
    <row r="10" spans="2:9" x14ac:dyDescent="0.2">
      <c r="B10" s="120">
        <f t="shared" si="4"/>
        <v>5</v>
      </c>
      <c r="C10" s="68"/>
      <c r="D10" s="68"/>
      <c r="E10" s="68">
        <v>111003</v>
      </c>
      <c r="F10" s="3" t="s">
        <v>269</v>
      </c>
      <c r="G10" s="251">
        <f>19600000+175010+37840+624821</f>
        <v>20437671</v>
      </c>
      <c r="H10" s="63"/>
      <c r="I10" s="310">
        <f t="shared" si="2"/>
        <v>20437671</v>
      </c>
    </row>
    <row r="11" spans="2:9" x14ac:dyDescent="0.2">
      <c r="B11" s="120">
        <f t="shared" si="4"/>
        <v>6</v>
      </c>
      <c r="C11" s="66">
        <v>120</v>
      </c>
      <c r="D11" s="66"/>
      <c r="E11" s="66"/>
      <c r="F11" s="5" t="s">
        <v>274</v>
      </c>
      <c r="G11" s="206">
        <f>G12</f>
        <v>5590000</v>
      </c>
      <c r="H11" s="294">
        <f t="shared" ref="H11" si="5">H12</f>
        <v>0</v>
      </c>
      <c r="I11" s="308">
        <f t="shared" si="2"/>
        <v>5590000</v>
      </c>
    </row>
    <row r="12" spans="2:9" x14ac:dyDescent="0.2">
      <c r="B12" s="120">
        <f t="shared" si="4"/>
        <v>7</v>
      </c>
      <c r="C12" s="67"/>
      <c r="D12" s="67">
        <v>121</v>
      </c>
      <c r="E12" s="67"/>
      <c r="F12" s="2" t="s">
        <v>275</v>
      </c>
      <c r="G12" s="207">
        <f>G15+G14+G13</f>
        <v>5590000</v>
      </c>
      <c r="H12" s="18">
        <f t="shared" ref="H12" si="6">H15+H14+H13</f>
        <v>0</v>
      </c>
      <c r="I12" s="309">
        <f t="shared" si="2"/>
        <v>5590000</v>
      </c>
    </row>
    <row r="13" spans="2:9" x14ac:dyDescent="0.2">
      <c r="B13" s="120">
        <f t="shared" si="4"/>
        <v>8</v>
      </c>
      <c r="C13" s="68"/>
      <c r="D13" s="68"/>
      <c r="E13" s="68">
        <v>121001</v>
      </c>
      <c r="F13" s="3" t="s">
        <v>273</v>
      </c>
      <c r="G13" s="208">
        <v>575000</v>
      </c>
      <c r="H13" s="19"/>
      <c r="I13" s="297">
        <f t="shared" si="2"/>
        <v>575000</v>
      </c>
    </row>
    <row r="14" spans="2:9" x14ac:dyDescent="0.2">
      <c r="B14" s="120">
        <f t="shared" si="4"/>
        <v>9</v>
      </c>
      <c r="C14" s="68"/>
      <c r="D14" s="68"/>
      <c r="E14" s="68">
        <v>121002</v>
      </c>
      <c r="F14" s="3" t="s">
        <v>276</v>
      </c>
      <c r="G14" s="208">
        <v>4625000</v>
      </c>
      <c r="H14" s="19"/>
      <c r="I14" s="297">
        <f t="shared" si="2"/>
        <v>4625000</v>
      </c>
    </row>
    <row r="15" spans="2:9" x14ac:dyDescent="0.2">
      <c r="B15" s="120">
        <f t="shared" si="4"/>
        <v>10</v>
      </c>
      <c r="C15" s="68"/>
      <c r="D15" s="68"/>
      <c r="E15" s="68">
        <v>121003</v>
      </c>
      <c r="F15" s="3" t="s">
        <v>277</v>
      </c>
      <c r="G15" s="208">
        <v>390000</v>
      </c>
      <c r="H15" s="19"/>
      <c r="I15" s="297">
        <f t="shared" si="2"/>
        <v>390000</v>
      </c>
    </row>
    <row r="16" spans="2:9" x14ac:dyDescent="0.2">
      <c r="B16" s="120">
        <f t="shared" si="4"/>
        <v>11</v>
      </c>
      <c r="C16" s="66">
        <v>130</v>
      </c>
      <c r="D16" s="66"/>
      <c r="E16" s="66"/>
      <c r="F16" s="5" t="s">
        <v>279</v>
      </c>
      <c r="G16" s="206">
        <f>G17</f>
        <v>2549000</v>
      </c>
      <c r="H16" s="294">
        <f t="shared" ref="H16" si="7">H17</f>
        <v>0</v>
      </c>
      <c r="I16" s="308">
        <f t="shared" si="2"/>
        <v>2549000</v>
      </c>
    </row>
    <row r="17" spans="2:9" x14ac:dyDescent="0.2">
      <c r="B17" s="120">
        <f t="shared" si="4"/>
        <v>12</v>
      </c>
      <c r="C17" s="67"/>
      <c r="D17" s="67">
        <v>133</v>
      </c>
      <c r="E17" s="67"/>
      <c r="F17" s="2" t="s">
        <v>280</v>
      </c>
      <c r="G17" s="207">
        <f>G21+G20+G19+G18</f>
        <v>2549000</v>
      </c>
      <c r="H17" s="18">
        <f t="shared" ref="H17" si="8">H21+H20+H19+H18</f>
        <v>0</v>
      </c>
      <c r="I17" s="309">
        <f t="shared" si="2"/>
        <v>2549000</v>
      </c>
    </row>
    <row r="18" spans="2:9" x14ac:dyDescent="0.2">
      <c r="B18" s="120">
        <f t="shared" si="4"/>
        <v>13</v>
      </c>
      <c r="C18" s="68"/>
      <c r="D18" s="68"/>
      <c r="E18" s="68">
        <v>133001</v>
      </c>
      <c r="F18" s="3" t="s">
        <v>278</v>
      </c>
      <c r="G18" s="208">
        <v>53000</v>
      </c>
      <c r="H18" s="19"/>
      <c r="I18" s="297">
        <f t="shared" si="2"/>
        <v>53000</v>
      </c>
    </row>
    <row r="19" spans="2:9" x14ac:dyDescent="0.2">
      <c r="B19" s="120">
        <f t="shared" si="4"/>
        <v>14</v>
      </c>
      <c r="C19" s="68"/>
      <c r="D19" s="68"/>
      <c r="E19" s="68">
        <v>133006</v>
      </c>
      <c r="F19" s="3" t="s">
        <v>281</v>
      </c>
      <c r="G19" s="208">
        <v>86000</v>
      </c>
      <c r="H19" s="19"/>
      <c r="I19" s="297">
        <f t="shared" si="2"/>
        <v>86000</v>
      </c>
    </row>
    <row r="20" spans="2:9" x14ac:dyDescent="0.2">
      <c r="B20" s="120">
        <f t="shared" si="4"/>
        <v>15</v>
      </c>
      <c r="C20" s="68"/>
      <c r="D20" s="68"/>
      <c r="E20" s="68">
        <v>133012</v>
      </c>
      <c r="F20" s="3" t="s">
        <v>282</v>
      </c>
      <c r="G20" s="208">
        <v>60000</v>
      </c>
      <c r="H20" s="19"/>
      <c r="I20" s="297">
        <f t="shared" si="2"/>
        <v>60000</v>
      </c>
    </row>
    <row r="21" spans="2:9" x14ac:dyDescent="0.2">
      <c r="B21" s="120">
        <f t="shared" si="4"/>
        <v>16</v>
      </c>
      <c r="C21" s="68"/>
      <c r="D21" s="68"/>
      <c r="E21" s="68">
        <v>133013</v>
      </c>
      <c r="F21" s="3" t="s">
        <v>283</v>
      </c>
      <c r="G21" s="208">
        <v>2350000</v>
      </c>
      <c r="H21" s="19"/>
      <c r="I21" s="297">
        <f t="shared" si="2"/>
        <v>2350000</v>
      </c>
    </row>
    <row r="22" spans="2:9" ht="16.5" thickBot="1" x14ac:dyDescent="0.3">
      <c r="B22" s="120">
        <f t="shared" si="4"/>
        <v>17</v>
      </c>
      <c r="C22" s="64">
        <v>200</v>
      </c>
      <c r="D22" s="64"/>
      <c r="E22" s="64"/>
      <c r="F22" s="8" t="s">
        <v>173</v>
      </c>
      <c r="G22" s="298">
        <f>G391+G379+G368+G353+G341+G329+G316+G304+G288+G220+G126+G122+G56+G49+G23</f>
        <v>4916639</v>
      </c>
      <c r="H22" s="320">
        <f t="shared" ref="H22" si="9">H391+H379+H368+H353+H341+H329+H316+H304+H288+H220+H126+H122+H56+H49+H23</f>
        <v>62405</v>
      </c>
      <c r="I22" s="121">
        <f t="shared" si="2"/>
        <v>4979044</v>
      </c>
    </row>
    <row r="23" spans="2:9" ht="15.75" thickBot="1" x14ac:dyDescent="0.3">
      <c r="B23" s="120">
        <f t="shared" si="4"/>
        <v>18</v>
      </c>
      <c r="C23" s="65"/>
      <c r="D23" s="65"/>
      <c r="E23" s="65"/>
      <c r="F23" s="9" t="s">
        <v>43</v>
      </c>
      <c r="G23" s="299">
        <f>G43+G40+G28+G24</f>
        <v>2167900</v>
      </c>
      <c r="H23" s="319">
        <f t="shared" ref="H23" si="10">H43+H40+H28+H24</f>
        <v>0</v>
      </c>
      <c r="I23" s="307">
        <f t="shared" si="2"/>
        <v>2167900</v>
      </c>
    </row>
    <row r="24" spans="2:9" x14ac:dyDescent="0.2">
      <c r="B24" s="120">
        <f t="shared" si="4"/>
        <v>19</v>
      </c>
      <c r="C24" s="66">
        <v>210</v>
      </c>
      <c r="D24" s="66"/>
      <c r="E24" s="66"/>
      <c r="F24" s="5" t="s">
        <v>250</v>
      </c>
      <c r="G24" s="206">
        <f>G25</f>
        <v>494950</v>
      </c>
      <c r="H24" s="294">
        <f t="shared" ref="H24" si="11">H25</f>
        <v>0</v>
      </c>
      <c r="I24" s="308">
        <f t="shared" si="2"/>
        <v>494950</v>
      </c>
    </row>
    <row r="25" spans="2:9" x14ac:dyDescent="0.2">
      <c r="B25" s="120">
        <f t="shared" si="4"/>
        <v>20</v>
      </c>
      <c r="C25" s="67"/>
      <c r="D25" s="67">
        <v>212</v>
      </c>
      <c r="E25" s="67"/>
      <c r="F25" s="2" t="s">
        <v>251</v>
      </c>
      <c r="G25" s="207">
        <f>G26+G27</f>
        <v>494950</v>
      </c>
      <c r="H25" s="18">
        <f t="shared" ref="H25" si="12">H26+H27</f>
        <v>0</v>
      </c>
      <c r="I25" s="309">
        <f t="shared" si="2"/>
        <v>494950</v>
      </c>
    </row>
    <row r="26" spans="2:9" x14ac:dyDescent="0.2">
      <c r="B26" s="120">
        <f t="shared" si="4"/>
        <v>21</v>
      </c>
      <c r="C26" s="68"/>
      <c r="D26" s="68"/>
      <c r="E26" s="68">
        <v>212002</v>
      </c>
      <c r="F26" s="3" t="s">
        <v>284</v>
      </c>
      <c r="G26" s="208">
        <v>65000</v>
      </c>
      <c r="H26" s="19"/>
      <c r="I26" s="297">
        <f t="shared" si="2"/>
        <v>65000</v>
      </c>
    </row>
    <row r="27" spans="2:9" x14ac:dyDescent="0.2">
      <c r="B27" s="120">
        <f t="shared" si="4"/>
        <v>22</v>
      </c>
      <c r="C27" s="68"/>
      <c r="D27" s="68"/>
      <c r="E27" s="68">
        <v>212003</v>
      </c>
      <c r="F27" s="3" t="s">
        <v>252</v>
      </c>
      <c r="G27" s="208">
        <f>390000+14800+20000+150+5000</f>
        <v>429950</v>
      </c>
      <c r="H27" s="19"/>
      <c r="I27" s="297">
        <f t="shared" si="2"/>
        <v>429950</v>
      </c>
    </row>
    <row r="28" spans="2:9" x14ac:dyDescent="0.2">
      <c r="B28" s="120">
        <f t="shared" si="4"/>
        <v>23</v>
      </c>
      <c r="C28" s="66">
        <v>220</v>
      </c>
      <c r="D28" s="66"/>
      <c r="E28" s="66"/>
      <c r="F28" s="5" t="s">
        <v>225</v>
      </c>
      <c r="G28" s="206">
        <f>G38+G34+G32+G29</f>
        <v>1207750</v>
      </c>
      <c r="H28" s="294">
        <f t="shared" ref="H28" si="13">H38+H34+H32+H29</f>
        <v>0</v>
      </c>
      <c r="I28" s="308">
        <f t="shared" si="2"/>
        <v>1207750</v>
      </c>
    </row>
    <row r="29" spans="2:9" x14ac:dyDescent="0.2">
      <c r="B29" s="120">
        <f t="shared" si="4"/>
        <v>24</v>
      </c>
      <c r="C29" s="67"/>
      <c r="D29" s="67">
        <v>221</v>
      </c>
      <c r="E29" s="67"/>
      <c r="F29" s="2" t="s">
        <v>226</v>
      </c>
      <c r="G29" s="207">
        <f>G31+G30</f>
        <v>265000</v>
      </c>
      <c r="H29" s="18">
        <f t="shared" ref="H29" si="14">H31+H30</f>
        <v>0</v>
      </c>
      <c r="I29" s="309">
        <f t="shared" si="2"/>
        <v>265000</v>
      </c>
    </row>
    <row r="30" spans="2:9" x14ac:dyDescent="0.2">
      <c r="B30" s="120">
        <f t="shared" si="4"/>
        <v>25</v>
      </c>
      <c r="C30" s="68"/>
      <c r="D30" s="68"/>
      <c r="E30" s="68">
        <v>221004</v>
      </c>
      <c r="F30" s="3" t="s">
        <v>227</v>
      </c>
      <c r="G30" s="208">
        <v>150000</v>
      </c>
      <c r="H30" s="19"/>
      <c r="I30" s="297">
        <f t="shared" si="2"/>
        <v>150000</v>
      </c>
    </row>
    <row r="31" spans="2:9" x14ac:dyDescent="0.2">
      <c r="B31" s="120">
        <f t="shared" si="4"/>
        <v>26</v>
      </c>
      <c r="C31" s="68"/>
      <c r="D31" s="68"/>
      <c r="E31" s="68">
        <v>221005</v>
      </c>
      <c r="F31" s="3" t="s">
        <v>62</v>
      </c>
      <c r="G31" s="208">
        <v>115000</v>
      </c>
      <c r="H31" s="19"/>
      <c r="I31" s="297">
        <f t="shared" si="2"/>
        <v>115000</v>
      </c>
    </row>
    <row r="32" spans="2:9" x14ac:dyDescent="0.2">
      <c r="B32" s="120">
        <f t="shared" si="4"/>
        <v>27</v>
      </c>
      <c r="C32" s="67"/>
      <c r="D32" s="67">
        <v>222</v>
      </c>
      <c r="E32" s="67"/>
      <c r="F32" s="2" t="s">
        <v>61</v>
      </c>
      <c r="G32" s="207">
        <f>G33</f>
        <v>100000</v>
      </c>
      <c r="H32" s="18">
        <f t="shared" ref="H32" si="15">H33</f>
        <v>0</v>
      </c>
      <c r="I32" s="309">
        <f t="shared" si="2"/>
        <v>100000</v>
      </c>
    </row>
    <row r="33" spans="2:9" x14ac:dyDescent="0.2">
      <c r="B33" s="120">
        <f t="shared" si="4"/>
        <v>28</v>
      </c>
      <c r="C33" s="68"/>
      <c r="D33" s="68"/>
      <c r="E33" s="68">
        <v>222003</v>
      </c>
      <c r="F33" s="3" t="s">
        <v>60</v>
      </c>
      <c r="G33" s="208">
        <v>100000</v>
      </c>
      <c r="H33" s="19"/>
      <c r="I33" s="297">
        <f t="shared" si="2"/>
        <v>100000</v>
      </c>
    </row>
    <row r="34" spans="2:9" x14ac:dyDescent="0.2">
      <c r="B34" s="120">
        <f t="shared" si="4"/>
        <v>29</v>
      </c>
      <c r="C34" s="67"/>
      <c r="D34" s="67">
        <v>223</v>
      </c>
      <c r="E34" s="67"/>
      <c r="F34" s="2" t="s">
        <v>254</v>
      </c>
      <c r="G34" s="207">
        <f>G35+G36+G37</f>
        <v>842300</v>
      </c>
      <c r="H34" s="18">
        <f t="shared" ref="H34" si="16">H35+H36+H37</f>
        <v>0</v>
      </c>
      <c r="I34" s="309">
        <f t="shared" si="2"/>
        <v>842300</v>
      </c>
    </row>
    <row r="35" spans="2:9" x14ac:dyDescent="0.2">
      <c r="B35" s="120">
        <f t="shared" si="4"/>
        <v>30</v>
      </c>
      <c r="C35" s="68"/>
      <c r="D35" s="68"/>
      <c r="E35" s="68">
        <v>223001</v>
      </c>
      <c r="F35" s="3" t="s">
        <v>255</v>
      </c>
      <c r="G35" s="208">
        <f>100000+2000+1000+8500+1500+1500+45000+1000+4500+1000</f>
        <v>166000</v>
      </c>
      <c r="H35" s="19"/>
      <c r="I35" s="297">
        <f t="shared" si="2"/>
        <v>166000</v>
      </c>
    </row>
    <row r="36" spans="2:9" x14ac:dyDescent="0.2">
      <c r="B36" s="120">
        <f t="shared" si="4"/>
        <v>31</v>
      </c>
      <c r="C36" s="68"/>
      <c r="D36" s="68"/>
      <c r="E36" s="68">
        <v>223001</v>
      </c>
      <c r="F36" s="3" t="s">
        <v>361</v>
      </c>
      <c r="G36" s="208">
        <f>800000-150000</f>
        <v>650000</v>
      </c>
      <c r="H36" s="19"/>
      <c r="I36" s="297">
        <f t="shared" si="2"/>
        <v>650000</v>
      </c>
    </row>
    <row r="37" spans="2:9" x14ac:dyDescent="0.2">
      <c r="B37" s="120">
        <f t="shared" si="4"/>
        <v>32</v>
      </c>
      <c r="C37" s="68"/>
      <c r="D37" s="68"/>
      <c r="E37" s="132">
        <v>223</v>
      </c>
      <c r="F37" s="3" t="s">
        <v>435</v>
      </c>
      <c r="G37" s="208">
        <v>26300</v>
      </c>
      <c r="H37" s="19"/>
      <c r="I37" s="297">
        <f t="shared" si="2"/>
        <v>26300</v>
      </c>
    </row>
    <row r="38" spans="2:9" x14ac:dyDescent="0.2">
      <c r="B38" s="120">
        <f t="shared" si="4"/>
        <v>33</v>
      </c>
      <c r="C38" s="67"/>
      <c r="D38" s="67">
        <v>229</v>
      </c>
      <c r="E38" s="67"/>
      <c r="F38" s="2" t="s">
        <v>266</v>
      </c>
      <c r="G38" s="207">
        <f>G39</f>
        <v>450</v>
      </c>
      <c r="H38" s="18">
        <f t="shared" ref="H38" si="17">H39</f>
        <v>0</v>
      </c>
      <c r="I38" s="309">
        <f t="shared" si="2"/>
        <v>450</v>
      </c>
    </row>
    <row r="39" spans="2:9" x14ac:dyDescent="0.2">
      <c r="B39" s="120">
        <f t="shared" si="4"/>
        <v>34</v>
      </c>
      <c r="C39" s="68"/>
      <c r="D39" s="68"/>
      <c r="E39" s="68">
        <v>229005</v>
      </c>
      <c r="F39" s="3" t="s">
        <v>267</v>
      </c>
      <c r="G39" s="208">
        <v>450</v>
      </c>
      <c r="H39" s="19"/>
      <c r="I39" s="297">
        <f t="shared" si="2"/>
        <v>450</v>
      </c>
    </row>
    <row r="40" spans="2:9" x14ac:dyDescent="0.2">
      <c r="B40" s="120">
        <f t="shared" si="4"/>
        <v>35</v>
      </c>
      <c r="C40" s="66">
        <v>240</v>
      </c>
      <c r="D40" s="66"/>
      <c r="E40" s="66"/>
      <c r="F40" s="5" t="s">
        <v>178</v>
      </c>
      <c r="G40" s="206">
        <f>G41</f>
        <v>4000</v>
      </c>
      <c r="H40" s="294">
        <f t="shared" ref="H40:H41" si="18">H41</f>
        <v>0</v>
      </c>
      <c r="I40" s="308">
        <f t="shared" si="2"/>
        <v>4000</v>
      </c>
    </row>
    <row r="41" spans="2:9" x14ac:dyDescent="0.2">
      <c r="B41" s="120">
        <f t="shared" si="4"/>
        <v>36</v>
      </c>
      <c r="C41" s="67"/>
      <c r="D41" s="67">
        <v>242</v>
      </c>
      <c r="E41" s="67"/>
      <c r="F41" s="2" t="s">
        <v>177</v>
      </c>
      <c r="G41" s="207">
        <f>G42</f>
        <v>4000</v>
      </c>
      <c r="H41" s="18">
        <f t="shared" si="18"/>
        <v>0</v>
      </c>
      <c r="I41" s="309">
        <f t="shared" si="2"/>
        <v>4000</v>
      </c>
    </row>
    <row r="42" spans="2:9" x14ac:dyDescent="0.2">
      <c r="B42" s="120">
        <f t="shared" si="4"/>
        <v>37</v>
      </c>
      <c r="C42" s="68"/>
      <c r="D42" s="68"/>
      <c r="E42" s="68">
        <v>242</v>
      </c>
      <c r="F42" s="3" t="s">
        <v>177</v>
      </c>
      <c r="G42" s="208">
        <v>4000</v>
      </c>
      <c r="H42" s="19"/>
      <c r="I42" s="297">
        <f t="shared" si="2"/>
        <v>4000</v>
      </c>
    </row>
    <row r="43" spans="2:9" x14ac:dyDescent="0.2">
      <c r="B43" s="120">
        <f t="shared" si="4"/>
        <v>38</v>
      </c>
      <c r="C43" s="66">
        <v>290</v>
      </c>
      <c r="D43" s="66"/>
      <c r="E43" s="66"/>
      <c r="F43" s="5" t="s">
        <v>180</v>
      </c>
      <c r="G43" s="206">
        <f>G44</f>
        <v>461200</v>
      </c>
      <c r="H43" s="294">
        <f t="shared" ref="H43" si="19">H44</f>
        <v>0</v>
      </c>
      <c r="I43" s="308">
        <f t="shared" si="2"/>
        <v>461200</v>
      </c>
    </row>
    <row r="44" spans="2:9" x14ac:dyDescent="0.2">
      <c r="B44" s="120">
        <f t="shared" si="4"/>
        <v>39</v>
      </c>
      <c r="C44" s="67"/>
      <c r="D44" s="67">
        <v>292</v>
      </c>
      <c r="E44" s="67"/>
      <c r="F44" s="2" t="s">
        <v>181</v>
      </c>
      <c r="G44" s="207">
        <f>SUM(G45:G48)</f>
        <v>461200</v>
      </c>
      <c r="H44" s="18">
        <f t="shared" ref="H44" si="20">SUM(H45:H48)</f>
        <v>0</v>
      </c>
      <c r="I44" s="309">
        <f t="shared" si="2"/>
        <v>461200</v>
      </c>
    </row>
    <row r="45" spans="2:9" x14ac:dyDescent="0.2">
      <c r="B45" s="120">
        <f t="shared" si="4"/>
        <v>40</v>
      </c>
      <c r="C45" s="68"/>
      <c r="D45" s="68"/>
      <c r="E45" s="68">
        <v>292008</v>
      </c>
      <c r="F45" s="3" t="s">
        <v>182</v>
      </c>
      <c r="G45" s="208">
        <v>300000</v>
      </c>
      <c r="H45" s="19"/>
      <c r="I45" s="297">
        <f t="shared" si="2"/>
        <v>300000</v>
      </c>
    </row>
    <row r="46" spans="2:9" x14ac:dyDescent="0.2">
      <c r="B46" s="120">
        <f t="shared" si="4"/>
        <v>41</v>
      </c>
      <c r="C46" s="68"/>
      <c r="D46" s="68"/>
      <c r="E46" s="68">
        <v>292012</v>
      </c>
      <c r="F46" s="3" t="s">
        <v>236</v>
      </c>
      <c r="G46" s="208">
        <v>30000</v>
      </c>
      <c r="H46" s="19"/>
      <c r="I46" s="297">
        <f t="shared" si="2"/>
        <v>30000</v>
      </c>
    </row>
    <row r="47" spans="2:9" x14ac:dyDescent="0.2">
      <c r="B47" s="120">
        <f t="shared" si="4"/>
        <v>42</v>
      </c>
      <c r="C47" s="68"/>
      <c r="D47" s="68"/>
      <c r="E47" s="68">
        <v>292017</v>
      </c>
      <c r="F47" s="3" t="s">
        <v>237</v>
      </c>
      <c r="G47" s="208">
        <v>80000</v>
      </c>
      <c r="H47" s="19"/>
      <c r="I47" s="297">
        <f t="shared" si="2"/>
        <v>80000</v>
      </c>
    </row>
    <row r="48" spans="2:9" ht="13.5" thickBot="1" x14ac:dyDescent="0.25">
      <c r="B48" s="120">
        <f t="shared" si="4"/>
        <v>43</v>
      </c>
      <c r="C48" s="68"/>
      <c r="D48" s="68"/>
      <c r="E48" s="68">
        <v>292027</v>
      </c>
      <c r="F48" s="3" t="s">
        <v>230</v>
      </c>
      <c r="G48" s="208">
        <v>51200</v>
      </c>
      <c r="H48" s="19"/>
      <c r="I48" s="297">
        <f t="shared" si="2"/>
        <v>51200</v>
      </c>
    </row>
    <row r="49" spans="2:9" ht="15.75" thickBot="1" x14ac:dyDescent="0.3">
      <c r="B49" s="120">
        <f t="shared" si="4"/>
        <v>44</v>
      </c>
      <c r="C49" s="65">
        <v>1</v>
      </c>
      <c r="D49" s="65"/>
      <c r="E49" s="65"/>
      <c r="F49" s="9" t="s">
        <v>54</v>
      </c>
      <c r="G49" s="299">
        <f>G50</f>
        <v>4990</v>
      </c>
      <c r="H49" s="319">
        <f>H50+H53</f>
        <v>292</v>
      </c>
      <c r="I49" s="307">
        <f t="shared" si="2"/>
        <v>5282</v>
      </c>
    </row>
    <row r="50" spans="2:9" x14ac:dyDescent="0.2">
      <c r="B50" s="120">
        <f t="shared" si="4"/>
        <v>45</v>
      </c>
      <c r="C50" s="216">
        <v>220</v>
      </c>
      <c r="D50" s="66"/>
      <c r="E50" s="66"/>
      <c r="F50" s="5" t="s">
        <v>225</v>
      </c>
      <c r="G50" s="300">
        <f>G51</f>
        <v>4990</v>
      </c>
      <c r="H50" s="293">
        <f t="shared" ref="H50:H51" si="21">H51</f>
        <v>189</v>
      </c>
      <c r="I50" s="311">
        <f t="shared" si="2"/>
        <v>5179</v>
      </c>
    </row>
    <row r="51" spans="2:9" x14ac:dyDescent="0.2">
      <c r="B51" s="120">
        <f t="shared" si="4"/>
        <v>46</v>
      </c>
      <c r="C51" s="217"/>
      <c r="D51" s="72">
        <v>223</v>
      </c>
      <c r="E51" s="67"/>
      <c r="F51" s="2" t="s">
        <v>254</v>
      </c>
      <c r="G51" s="207">
        <f>G52</f>
        <v>4990</v>
      </c>
      <c r="H51" s="18">
        <f t="shared" si="21"/>
        <v>189</v>
      </c>
      <c r="I51" s="309">
        <f t="shared" si="2"/>
        <v>5179</v>
      </c>
    </row>
    <row r="52" spans="2:9" x14ac:dyDescent="0.2">
      <c r="B52" s="120">
        <f t="shared" si="4"/>
        <v>47</v>
      </c>
      <c r="C52" s="296"/>
      <c r="D52" s="74"/>
      <c r="E52" s="68">
        <v>223</v>
      </c>
      <c r="F52" s="3" t="s">
        <v>603</v>
      </c>
      <c r="G52" s="208">
        <f>4090+900</f>
        <v>4990</v>
      </c>
      <c r="H52" s="19">
        <v>189</v>
      </c>
      <c r="I52" s="297">
        <f t="shared" si="2"/>
        <v>5179</v>
      </c>
    </row>
    <row r="53" spans="2:9" x14ac:dyDescent="0.2">
      <c r="B53" s="120">
        <f t="shared" si="4"/>
        <v>48</v>
      </c>
      <c r="C53" s="66">
        <v>290</v>
      </c>
      <c r="D53" s="66"/>
      <c r="E53" s="70"/>
      <c r="F53" s="5" t="s">
        <v>180</v>
      </c>
      <c r="G53" s="206">
        <f>G54</f>
        <v>0</v>
      </c>
      <c r="H53" s="294">
        <f t="shared" ref="H53" si="22">H54</f>
        <v>103</v>
      </c>
      <c r="I53" s="308">
        <f t="shared" si="2"/>
        <v>103</v>
      </c>
    </row>
    <row r="54" spans="2:9" x14ac:dyDescent="0.2">
      <c r="B54" s="120">
        <f t="shared" si="4"/>
        <v>49</v>
      </c>
      <c r="C54" s="71"/>
      <c r="D54" s="67">
        <v>292</v>
      </c>
      <c r="E54" s="72"/>
      <c r="F54" s="2" t="s">
        <v>181</v>
      </c>
      <c r="G54" s="207">
        <f>SUM(G55:G55)</f>
        <v>0</v>
      </c>
      <c r="H54" s="18">
        <f>H55</f>
        <v>103</v>
      </c>
      <c r="I54" s="309">
        <f t="shared" si="2"/>
        <v>103</v>
      </c>
    </row>
    <row r="55" spans="2:9" ht="13.5" thickBot="1" x14ac:dyDescent="0.25">
      <c r="B55" s="120">
        <f t="shared" si="4"/>
        <v>50</v>
      </c>
      <c r="C55" s="287"/>
      <c r="D55" s="288"/>
      <c r="E55" s="287">
        <v>292017</v>
      </c>
      <c r="F55" s="14" t="s">
        <v>237</v>
      </c>
      <c r="G55" s="301">
        <v>0</v>
      </c>
      <c r="H55" s="295">
        <v>103</v>
      </c>
      <c r="I55" s="312">
        <f>H55</f>
        <v>103</v>
      </c>
    </row>
    <row r="56" spans="2:9" ht="15.75" thickBot="1" x14ac:dyDescent="0.3">
      <c r="B56" s="120">
        <f t="shared" si="4"/>
        <v>51</v>
      </c>
      <c r="C56" s="65">
        <v>2</v>
      </c>
      <c r="D56" s="65"/>
      <c r="E56" s="65"/>
      <c r="F56" s="9" t="s">
        <v>18</v>
      </c>
      <c r="G56" s="299">
        <f>G57+G60+G63+G68+G75+G83+G90+G97+G101+G108+G115</f>
        <v>557849</v>
      </c>
      <c r="H56" s="319">
        <f t="shared" ref="H56" si="23">H57+H60+H63+H68+H75+H83+H90+H97+H101+H108+H115</f>
        <v>0</v>
      </c>
      <c r="I56" s="307">
        <f t="shared" si="2"/>
        <v>557849</v>
      </c>
    </row>
    <row r="57" spans="2:9" x14ac:dyDescent="0.2">
      <c r="B57" s="120">
        <f t="shared" si="4"/>
        <v>52</v>
      </c>
      <c r="C57" s="67">
        <v>220</v>
      </c>
      <c r="D57" s="67"/>
      <c r="E57" s="67"/>
      <c r="F57" s="2" t="s">
        <v>225</v>
      </c>
      <c r="G57" s="207">
        <f>G58</f>
        <v>50</v>
      </c>
      <c r="H57" s="18">
        <f t="shared" ref="H57:H58" si="24">H58</f>
        <v>0</v>
      </c>
      <c r="I57" s="309">
        <f t="shared" si="2"/>
        <v>50</v>
      </c>
    </row>
    <row r="58" spans="2:9" x14ac:dyDescent="0.2">
      <c r="B58" s="120">
        <f t="shared" si="4"/>
        <v>53</v>
      </c>
      <c r="C58" s="68"/>
      <c r="D58" s="68">
        <v>222</v>
      </c>
      <c r="E58" s="68"/>
      <c r="F58" s="3" t="s">
        <v>61</v>
      </c>
      <c r="G58" s="208">
        <f>G59</f>
        <v>50</v>
      </c>
      <c r="H58" s="19">
        <f t="shared" si="24"/>
        <v>0</v>
      </c>
      <c r="I58" s="297">
        <f t="shared" si="2"/>
        <v>50</v>
      </c>
    </row>
    <row r="59" spans="2:9" x14ac:dyDescent="0.2">
      <c r="B59" s="120">
        <f t="shared" si="4"/>
        <v>54</v>
      </c>
      <c r="C59" s="4"/>
      <c r="D59" s="4"/>
      <c r="E59" s="4">
        <v>222003</v>
      </c>
      <c r="F59" s="4" t="s">
        <v>60</v>
      </c>
      <c r="G59" s="247">
        <v>50</v>
      </c>
      <c r="H59" s="21"/>
      <c r="I59" s="313">
        <f t="shared" si="2"/>
        <v>50</v>
      </c>
    </row>
    <row r="60" spans="2:9" x14ac:dyDescent="0.2">
      <c r="B60" s="120">
        <f t="shared" si="4"/>
        <v>55</v>
      </c>
      <c r="C60" s="67">
        <v>240</v>
      </c>
      <c r="D60" s="67"/>
      <c r="E60" s="67"/>
      <c r="F60" s="2" t="s">
        <v>178</v>
      </c>
      <c r="G60" s="207">
        <f>G61</f>
        <v>50</v>
      </c>
      <c r="H60" s="18">
        <f t="shared" ref="H60:H61" si="25">H61</f>
        <v>0</v>
      </c>
      <c r="I60" s="309">
        <f t="shared" si="2"/>
        <v>50</v>
      </c>
    </row>
    <row r="61" spans="2:9" x14ac:dyDescent="0.2">
      <c r="B61" s="120">
        <f t="shared" si="4"/>
        <v>56</v>
      </c>
      <c r="C61" s="68"/>
      <c r="D61" s="68">
        <v>242</v>
      </c>
      <c r="E61" s="68"/>
      <c r="F61" s="3" t="s">
        <v>177</v>
      </c>
      <c r="G61" s="208">
        <f>G62</f>
        <v>50</v>
      </c>
      <c r="H61" s="19">
        <f t="shared" si="25"/>
        <v>0</v>
      </c>
      <c r="I61" s="297">
        <f t="shared" si="2"/>
        <v>50</v>
      </c>
    </row>
    <row r="62" spans="2:9" x14ac:dyDescent="0.2">
      <c r="B62" s="120">
        <f t="shared" si="4"/>
        <v>57</v>
      </c>
      <c r="C62" s="4"/>
      <c r="D62" s="4"/>
      <c r="E62" s="4">
        <v>242</v>
      </c>
      <c r="F62" s="4" t="s">
        <v>177</v>
      </c>
      <c r="G62" s="247">
        <v>50</v>
      </c>
      <c r="H62" s="21"/>
      <c r="I62" s="313">
        <f t="shared" si="2"/>
        <v>50</v>
      </c>
    </row>
    <row r="63" spans="2:9" x14ac:dyDescent="0.2">
      <c r="B63" s="120">
        <f t="shared" si="4"/>
        <v>58</v>
      </c>
      <c r="C63" s="67">
        <v>290</v>
      </c>
      <c r="D63" s="67"/>
      <c r="E63" s="67"/>
      <c r="F63" s="2" t="s">
        <v>180</v>
      </c>
      <c r="G63" s="207">
        <f>G64</f>
        <v>2050</v>
      </c>
      <c r="H63" s="18">
        <f t="shared" ref="H63" si="26">H64</f>
        <v>0</v>
      </c>
      <c r="I63" s="309">
        <f t="shared" si="2"/>
        <v>2050</v>
      </c>
    </row>
    <row r="64" spans="2:9" x14ac:dyDescent="0.2">
      <c r="B64" s="120">
        <f t="shared" si="4"/>
        <v>59</v>
      </c>
      <c r="C64" s="68"/>
      <c r="D64" s="68">
        <v>292</v>
      </c>
      <c r="E64" s="68"/>
      <c r="F64" s="3" t="s">
        <v>181</v>
      </c>
      <c r="G64" s="208">
        <f>SUM(G65:G67)</f>
        <v>2050</v>
      </c>
      <c r="H64" s="19">
        <f t="shared" ref="H64" si="27">SUM(H65:H67)</f>
        <v>0</v>
      </c>
      <c r="I64" s="297">
        <f t="shared" si="2"/>
        <v>2050</v>
      </c>
    </row>
    <row r="65" spans="2:9" x14ac:dyDescent="0.2">
      <c r="B65" s="120">
        <f t="shared" si="4"/>
        <v>60</v>
      </c>
      <c r="C65" s="4"/>
      <c r="D65" s="4"/>
      <c r="E65" s="4">
        <v>292012</v>
      </c>
      <c r="F65" s="4" t="s">
        <v>236</v>
      </c>
      <c r="G65" s="247">
        <v>1000</v>
      </c>
      <c r="H65" s="21"/>
      <c r="I65" s="313">
        <f t="shared" si="2"/>
        <v>1000</v>
      </c>
    </row>
    <row r="66" spans="2:9" x14ac:dyDescent="0.2">
      <c r="B66" s="120">
        <f t="shared" si="4"/>
        <v>61</v>
      </c>
      <c r="C66" s="4"/>
      <c r="D66" s="4"/>
      <c r="E66" s="4">
        <v>292017</v>
      </c>
      <c r="F66" s="4" t="s">
        <v>237</v>
      </c>
      <c r="G66" s="247">
        <v>50</v>
      </c>
      <c r="H66" s="21"/>
      <c r="I66" s="313">
        <f t="shared" si="2"/>
        <v>50</v>
      </c>
    </row>
    <row r="67" spans="2:9" x14ac:dyDescent="0.2">
      <c r="B67" s="120">
        <f t="shared" si="4"/>
        <v>62</v>
      </c>
      <c r="C67" s="4"/>
      <c r="D67" s="4"/>
      <c r="E67" s="4">
        <v>292027</v>
      </c>
      <c r="F67" s="4" t="s">
        <v>230</v>
      </c>
      <c r="G67" s="247">
        <v>1000</v>
      </c>
      <c r="H67" s="21"/>
      <c r="I67" s="313">
        <f t="shared" si="2"/>
        <v>1000</v>
      </c>
    </row>
    <row r="68" spans="2:9" x14ac:dyDescent="0.2">
      <c r="B68" s="120">
        <f t="shared" si="4"/>
        <v>63</v>
      </c>
      <c r="C68" s="69"/>
      <c r="D68" s="66"/>
      <c r="E68" s="70"/>
      <c r="F68" s="5" t="s">
        <v>52</v>
      </c>
      <c r="G68" s="206">
        <f>G69+G72</f>
        <v>167000</v>
      </c>
      <c r="H68" s="294">
        <f t="shared" ref="H68" si="28">H69+H72</f>
        <v>0</v>
      </c>
      <c r="I68" s="308">
        <f t="shared" si="2"/>
        <v>167000</v>
      </c>
    </row>
    <row r="69" spans="2:9" x14ac:dyDescent="0.2">
      <c r="B69" s="120">
        <f t="shared" si="4"/>
        <v>64</v>
      </c>
      <c r="C69" s="71">
        <v>210</v>
      </c>
      <c r="D69" s="67"/>
      <c r="E69" s="72"/>
      <c r="F69" s="2" t="s">
        <v>250</v>
      </c>
      <c r="G69" s="207">
        <f>G70</f>
        <v>12000</v>
      </c>
      <c r="H69" s="18">
        <f t="shared" ref="H69:H70" si="29">H70</f>
        <v>0</v>
      </c>
      <c r="I69" s="309">
        <f t="shared" si="2"/>
        <v>12000</v>
      </c>
    </row>
    <row r="70" spans="2:9" x14ac:dyDescent="0.2">
      <c r="B70" s="120">
        <f t="shared" si="4"/>
        <v>65</v>
      </c>
      <c r="C70" s="73"/>
      <c r="D70" s="68">
        <v>212</v>
      </c>
      <c r="E70" s="74"/>
      <c r="F70" s="3" t="s">
        <v>251</v>
      </c>
      <c r="G70" s="208">
        <f>G71</f>
        <v>12000</v>
      </c>
      <c r="H70" s="19">
        <f t="shared" si="29"/>
        <v>0</v>
      </c>
      <c r="I70" s="297">
        <f t="shared" si="2"/>
        <v>12000</v>
      </c>
    </row>
    <row r="71" spans="2:9" x14ac:dyDescent="0.2">
      <c r="B71" s="120">
        <f t="shared" si="4"/>
        <v>66</v>
      </c>
      <c r="C71" s="12"/>
      <c r="D71" s="4"/>
      <c r="E71" s="13">
        <v>212003</v>
      </c>
      <c r="F71" s="4" t="s">
        <v>252</v>
      </c>
      <c r="G71" s="247">
        <v>12000</v>
      </c>
      <c r="H71" s="21"/>
      <c r="I71" s="313">
        <f t="shared" si="2"/>
        <v>12000</v>
      </c>
    </row>
    <row r="72" spans="2:9" x14ac:dyDescent="0.2">
      <c r="B72" s="120">
        <f t="shared" si="4"/>
        <v>67</v>
      </c>
      <c r="C72" s="71">
        <v>220</v>
      </c>
      <c r="D72" s="67"/>
      <c r="E72" s="72"/>
      <c r="F72" s="2" t="s">
        <v>225</v>
      </c>
      <c r="G72" s="207">
        <f>G73</f>
        <v>155000</v>
      </c>
      <c r="H72" s="18">
        <f t="shared" ref="H72:H73" si="30">H73</f>
        <v>0</v>
      </c>
      <c r="I72" s="309">
        <f t="shared" si="2"/>
        <v>155000</v>
      </c>
    </row>
    <row r="73" spans="2:9" x14ac:dyDescent="0.2">
      <c r="B73" s="120">
        <f t="shared" ref="B73:B136" si="31">B72+1</f>
        <v>68</v>
      </c>
      <c r="C73" s="73"/>
      <c r="D73" s="68">
        <v>223</v>
      </c>
      <c r="E73" s="74"/>
      <c r="F73" s="3" t="s">
        <v>254</v>
      </c>
      <c r="G73" s="208">
        <f>G74</f>
        <v>155000</v>
      </c>
      <c r="H73" s="19">
        <f t="shared" si="30"/>
        <v>0</v>
      </c>
      <c r="I73" s="297">
        <f t="shared" si="2"/>
        <v>155000</v>
      </c>
    </row>
    <row r="74" spans="2:9" x14ac:dyDescent="0.2">
      <c r="B74" s="120">
        <f t="shared" si="31"/>
        <v>69</v>
      </c>
      <c r="C74" s="12"/>
      <c r="D74" s="4"/>
      <c r="E74" s="13">
        <v>223001</v>
      </c>
      <c r="F74" s="4" t="s">
        <v>255</v>
      </c>
      <c r="G74" s="247">
        <v>155000</v>
      </c>
      <c r="H74" s="21"/>
      <c r="I74" s="313">
        <f t="shared" ref="I74:I137" si="32">G74+H74</f>
        <v>155000</v>
      </c>
    </row>
    <row r="75" spans="2:9" x14ac:dyDescent="0.2">
      <c r="B75" s="120">
        <f t="shared" si="31"/>
        <v>70</v>
      </c>
      <c r="C75" s="69"/>
      <c r="D75" s="66"/>
      <c r="E75" s="70"/>
      <c r="F75" s="5" t="s">
        <v>433</v>
      </c>
      <c r="G75" s="206">
        <f>G76+G80</f>
        <v>164500</v>
      </c>
      <c r="H75" s="294">
        <f t="shared" ref="H75" si="33">H76+H80</f>
        <v>0</v>
      </c>
      <c r="I75" s="308">
        <f t="shared" si="32"/>
        <v>164500</v>
      </c>
    </row>
    <row r="76" spans="2:9" x14ac:dyDescent="0.2">
      <c r="B76" s="120">
        <f t="shared" si="31"/>
        <v>71</v>
      </c>
      <c r="C76" s="71">
        <v>210</v>
      </c>
      <c r="D76" s="67"/>
      <c r="E76" s="72"/>
      <c r="F76" s="2" t="s">
        <v>250</v>
      </c>
      <c r="G76" s="207">
        <f>G77</f>
        <v>10500</v>
      </c>
      <c r="H76" s="18">
        <f t="shared" ref="H76" si="34">H77</f>
        <v>0</v>
      </c>
      <c r="I76" s="309">
        <f t="shared" si="32"/>
        <v>10500</v>
      </c>
    </row>
    <row r="77" spans="2:9" x14ac:dyDescent="0.2">
      <c r="B77" s="120">
        <f t="shared" si="31"/>
        <v>72</v>
      </c>
      <c r="C77" s="73"/>
      <c r="D77" s="68">
        <v>212</v>
      </c>
      <c r="E77" s="74"/>
      <c r="F77" s="3" t="s">
        <v>251</v>
      </c>
      <c r="G77" s="208">
        <f>G79+G78</f>
        <v>10500</v>
      </c>
      <c r="H77" s="19">
        <f t="shared" ref="H77" si="35">H79+H78</f>
        <v>0</v>
      </c>
      <c r="I77" s="297">
        <f t="shared" si="32"/>
        <v>10500</v>
      </c>
    </row>
    <row r="78" spans="2:9" x14ac:dyDescent="0.2">
      <c r="B78" s="120">
        <f t="shared" si="31"/>
        <v>73</v>
      </c>
      <c r="C78" s="12"/>
      <c r="D78" s="4"/>
      <c r="E78" s="13">
        <v>212002</v>
      </c>
      <c r="F78" s="4" t="s">
        <v>284</v>
      </c>
      <c r="G78" s="247">
        <v>7000</v>
      </c>
      <c r="H78" s="21"/>
      <c r="I78" s="313">
        <f t="shared" si="32"/>
        <v>7000</v>
      </c>
    </row>
    <row r="79" spans="2:9" x14ac:dyDescent="0.2">
      <c r="B79" s="120">
        <f t="shared" si="31"/>
        <v>74</v>
      </c>
      <c r="C79" s="12"/>
      <c r="D79" s="4"/>
      <c r="E79" s="13">
        <v>212003</v>
      </c>
      <c r="F79" s="4" t="s">
        <v>252</v>
      </c>
      <c r="G79" s="247">
        <v>3500</v>
      </c>
      <c r="H79" s="21"/>
      <c r="I79" s="313">
        <f t="shared" si="32"/>
        <v>3500</v>
      </c>
    </row>
    <row r="80" spans="2:9" x14ac:dyDescent="0.2">
      <c r="B80" s="120">
        <f t="shared" si="31"/>
        <v>75</v>
      </c>
      <c r="C80" s="71">
        <v>220</v>
      </c>
      <c r="D80" s="67"/>
      <c r="E80" s="72"/>
      <c r="F80" s="2" t="s">
        <v>225</v>
      </c>
      <c r="G80" s="207">
        <f>G81</f>
        <v>154000</v>
      </c>
      <c r="H80" s="18">
        <f t="shared" ref="H80:H81" si="36">H81</f>
        <v>0</v>
      </c>
      <c r="I80" s="309">
        <f t="shared" si="32"/>
        <v>154000</v>
      </c>
    </row>
    <row r="81" spans="2:9" x14ac:dyDescent="0.2">
      <c r="B81" s="120">
        <f t="shared" si="31"/>
        <v>76</v>
      </c>
      <c r="C81" s="73"/>
      <c r="D81" s="68">
        <v>223</v>
      </c>
      <c r="E81" s="74"/>
      <c r="F81" s="3" t="s">
        <v>254</v>
      </c>
      <c r="G81" s="208">
        <f>G82</f>
        <v>154000</v>
      </c>
      <c r="H81" s="19">
        <f t="shared" si="36"/>
        <v>0</v>
      </c>
      <c r="I81" s="297">
        <f t="shared" si="32"/>
        <v>154000</v>
      </c>
    </row>
    <row r="82" spans="2:9" x14ac:dyDescent="0.2">
      <c r="B82" s="120">
        <f t="shared" si="31"/>
        <v>77</v>
      </c>
      <c r="C82" s="12"/>
      <c r="D82" s="4"/>
      <c r="E82" s="13">
        <v>223001</v>
      </c>
      <c r="F82" s="4" t="s">
        <v>255</v>
      </c>
      <c r="G82" s="247">
        <v>154000</v>
      </c>
      <c r="H82" s="21"/>
      <c r="I82" s="313">
        <f t="shared" si="32"/>
        <v>154000</v>
      </c>
    </row>
    <row r="83" spans="2:9" x14ac:dyDescent="0.2">
      <c r="B83" s="120">
        <f t="shared" si="31"/>
        <v>78</v>
      </c>
      <c r="C83" s="69"/>
      <c r="D83" s="66"/>
      <c r="E83" s="70"/>
      <c r="F83" s="5" t="s">
        <v>215</v>
      </c>
      <c r="G83" s="206">
        <f>G84+G87</f>
        <v>72149</v>
      </c>
      <c r="H83" s="294">
        <f t="shared" ref="H83" si="37">H84+H87</f>
        <v>0</v>
      </c>
      <c r="I83" s="308">
        <f t="shared" si="32"/>
        <v>72149</v>
      </c>
    </row>
    <row r="84" spans="2:9" x14ac:dyDescent="0.2">
      <c r="B84" s="120">
        <f t="shared" si="31"/>
        <v>79</v>
      </c>
      <c r="C84" s="71">
        <v>210</v>
      </c>
      <c r="D84" s="67"/>
      <c r="E84" s="72"/>
      <c r="F84" s="2" t="s">
        <v>250</v>
      </c>
      <c r="G84" s="207">
        <f>G85</f>
        <v>50056</v>
      </c>
      <c r="H84" s="18">
        <f t="shared" ref="H84:H85" si="38">H85</f>
        <v>0</v>
      </c>
      <c r="I84" s="309">
        <f t="shared" si="32"/>
        <v>50056</v>
      </c>
    </row>
    <row r="85" spans="2:9" x14ac:dyDescent="0.2">
      <c r="B85" s="120">
        <f t="shared" si="31"/>
        <v>80</v>
      </c>
      <c r="C85" s="73"/>
      <c r="D85" s="68">
        <v>212</v>
      </c>
      <c r="E85" s="74"/>
      <c r="F85" s="3" t="s">
        <v>251</v>
      </c>
      <c r="G85" s="208">
        <f>G86</f>
        <v>50056</v>
      </c>
      <c r="H85" s="19">
        <f t="shared" si="38"/>
        <v>0</v>
      </c>
      <c r="I85" s="297">
        <f t="shared" si="32"/>
        <v>50056</v>
      </c>
    </row>
    <row r="86" spans="2:9" x14ac:dyDescent="0.2">
      <c r="B86" s="120">
        <f t="shared" si="31"/>
        <v>81</v>
      </c>
      <c r="C86" s="12"/>
      <c r="D86" s="4"/>
      <c r="E86" s="13">
        <v>212003</v>
      </c>
      <c r="F86" s="4" t="s">
        <v>252</v>
      </c>
      <c r="G86" s="247">
        <f>101800-51744</f>
        <v>50056</v>
      </c>
      <c r="H86" s="21"/>
      <c r="I86" s="313">
        <f t="shared" si="32"/>
        <v>50056</v>
      </c>
    </row>
    <row r="87" spans="2:9" x14ac:dyDescent="0.2">
      <c r="B87" s="120">
        <f t="shared" si="31"/>
        <v>82</v>
      </c>
      <c r="C87" s="71">
        <v>220</v>
      </c>
      <c r="D87" s="67"/>
      <c r="E87" s="72"/>
      <c r="F87" s="2" t="s">
        <v>225</v>
      </c>
      <c r="G87" s="207">
        <f>G88</f>
        <v>22093</v>
      </c>
      <c r="H87" s="18">
        <f t="shared" ref="H87:H88" si="39">H88</f>
        <v>0</v>
      </c>
      <c r="I87" s="309">
        <f t="shared" si="32"/>
        <v>22093</v>
      </c>
    </row>
    <row r="88" spans="2:9" x14ac:dyDescent="0.2">
      <c r="B88" s="120">
        <f t="shared" si="31"/>
        <v>83</v>
      </c>
      <c r="C88" s="73"/>
      <c r="D88" s="68">
        <v>223</v>
      </c>
      <c r="E88" s="74"/>
      <c r="F88" s="3" t="s">
        <v>254</v>
      </c>
      <c r="G88" s="208">
        <f>G89</f>
        <v>22093</v>
      </c>
      <c r="H88" s="19">
        <f t="shared" si="39"/>
        <v>0</v>
      </c>
      <c r="I88" s="297">
        <f t="shared" si="32"/>
        <v>22093</v>
      </c>
    </row>
    <row r="89" spans="2:9" x14ac:dyDescent="0.2">
      <c r="B89" s="120">
        <f t="shared" si="31"/>
        <v>84</v>
      </c>
      <c r="C89" s="12"/>
      <c r="D89" s="4"/>
      <c r="E89" s="13">
        <v>223001</v>
      </c>
      <c r="F89" s="4" t="s">
        <v>255</v>
      </c>
      <c r="G89" s="247">
        <f>376800-354707</f>
        <v>22093</v>
      </c>
      <c r="H89" s="21"/>
      <c r="I89" s="313">
        <f t="shared" si="32"/>
        <v>22093</v>
      </c>
    </row>
    <row r="90" spans="2:9" x14ac:dyDescent="0.2">
      <c r="B90" s="120">
        <f t="shared" si="31"/>
        <v>85</v>
      </c>
      <c r="C90" s="69"/>
      <c r="D90" s="66"/>
      <c r="E90" s="70"/>
      <c r="F90" s="5" t="s">
        <v>232</v>
      </c>
      <c r="G90" s="206">
        <f>G94+G91</f>
        <v>90000</v>
      </c>
      <c r="H90" s="294">
        <f t="shared" ref="H90" si="40">H94+H91</f>
        <v>0</v>
      </c>
      <c r="I90" s="308">
        <f t="shared" si="32"/>
        <v>90000</v>
      </c>
    </row>
    <row r="91" spans="2:9" x14ac:dyDescent="0.2">
      <c r="B91" s="120">
        <f t="shared" si="31"/>
        <v>86</v>
      </c>
      <c r="C91" s="71">
        <v>210</v>
      </c>
      <c r="D91" s="67"/>
      <c r="E91" s="72"/>
      <c r="F91" s="2" t="s">
        <v>250</v>
      </c>
      <c r="G91" s="207">
        <f>G92</f>
        <v>2500</v>
      </c>
      <c r="H91" s="18">
        <f t="shared" ref="H91:H92" si="41">H92</f>
        <v>0</v>
      </c>
      <c r="I91" s="309">
        <f t="shared" si="32"/>
        <v>2500</v>
      </c>
    </row>
    <row r="92" spans="2:9" x14ac:dyDescent="0.2">
      <c r="B92" s="120">
        <f t="shared" si="31"/>
        <v>87</v>
      </c>
      <c r="C92" s="73"/>
      <c r="D92" s="68">
        <v>212</v>
      </c>
      <c r="E92" s="74"/>
      <c r="F92" s="3" t="s">
        <v>251</v>
      </c>
      <c r="G92" s="208">
        <f>G93</f>
        <v>2500</v>
      </c>
      <c r="H92" s="19">
        <f t="shared" si="41"/>
        <v>0</v>
      </c>
      <c r="I92" s="297">
        <f t="shared" si="32"/>
        <v>2500</v>
      </c>
    </row>
    <row r="93" spans="2:9" x14ac:dyDescent="0.2">
      <c r="B93" s="120">
        <f t="shared" si="31"/>
        <v>88</v>
      </c>
      <c r="C93" s="12"/>
      <c r="D93" s="4"/>
      <c r="E93" s="13">
        <v>212004</v>
      </c>
      <c r="F93" s="4" t="s">
        <v>253</v>
      </c>
      <c r="G93" s="247">
        <v>2500</v>
      </c>
      <c r="H93" s="21"/>
      <c r="I93" s="313">
        <f t="shared" si="32"/>
        <v>2500</v>
      </c>
    </row>
    <row r="94" spans="2:9" x14ac:dyDescent="0.2">
      <c r="B94" s="120">
        <f t="shared" si="31"/>
        <v>89</v>
      </c>
      <c r="C94" s="71">
        <v>220</v>
      </c>
      <c r="D94" s="67"/>
      <c r="E94" s="72"/>
      <c r="F94" s="2" t="s">
        <v>225</v>
      </c>
      <c r="G94" s="207">
        <f>G95</f>
        <v>87500</v>
      </c>
      <c r="H94" s="18">
        <f t="shared" ref="H94:H95" si="42">H95</f>
        <v>0</v>
      </c>
      <c r="I94" s="309">
        <f t="shared" si="32"/>
        <v>87500</v>
      </c>
    </row>
    <row r="95" spans="2:9" x14ac:dyDescent="0.2">
      <c r="B95" s="120">
        <f t="shared" si="31"/>
        <v>90</v>
      </c>
      <c r="C95" s="73"/>
      <c r="D95" s="68">
        <v>223</v>
      </c>
      <c r="E95" s="74"/>
      <c r="F95" s="3" t="s">
        <v>254</v>
      </c>
      <c r="G95" s="208">
        <f>G96</f>
        <v>87500</v>
      </c>
      <c r="H95" s="19">
        <f t="shared" si="42"/>
        <v>0</v>
      </c>
      <c r="I95" s="297">
        <f t="shared" si="32"/>
        <v>87500</v>
      </c>
    </row>
    <row r="96" spans="2:9" x14ac:dyDescent="0.2">
      <c r="B96" s="120">
        <f t="shared" si="31"/>
        <v>91</v>
      </c>
      <c r="C96" s="12"/>
      <c r="D96" s="4"/>
      <c r="E96" s="13">
        <v>223001</v>
      </c>
      <c r="F96" s="4" t="s">
        <v>255</v>
      </c>
      <c r="G96" s="247">
        <v>87500</v>
      </c>
      <c r="H96" s="21"/>
      <c r="I96" s="313">
        <f t="shared" si="32"/>
        <v>87500</v>
      </c>
    </row>
    <row r="97" spans="2:9" x14ac:dyDescent="0.2">
      <c r="B97" s="120">
        <f t="shared" si="31"/>
        <v>92</v>
      </c>
      <c r="C97" s="69"/>
      <c r="D97" s="66"/>
      <c r="E97" s="70"/>
      <c r="F97" s="5" t="s">
        <v>221</v>
      </c>
      <c r="G97" s="206">
        <f>G98</f>
        <v>2000</v>
      </c>
      <c r="H97" s="294">
        <f t="shared" ref="H97:H99" si="43">H98</f>
        <v>0</v>
      </c>
      <c r="I97" s="308">
        <f t="shared" si="32"/>
        <v>2000</v>
      </c>
    </row>
    <row r="98" spans="2:9" x14ac:dyDescent="0.2">
      <c r="B98" s="120">
        <f t="shared" si="31"/>
        <v>93</v>
      </c>
      <c r="C98" s="71">
        <v>290</v>
      </c>
      <c r="D98" s="67"/>
      <c r="E98" s="72"/>
      <c r="F98" s="2" t="s">
        <v>180</v>
      </c>
      <c r="G98" s="207">
        <f>G99</f>
        <v>2000</v>
      </c>
      <c r="H98" s="18">
        <f t="shared" si="43"/>
        <v>0</v>
      </c>
      <c r="I98" s="309">
        <f t="shared" si="32"/>
        <v>2000</v>
      </c>
    </row>
    <row r="99" spans="2:9" x14ac:dyDescent="0.2">
      <c r="B99" s="120">
        <f t="shared" si="31"/>
        <v>94</v>
      </c>
      <c r="C99" s="73"/>
      <c r="D99" s="68">
        <v>292</v>
      </c>
      <c r="E99" s="74"/>
      <c r="F99" s="3" t="s">
        <v>181</v>
      </c>
      <c r="G99" s="208">
        <f>G100</f>
        <v>2000</v>
      </c>
      <c r="H99" s="19">
        <f t="shared" si="43"/>
        <v>0</v>
      </c>
      <c r="I99" s="297">
        <f t="shared" si="32"/>
        <v>2000</v>
      </c>
    </row>
    <row r="100" spans="2:9" x14ac:dyDescent="0.2">
      <c r="B100" s="120">
        <f t="shared" si="31"/>
        <v>95</v>
      </c>
      <c r="C100" s="12"/>
      <c r="D100" s="4"/>
      <c r="E100" s="13">
        <v>292006</v>
      </c>
      <c r="F100" s="4" t="s">
        <v>179</v>
      </c>
      <c r="G100" s="247">
        <v>2000</v>
      </c>
      <c r="H100" s="21"/>
      <c r="I100" s="313">
        <f t="shared" si="32"/>
        <v>2000</v>
      </c>
    </row>
    <row r="101" spans="2:9" x14ac:dyDescent="0.2">
      <c r="B101" s="120">
        <f t="shared" si="31"/>
        <v>96</v>
      </c>
      <c r="C101" s="69"/>
      <c r="D101" s="66"/>
      <c r="E101" s="70"/>
      <c r="F101" s="5" t="s">
        <v>50</v>
      </c>
      <c r="G101" s="206">
        <f>G105+G102</f>
        <v>12150</v>
      </c>
      <c r="H101" s="294">
        <f t="shared" ref="H101" si="44">H105+H102</f>
        <v>0</v>
      </c>
      <c r="I101" s="308">
        <f t="shared" si="32"/>
        <v>12150</v>
      </c>
    </row>
    <row r="102" spans="2:9" x14ac:dyDescent="0.2">
      <c r="B102" s="120">
        <f t="shared" si="31"/>
        <v>97</v>
      </c>
      <c r="C102" s="71">
        <v>210</v>
      </c>
      <c r="D102" s="67"/>
      <c r="E102" s="72"/>
      <c r="F102" s="2" t="s">
        <v>250</v>
      </c>
      <c r="G102" s="207">
        <f>G103</f>
        <v>50</v>
      </c>
      <c r="H102" s="18">
        <f t="shared" ref="H102:H103" si="45">H103</f>
        <v>0</v>
      </c>
      <c r="I102" s="309">
        <f t="shared" si="32"/>
        <v>50</v>
      </c>
    </row>
    <row r="103" spans="2:9" x14ac:dyDescent="0.2">
      <c r="B103" s="120">
        <f t="shared" si="31"/>
        <v>98</v>
      </c>
      <c r="C103" s="73"/>
      <c r="D103" s="68">
        <v>212</v>
      </c>
      <c r="E103" s="74"/>
      <c r="F103" s="3" t="s">
        <v>251</v>
      </c>
      <c r="G103" s="208">
        <f>G104</f>
        <v>50</v>
      </c>
      <c r="H103" s="19">
        <f t="shared" si="45"/>
        <v>0</v>
      </c>
      <c r="I103" s="297">
        <f t="shared" si="32"/>
        <v>50</v>
      </c>
    </row>
    <row r="104" spans="2:9" x14ac:dyDescent="0.2">
      <c r="B104" s="120">
        <f t="shared" si="31"/>
        <v>99</v>
      </c>
      <c r="C104" s="12"/>
      <c r="D104" s="4"/>
      <c r="E104" s="13">
        <v>212003</v>
      </c>
      <c r="F104" s="4" t="s">
        <v>252</v>
      </c>
      <c r="G104" s="247">
        <v>50</v>
      </c>
      <c r="H104" s="21"/>
      <c r="I104" s="313">
        <f t="shared" si="32"/>
        <v>50</v>
      </c>
    </row>
    <row r="105" spans="2:9" x14ac:dyDescent="0.2">
      <c r="B105" s="120">
        <f t="shared" si="31"/>
        <v>100</v>
      </c>
      <c r="C105" s="71">
        <v>220</v>
      </c>
      <c r="D105" s="67"/>
      <c r="E105" s="72"/>
      <c r="F105" s="2" t="s">
        <v>225</v>
      </c>
      <c r="G105" s="207">
        <f>G106</f>
        <v>12100</v>
      </c>
      <c r="H105" s="18">
        <f t="shared" ref="H105:H106" si="46">H106</f>
        <v>0</v>
      </c>
      <c r="I105" s="309">
        <f t="shared" si="32"/>
        <v>12100</v>
      </c>
    </row>
    <row r="106" spans="2:9" x14ac:dyDescent="0.2">
      <c r="B106" s="120">
        <f t="shared" si="31"/>
        <v>101</v>
      </c>
      <c r="C106" s="73"/>
      <c r="D106" s="68">
        <v>223</v>
      </c>
      <c r="E106" s="74"/>
      <c r="F106" s="3" t="s">
        <v>254</v>
      </c>
      <c r="G106" s="208">
        <f>G107</f>
        <v>12100</v>
      </c>
      <c r="H106" s="19">
        <f t="shared" si="46"/>
        <v>0</v>
      </c>
      <c r="I106" s="297">
        <f t="shared" si="32"/>
        <v>12100</v>
      </c>
    </row>
    <row r="107" spans="2:9" x14ac:dyDescent="0.2">
      <c r="B107" s="120">
        <f t="shared" si="31"/>
        <v>102</v>
      </c>
      <c r="C107" s="12"/>
      <c r="D107" s="4"/>
      <c r="E107" s="13">
        <v>223001</v>
      </c>
      <c r="F107" s="4" t="s">
        <v>255</v>
      </c>
      <c r="G107" s="247">
        <v>12100</v>
      </c>
      <c r="H107" s="21"/>
      <c r="I107" s="313">
        <f t="shared" si="32"/>
        <v>12100</v>
      </c>
    </row>
    <row r="108" spans="2:9" x14ac:dyDescent="0.2">
      <c r="B108" s="120">
        <f t="shared" si="31"/>
        <v>103</v>
      </c>
      <c r="C108" s="69"/>
      <c r="D108" s="66"/>
      <c r="E108" s="70"/>
      <c r="F108" s="5" t="s">
        <v>51</v>
      </c>
      <c r="G108" s="206">
        <f>G109+G112</f>
        <v>40200</v>
      </c>
      <c r="H108" s="294">
        <f t="shared" ref="H108" si="47">H109+H112</f>
        <v>0</v>
      </c>
      <c r="I108" s="308">
        <f t="shared" si="32"/>
        <v>40200</v>
      </c>
    </row>
    <row r="109" spans="2:9" x14ac:dyDescent="0.2">
      <c r="B109" s="120">
        <f t="shared" si="31"/>
        <v>104</v>
      </c>
      <c r="C109" s="71">
        <v>210</v>
      </c>
      <c r="D109" s="67"/>
      <c r="E109" s="72"/>
      <c r="F109" s="2" t="s">
        <v>250</v>
      </c>
      <c r="G109" s="207">
        <f>G110</f>
        <v>200</v>
      </c>
      <c r="H109" s="18">
        <f t="shared" ref="H109:H110" si="48">H110</f>
        <v>0</v>
      </c>
      <c r="I109" s="309">
        <f t="shared" si="32"/>
        <v>200</v>
      </c>
    </row>
    <row r="110" spans="2:9" x14ac:dyDescent="0.2">
      <c r="B110" s="120">
        <f t="shared" si="31"/>
        <v>105</v>
      </c>
      <c r="C110" s="73"/>
      <c r="D110" s="68">
        <v>212</v>
      </c>
      <c r="E110" s="74"/>
      <c r="F110" s="3" t="s">
        <v>251</v>
      </c>
      <c r="G110" s="208">
        <f>G111</f>
        <v>200</v>
      </c>
      <c r="H110" s="19">
        <f t="shared" si="48"/>
        <v>0</v>
      </c>
      <c r="I110" s="297">
        <f t="shared" si="32"/>
        <v>200</v>
      </c>
    </row>
    <row r="111" spans="2:9" x14ac:dyDescent="0.2">
      <c r="B111" s="120">
        <f t="shared" si="31"/>
        <v>106</v>
      </c>
      <c r="C111" s="12"/>
      <c r="D111" s="4"/>
      <c r="E111" s="13">
        <v>212002</v>
      </c>
      <c r="F111" s="4" t="s">
        <v>284</v>
      </c>
      <c r="G111" s="247">
        <v>200</v>
      </c>
      <c r="H111" s="21"/>
      <c r="I111" s="313">
        <f t="shared" si="32"/>
        <v>200</v>
      </c>
    </row>
    <row r="112" spans="2:9" x14ac:dyDescent="0.2">
      <c r="B112" s="120">
        <f t="shared" si="31"/>
        <v>107</v>
      </c>
      <c r="C112" s="71">
        <v>220</v>
      </c>
      <c r="D112" s="67"/>
      <c r="E112" s="72"/>
      <c r="F112" s="2" t="s">
        <v>225</v>
      </c>
      <c r="G112" s="207">
        <f>G113</f>
        <v>40000</v>
      </c>
      <c r="H112" s="18">
        <f t="shared" ref="H112:H113" si="49">H113</f>
        <v>0</v>
      </c>
      <c r="I112" s="309">
        <f t="shared" si="32"/>
        <v>40000</v>
      </c>
    </row>
    <row r="113" spans="2:9" x14ac:dyDescent="0.2">
      <c r="B113" s="120">
        <f t="shared" si="31"/>
        <v>108</v>
      </c>
      <c r="C113" s="73"/>
      <c r="D113" s="68">
        <v>223</v>
      </c>
      <c r="E113" s="74"/>
      <c r="F113" s="3" t="s">
        <v>254</v>
      </c>
      <c r="G113" s="208">
        <f>G114</f>
        <v>40000</v>
      </c>
      <c r="H113" s="19">
        <f t="shared" si="49"/>
        <v>0</v>
      </c>
      <c r="I113" s="297">
        <f t="shared" si="32"/>
        <v>40000</v>
      </c>
    </row>
    <row r="114" spans="2:9" x14ac:dyDescent="0.2">
      <c r="B114" s="120">
        <f t="shared" si="31"/>
        <v>109</v>
      </c>
      <c r="C114" s="12"/>
      <c r="D114" s="4"/>
      <c r="E114" s="13">
        <v>223001</v>
      </c>
      <c r="F114" s="4" t="s">
        <v>255</v>
      </c>
      <c r="G114" s="247">
        <v>40000</v>
      </c>
      <c r="H114" s="21"/>
      <c r="I114" s="313">
        <f t="shared" si="32"/>
        <v>40000</v>
      </c>
    </row>
    <row r="115" spans="2:9" x14ac:dyDescent="0.2">
      <c r="B115" s="120">
        <f t="shared" si="31"/>
        <v>110</v>
      </c>
      <c r="C115" s="69"/>
      <c r="D115" s="66"/>
      <c r="E115" s="70"/>
      <c r="F115" s="5" t="s">
        <v>53</v>
      </c>
      <c r="G115" s="206">
        <f>G116+G119</f>
        <v>7700</v>
      </c>
      <c r="H115" s="294">
        <f t="shared" ref="H115" si="50">H116+H119</f>
        <v>0</v>
      </c>
      <c r="I115" s="308">
        <f t="shared" si="32"/>
        <v>7700</v>
      </c>
    </row>
    <row r="116" spans="2:9" x14ac:dyDescent="0.2">
      <c r="B116" s="120">
        <f t="shared" si="31"/>
        <v>111</v>
      </c>
      <c r="C116" s="71">
        <v>210</v>
      </c>
      <c r="D116" s="67"/>
      <c r="E116" s="72"/>
      <c r="F116" s="2" t="s">
        <v>250</v>
      </c>
      <c r="G116" s="207">
        <f>G117</f>
        <v>700</v>
      </c>
      <c r="H116" s="18">
        <f t="shared" ref="H116:H117" si="51">H117</f>
        <v>0</v>
      </c>
      <c r="I116" s="309">
        <f t="shared" si="32"/>
        <v>700</v>
      </c>
    </row>
    <row r="117" spans="2:9" x14ac:dyDescent="0.2">
      <c r="B117" s="120">
        <f t="shared" si="31"/>
        <v>112</v>
      </c>
      <c r="C117" s="73"/>
      <c r="D117" s="68">
        <v>212</v>
      </c>
      <c r="E117" s="74"/>
      <c r="F117" s="3" t="s">
        <v>251</v>
      </c>
      <c r="G117" s="208">
        <f>G118</f>
        <v>700</v>
      </c>
      <c r="H117" s="19">
        <f t="shared" si="51"/>
        <v>0</v>
      </c>
      <c r="I117" s="297">
        <f t="shared" si="32"/>
        <v>700</v>
      </c>
    </row>
    <row r="118" spans="2:9" x14ac:dyDescent="0.2">
      <c r="B118" s="120">
        <f t="shared" si="31"/>
        <v>113</v>
      </c>
      <c r="C118" s="12"/>
      <c r="D118" s="4"/>
      <c r="E118" s="13">
        <v>212002</v>
      </c>
      <c r="F118" s="4" t="s">
        <v>284</v>
      </c>
      <c r="G118" s="247">
        <v>700</v>
      </c>
      <c r="H118" s="21"/>
      <c r="I118" s="313">
        <f t="shared" si="32"/>
        <v>700</v>
      </c>
    </row>
    <row r="119" spans="2:9" x14ac:dyDescent="0.2">
      <c r="B119" s="120">
        <f t="shared" si="31"/>
        <v>114</v>
      </c>
      <c r="C119" s="71">
        <v>220</v>
      </c>
      <c r="D119" s="67"/>
      <c r="E119" s="72"/>
      <c r="F119" s="2" t="s">
        <v>225</v>
      </c>
      <c r="G119" s="207">
        <f>G120</f>
        <v>7000</v>
      </c>
      <c r="H119" s="18">
        <f t="shared" ref="H119:H120" si="52">H120</f>
        <v>0</v>
      </c>
      <c r="I119" s="309">
        <f t="shared" si="32"/>
        <v>7000</v>
      </c>
    </row>
    <row r="120" spans="2:9" x14ac:dyDescent="0.2">
      <c r="B120" s="120">
        <f t="shared" si="31"/>
        <v>115</v>
      </c>
      <c r="C120" s="73"/>
      <c r="D120" s="68">
        <v>223</v>
      </c>
      <c r="E120" s="74"/>
      <c r="F120" s="3" t="s">
        <v>254</v>
      </c>
      <c r="G120" s="208">
        <f>G121</f>
        <v>7000</v>
      </c>
      <c r="H120" s="19">
        <f t="shared" si="52"/>
        <v>0</v>
      </c>
      <c r="I120" s="297">
        <f t="shared" si="32"/>
        <v>7000</v>
      </c>
    </row>
    <row r="121" spans="2:9" ht="13.5" thickBot="1" x14ac:dyDescent="0.25">
      <c r="B121" s="120">
        <f t="shared" si="31"/>
        <v>116</v>
      </c>
      <c r="C121" s="12"/>
      <c r="D121" s="144"/>
      <c r="E121" s="13">
        <v>223001</v>
      </c>
      <c r="F121" s="4" t="s">
        <v>255</v>
      </c>
      <c r="G121" s="247">
        <v>7000</v>
      </c>
      <c r="H121" s="21"/>
      <c r="I121" s="313">
        <f t="shared" si="32"/>
        <v>7000</v>
      </c>
    </row>
    <row r="122" spans="2:9" ht="15.75" thickBot="1" x14ac:dyDescent="0.3">
      <c r="B122" s="120">
        <f t="shared" si="31"/>
        <v>117</v>
      </c>
      <c r="C122" s="75">
        <v>3</v>
      </c>
      <c r="D122" s="157"/>
      <c r="E122" s="76"/>
      <c r="F122" s="9" t="s">
        <v>14</v>
      </c>
      <c r="G122" s="299">
        <f>G123</f>
        <v>18000</v>
      </c>
      <c r="H122" s="319">
        <f t="shared" ref="H122:H124" si="53">H123</f>
        <v>0</v>
      </c>
      <c r="I122" s="307">
        <f t="shared" si="32"/>
        <v>18000</v>
      </c>
    </row>
    <row r="123" spans="2:9" x14ac:dyDescent="0.2">
      <c r="B123" s="120">
        <f t="shared" si="31"/>
        <v>118</v>
      </c>
      <c r="C123" s="69">
        <v>220</v>
      </c>
      <c r="D123" s="156"/>
      <c r="E123" s="70"/>
      <c r="F123" s="5" t="s">
        <v>225</v>
      </c>
      <c r="G123" s="206">
        <f>G124</f>
        <v>18000</v>
      </c>
      <c r="H123" s="294">
        <f t="shared" si="53"/>
        <v>0</v>
      </c>
      <c r="I123" s="308">
        <f t="shared" si="32"/>
        <v>18000</v>
      </c>
    </row>
    <row r="124" spans="2:9" x14ac:dyDescent="0.2">
      <c r="B124" s="120">
        <f t="shared" si="31"/>
        <v>119</v>
      </c>
      <c r="C124" s="71"/>
      <c r="D124" s="67">
        <v>223</v>
      </c>
      <c r="E124" s="72"/>
      <c r="F124" s="2" t="s">
        <v>254</v>
      </c>
      <c r="G124" s="207">
        <f>G125</f>
        <v>18000</v>
      </c>
      <c r="H124" s="18">
        <f t="shared" si="53"/>
        <v>0</v>
      </c>
      <c r="I124" s="309">
        <f t="shared" si="32"/>
        <v>18000</v>
      </c>
    </row>
    <row r="125" spans="2:9" ht="13.5" thickBot="1" x14ac:dyDescent="0.25">
      <c r="B125" s="120">
        <f t="shared" si="31"/>
        <v>120</v>
      </c>
      <c r="C125" s="73"/>
      <c r="D125" s="68"/>
      <c r="E125" s="74">
        <v>223002</v>
      </c>
      <c r="F125" s="3" t="s">
        <v>76</v>
      </c>
      <c r="G125" s="208">
        <v>18000</v>
      </c>
      <c r="H125" s="19"/>
      <c r="I125" s="297">
        <f t="shared" si="32"/>
        <v>18000</v>
      </c>
    </row>
    <row r="126" spans="2:9" ht="15.75" thickBot="1" x14ac:dyDescent="0.3">
      <c r="B126" s="120">
        <f t="shared" si="31"/>
        <v>121</v>
      </c>
      <c r="C126" s="75">
        <v>4</v>
      </c>
      <c r="D126" s="157"/>
      <c r="E126" s="76"/>
      <c r="F126" s="9" t="s">
        <v>90</v>
      </c>
      <c r="G126" s="299">
        <f>G210+G205+G201+G197+G193+G188+G183+G178+G173+G167+G162+G157+G152+G147+G142+G137+G132+G127</f>
        <v>404827</v>
      </c>
      <c r="H126" s="319">
        <f t="shared" ref="H126" si="54">H210+H205+H201+H197+H193+H188+H183+H178+H173+H167+H162+H157+H152+H147+H142+H137+H132+H127</f>
        <v>0</v>
      </c>
      <c r="I126" s="307">
        <f t="shared" si="32"/>
        <v>404827</v>
      </c>
    </row>
    <row r="127" spans="2:9" x14ac:dyDescent="0.2">
      <c r="B127" s="120">
        <f t="shared" si="31"/>
        <v>122</v>
      </c>
      <c r="C127" s="69"/>
      <c r="D127" s="156"/>
      <c r="E127" s="70"/>
      <c r="F127" s="5" t="s">
        <v>72</v>
      </c>
      <c r="G127" s="206">
        <f>G128</f>
        <v>21130</v>
      </c>
      <c r="H127" s="294">
        <f t="shared" ref="H127:H128" si="55">H128</f>
        <v>0</v>
      </c>
      <c r="I127" s="308">
        <f t="shared" si="32"/>
        <v>21130</v>
      </c>
    </row>
    <row r="128" spans="2:9" x14ac:dyDescent="0.2">
      <c r="B128" s="120">
        <f t="shared" si="31"/>
        <v>123</v>
      </c>
      <c r="C128" s="71">
        <v>220</v>
      </c>
      <c r="D128" s="67"/>
      <c r="E128" s="72"/>
      <c r="F128" s="2" t="s">
        <v>225</v>
      </c>
      <c r="G128" s="207">
        <f>G129</f>
        <v>21130</v>
      </c>
      <c r="H128" s="18">
        <f t="shared" si="55"/>
        <v>0</v>
      </c>
      <c r="I128" s="309">
        <f t="shared" si="32"/>
        <v>21130</v>
      </c>
    </row>
    <row r="129" spans="2:9" x14ac:dyDescent="0.2">
      <c r="B129" s="120">
        <f t="shared" si="31"/>
        <v>124</v>
      </c>
      <c r="C129" s="73"/>
      <c r="D129" s="68">
        <v>223</v>
      </c>
      <c r="E129" s="74"/>
      <c r="F129" s="3" t="s">
        <v>254</v>
      </c>
      <c r="G129" s="208">
        <f>G131+G130</f>
        <v>21130</v>
      </c>
      <c r="H129" s="19">
        <f t="shared" ref="H129" si="56">H131+H130</f>
        <v>0</v>
      </c>
      <c r="I129" s="297">
        <f t="shared" si="32"/>
        <v>21130</v>
      </c>
    </row>
    <row r="130" spans="2:9" x14ac:dyDescent="0.2">
      <c r="B130" s="120">
        <f t="shared" si="31"/>
        <v>125</v>
      </c>
      <c r="C130" s="12"/>
      <c r="D130" s="4"/>
      <c r="E130" s="13">
        <v>223002</v>
      </c>
      <c r="F130" s="4" t="s">
        <v>76</v>
      </c>
      <c r="G130" s="247">
        <v>7470</v>
      </c>
      <c r="H130" s="21"/>
      <c r="I130" s="313">
        <f t="shared" si="32"/>
        <v>7470</v>
      </c>
    </row>
    <row r="131" spans="2:9" x14ac:dyDescent="0.2">
      <c r="B131" s="120">
        <f t="shared" si="31"/>
        <v>126</v>
      </c>
      <c r="C131" s="12"/>
      <c r="D131" s="4"/>
      <c r="E131" s="13">
        <v>223003</v>
      </c>
      <c r="F131" s="45" t="s">
        <v>77</v>
      </c>
      <c r="G131" s="247">
        <v>13660</v>
      </c>
      <c r="H131" s="21"/>
      <c r="I131" s="313">
        <f t="shared" si="32"/>
        <v>13660</v>
      </c>
    </row>
    <row r="132" spans="2:9" x14ac:dyDescent="0.2">
      <c r="B132" s="120">
        <f t="shared" si="31"/>
        <v>127</v>
      </c>
      <c r="C132" s="69"/>
      <c r="D132" s="66"/>
      <c r="E132" s="70"/>
      <c r="F132" s="5" t="s">
        <v>240</v>
      </c>
      <c r="G132" s="206">
        <f>G133</f>
        <v>33900</v>
      </c>
      <c r="H132" s="294">
        <f t="shared" ref="H132:H133" si="57">H133</f>
        <v>0</v>
      </c>
      <c r="I132" s="308">
        <f t="shared" si="32"/>
        <v>33900</v>
      </c>
    </row>
    <row r="133" spans="2:9" x14ac:dyDescent="0.2">
      <c r="B133" s="120">
        <f t="shared" si="31"/>
        <v>128</v>
      </c>
      <c r="C133" s="71">
        <v>220</v>
      </c>
      <c r="D133" s="67"/>
      <c r="E133" s="72"/>
      <c r="F133" s="2" t="s">
        <v>225</v>
      </c>
      <c r="G133" s="207">
        <f>G134</f>
        <v>33900</v>
      </c>
      <c r="H133" s="18">
        <f t="shared" si="57"/>
        <v>0</v>
      </c>
      <c r="I133" s="309">
        <f t="shared" si="32"/>
        <v>33900</v>
      </c>
    </row>
    <row r="134" spans="2:9" x14ac:dyDescent="0.2">
      <c r="B134" s="120">
        <f t="shared" si="31"/>
        <v>129</v>
      </c>
      <c r="C134" s="73"/>
      <c r="D134" s="68">
        <v>223</v>
      </c>
      <c r="E134" s="74"/>
      <c r="F134" s="3" t="s">
        <v>254</v>
      </c>
      <c r="G134" s="208">
        <f>G136+G135</f>
        <v>33900</v>
      </c>
      <c r="H134" s="19">
        <f t="shared" ref="H134" si="58">H136+H135</f>
        <v>0</v>
      </c>
      <c r="I134" s="297">
        <f t="shared" si="32"/>
        <v>33900</v>
      </c>
    </row>
    <row r="135" spans="2:9" x14ac:dyDescent="0.2">
      <c r="B135" s="120">
        <f t="shared" si="31"/>
        <v>130</v>
      </c>
      <c r="C135" s="12"/>
      <c r="D135" s="4"/>
      <c r="E135" s="13">
        <v>223002</v>
      </c>
      <c r="F135" s="4" t="s">
        <v>76</v>
      </c>
      <c r="G135" s="247">
        <v>10900</v>
      </c>
      <c r="H135" s="21"/>
      <c r="I135" s="313">
        <f t="shared" si="32"/>
        <v>10900</v>
      </c>
    </row>
    <row r="136" spans="2:9" x14ac:dyDescent="0.2">
      <c r="B136" s="120">
        <f t="shared" si="31"/>
        <v>131</v>
      </c>
      <c r="C136" s="12"/>
      <c r="D136" s="4"/>
      <c r="E136" s="13">
        <v>223003</v>
      </c>
      <c r="F136" s="45" t="s">
        <v>77</v>
      </c>
      <c r="G136" s="247">
        <v>23000</v>
      </c>
      <c r="H136" s="21"/>
      <c r="I136" s="313">
        <f t="shared" si="32"/>
        <v>23000</v>
      </c>
    </row>
    <row r="137" spans="2:9" x14ac:dyDescent="0.2">
      <c r="B137" s="120">
        <f>B136+1</f>
        <v>132</v>
      </c>
      <c r="C137" s="69"/>
      <c r="D137" s="66"/>
      <c r="E137" s="70"/>
      <c r="F137" s="5" t="s">
        <v>71</v>
      </c>
      <c r="G137" s="206">
        <f>G138</f>
        <v>20100</v>
      </c>
      <c r="H137" s="294">
        <f t="shared" ref="H137:H138" si="59">H138</f>
        <v>0</v>
      </c>
      <c r="I137" s="308">
        <f t="shared" si="32"/>
        <v>20100</v>
      </c>
    </row>
    <row r="138" spans="2:9" x14ac:dyDescent="0.2">
      <c r="B138" s="120">
        <f>B137+1</f>
        <v>133</v>
      </c>
      <c r="C138" s="71">
        <v>220</v>
      </c>
      <c r="D138" s="67"/>
      <c r="E138" s="72"/>
      <c r="F138" s="2" t="s">
        <v>225</v>
      </c>
      <c r="G138" s="207">
        <f>G139</f>
        <v>20100</v>
      </c>
      <c r="H138" s="18">
        <f t="shared" si="59"/>
        <v>0</v>
      </c>
      <c r="I138" s="309">
        <f t="shared" ref="I138:I201" si="60">G138+H138</f>
        <v>20100</v>
      </c>
    </row>
    <row r="139" spans="2:9" x14ac:dyDescent="0.2">
      <c r="B139" s="120">
        <f t="shared" ref="B139:B168" si="61">B138+1</f>
        <v>134</v>
      </c>
      <c r="C139" s="73"/>
      <c r="D139" s="68">
        <v>223</v>
      </c>
      <c r="E139" s="74"/>
      <c r="F139" s="3" t="s">
        <v>254</v>
      </c>
      <c r="G139" s="208">
        <f>G141+G140</f>
        <v>20100</v>
      </c>
      <c r="H139" s="19">
        <f t="shared" ref="H139" si="62">H141+H140</f>
        <v>0</v>
      </c>
      <c r="I139" s="297">
        <f t="shared" si="60"/>
        <v>20100</v>
      </c>
    </row>
    <row r="140" spans="2:9" x14ac:dyDescent="0.2">
      <c r="B140" s="120">
        <f t="shared" si="61"/>
        <v>135</v>
      </c>
      <c r="C140" s="12"/>
      <c r="D140" s="4"/>
      <c r="E140" s="13">
        <v>223002</v>
      </c>
      <c r="F140" s="4" t="s">
        <v>76</v>
      </c>
      <c r="G140" s="247">
        <v>6740</v>
      </c>
      <c r="H140" s="21"/>
      <c r="I140" s="313">
        <f t="shared" si="60"/>
        <v>6740</v>
      </c>
    </row>
    <row r="141" spans="2:9" x14ac:dyDescent="0.2">
      <c r="B141" s="120">
        <f t="shared" si="61"/>
        <v>136</v>
      </c>
      <c r="C141" s="12"/>
      <c r="D141" s="4"/>
      <c r="E141" s="13">
        <v>223003</v>
      </c>
      <c r="F141" s="45" t="s">
        <v>77</v>
      </c>
      <c r="G141" s="247">
        <v>13360</v>
      </c>
      <c r="H141" s="21"/>
      <c r="I141" s="313">
        <f t="shared" si="60"/>
        <v>13360</v>
      </c>
    </row>
    <row r="142" spans="2:9" x14ac:dyDescent="0.2">
      <c r="B142" s="120">
        <f t="shared" si="61"/>
        <v>137</v>
      </c>
      <c r="C142" s="69"/>
      <c r="D142" s="66"/>
      <c r="E142" s="70"/>
      <c r="F142" s="5" t="s">
        <v>104</v>
      </c>
      <c r="G142" s="206">
        <f>G143</f>
        <v>23660</v>
      </c>
      <c r="H142" s="294">
        <f t="shared" ref="H142:H143" si="63">H143</f>
        <v>0</v>
      </c>
      <c r="I142" s="308">
        <f t="shared" si="60"/>
        <v>23660</v>
      </c>
    </row>
    <row r="143" spans="2:9" x14ac:dyDescent="0.2">
      <c r="B143" s="120">
        <f t="shared" si="61"/>
        <v>138</v>
      </c>
      <c r="C143" s="71">
        <v>220</v>
      </c>
      <c r="D143" s="67"/>
      <c r="E143" s="72"/>
      <c r="F143" s="2" t="s">
        <v>225</v>
      </c>
      <c r="G143" s="207">
        <f>G144</f>
        <v>23660</v>
      </c>
      <c r="H143" s="18">
        <f t="shared" si="63"/>
        <v>0</v>
      </c>
      <c r="I143" s="309">
        <f t="shared" si="60"/>
        <v>23660</v>
      </c>
    </row>
    <row r="144" spans="2:9" x14ac:dyDescent="0.2">
      <c r="B144" s="120">
        <f t="shared" si="61"/>
        <v>139</v>
      </c>
      <c r="C144" s="73"/>
      <c r="D144" s="68">
        <v>223</v>
      </c>
      <c r="E144" s="74"/>
      <c r="F144" s="3" t="s">
        <v>254</v>
      </c>
      <c r="G144" s="208">
        <f>G146+G145</f>
        <v>23660</v>
      </c>
      <c r="H144" s="19">
        <f t="shared" ref="H144" si="64">H146+H145</f>
        <v>0</v>
      </c>
      <c r="I144" s="297">
        <f t="shared" si="60"/>
        <v>23660</v>
      </c>
    </row>
    <row r="145" spans="2:9" x14ac:dyDescent="0.2">
      <c r="B145" s="120">
        <f t="shared" si="61"/>
        <v>140</v>
      </c>
      <c r="C145" s="12"/>
      <c r="D145" s="4"/>
      <c r="E145" s="13">
        <v>223002</v>
      </c>
      <c r="F145" s="4" t="s">
        <v>76</v>
      </c>
      <c r="G145" s="247">
        <v>7745</v>
      </c>
      <c r="H145" s="21"/>
      <c r="I145" s="313">
        <f t="shared" si="60"/>
        <v>7745</v>
      </c>
    </row>
    <row r="146" spans="2:9" x14ac:dyDescent="0.2">
      <c r="B146" s="120">
        <f t="shared" si="61"/>
        <v>141</v>
      </c>
      <c r="C146" s="12"/>
      <c r="D146" s="4"/>
      <c r="E146" s="13">
        <v>223003</v>
      </c>
      <c r="F146" s="45" t="s">
        <v>77</v>
      </c>
      <c r="G146" s="247">
        <v>15915</v>
      </c>
      <c r="H146" s="21"/>
      <c r="I146" s="313">
        <f t="shared" si="60"/>
        <v>15915</v>
      </c>
    </row>
    <row r="147" spans="2:9" x14ac:dyDescent="0.2">
      <c r="B147" s="120">
        <f t="shared" si="61"/>
        <v>142</v>
      </c>
      <c r="C147" s="69"/>
      <c r="D147" s="66"/>
      <c r="E147" s="70"/>
      <c r="F147" s="5" t="s">
        <v>107</v>
      </c>
      <c r="G147" s="206">
        <f>G148</f>
        <v>24160</v>
      </c>
      <c r="H147" s="294">
        <f t="shared" ref="H147:H148" si="65">H148</f>
        <v>0</v>
      </c>
      <c r="I147" s="308">
        <f t="shared" si="60"/>
        <v>24160</v>
      </c>
    </row>
    <row r="148" spans="2:9" x14ac:dyDescent="0.2">
      <c r="B148" s="120">
        <f t="shared" si="61"/>
        <v>143</v>
      </c>
      <c r="C148" s="71">
        <v>220</v>
      </c>
      <c r="D148" s="67"/>
      <c r="E148" s="72"/>
      <c r="F148" s="2" t="s">
        <v>225</v>
      </c>
      <c r="G148" s="207">
        <f>G149</f>
        <v>24160</v>
      </c>
      <c r="H148" s="18">
        <f t="shared" si="65"/>
        <v>0</v>
      </c>
      <c r="I148" s="309">
        <f t="shared" si="60"/>
        <v>24160</v>
      </c>
    </row>
    <row r="149" spans="2:9" x14ac:dyDescent="0.2">
      <c r="B149" s="120">
        <f t="shared" si="61"/>
        <v>144</v>
      </c>
      <c r="C149" s="73"/>
      <c r="D149" s="68">
        <v>223</v>
      </c>
      <c r="E149" s="74"/>
      <c r="F149" s="3" t="s">
        <v>254</v>
      </c>
      <c r="G149" s="208">
        <f>G151+G150</f>
        <v>24160</v>
      </c>
      <c r="H149" s="19">
        <f t="shared" ref="H149" si="66">H151+H150</f>
        <v>0</v>
      </c>
      <c r="I149" s="297">
        <f t="shared" si="60"/>
        <v>24160</v>
      </c>
    </row>
    <row r="150" spans="2:9" x14ac:dyDescent="0.2">
      <c r="B150" s="120">
        <f t="shared" si="61"/>
        <v>145</v>
      </c>
      <c r="C150" s="12"/>
      <c r="D150" s="4"/>
      <c r="E150" s="13">
        <v>223002</v>
      </c>
      <c r="F150" s="4" t="s">
        <v>76</v>
      </c>
      <c r="G150" s="247">
        <v>7030</v>
      </c>
      <c r="H150" s="21"/>
      <c r="I150" s="313">
        <f t="shared" si="60"/>
        <v>7030</v>
      </c>
    </row>
    <row r="151" spans="2:9" x14ac:dyDescent="0.2">
      <c r="B151" s="120">
        <f t="shared" si="61"/>
        <v>146</v>
      </c>
      <c r="C151" s="12"/>
      <c r="D151" s="4"/>
      <c r="E151" s="13">
        <v>223003</v>
      </c>
      <c r="F151" s="45" t="s">
        <v>77</v>
      </c>
      <c r="G151" s="247">
        <v>17130</v>
      </c>
      <c r="H151" s="21"/>
      <c r="I151" s="313">
        <f t="shared" si="60"/>
        <v>17130</v>
      </c>
    </row>
    <row r="152" spans="2:9" x14ac:dyDescent="0.2">
      <c r="B152" s="120">
        <f t="shared" si="61"/>
        <v>147</v>
      </c>
      <c r="C152" s="69"/>
      <c r="D152" s="66"/>
      <c r="E152" s="70"/>
      <c r="F152" s="5" t="s">
        <v>92</v>
      </c>
      <c r="G152" s="206">
        <f>G153</f>
        <v>38850</v>
      </c>
      <c r="H152" s="294">
        <f t="shared" ref="H152:H153" si="67">H153</f>
        <v>0</v>
      </c>
      <c r="I152" s="308">
        <f t="shared" si="60"/>
        <v>38850</v>
      </c>
    </row>
    <row r="153" spans="2:9" x14ac:dyDescent="0.2">
      <c r="B153" s="120">
        <f t="shared" si="61"/>
        <v>148</v>
      </c>
      <c r="C153" s="71">
        <v>220</v>
      </c>
      <c r="D153" s="67"/>
      <c r="E153" s="72"/>
      <c r="F153" s="2" t="s">
        <v>225</v>
      </c>
      <c r="G153" s="207">
        <f>G154</f>
        <v>38850</v>
      </c>
      <c r="H153" s="18">
        <f t="shared" si="67"/>
        <v>0</v>
      </c>
      <c r="I153" s="309">
        <f t="shared" si="60"/>
        <v>38850</v>
      </c>
    </row>
    <row r="154" spans="2:9" x14ac:dyDescent="0.2">
      <c r="B154" s="120">
        <f t="shared" si="61"/>
        <v>149</v>
      </c>
      <c r="C154" s="73"/>
      <c r="D154" s="68">
        <v>223</v>
      </c>
      <c r="E154" s="74"/>
      <c r="F154" s="3" t="s">
        <v>254</v>
      </c>
      <c r="G154" s="208">
        <f>G156+G155</f>
        <v>38850</v>
      </c>
      <c r="H154" s="19">
        <f t="shared" ref="H154" si="68">H156+H155</f>
        <v>0</v>
      </c>
      <c r="I154" s="297">
        <f t="shared" si="60"/>
        <v>38850</v>
      </c>
    </row>
    <row r="155" spans="2:9" x14ac:dyDescent="0.2">
      <c r="B155" s="120">
        <f t="shared" si="61"/>
        <v>150</v>
      </c>
      <c r="C155" s="12"/>
      <c r="D155" s="4"/>
      <c r="E155" s="13">
        <v>223002</v>
      </c>
      <c r="F155" s="4" t="s">
        <v>76</v>
      </c>
      <c r="G155" s="247">
        <v>10900</v>
      </c>
      <c r="H155" s="21"/>
      <c r="I155" s="313">
        <f t="shared" si="60"/>
        <v>10900</v>
      </c>
    </row>
    <row r="156" spans="2:9" x14ac:dyDescent="0.2">
      <c r="B156" s="120">
        <f t="shared" si="61"/>
        <v>151</v>
      </c>
      <c r="C156" s="12"/>
      <c r="D156" s="4"/>
      <c r="E156" s="13">
        <v>223003</v>
      </c>
      <c r="F156" s="45" t="s">
        <v>77</v>
      </c>
      <c r="G156" s="247">
        <v>27950</v>
      </c>
      <c r="H156" s="21"/>
      <c r="I156" s="313">
        <f t="shared" si="60"/>
        <v>27950</v>
      </c>
    </row>
    <row r="157" spans="2:9" x14ac:dyDescent="0.2">
      <c r="B157" s="120">
        <f t="shared" si="61"/>
        <v>152</v>
      </c>
      <c r="C157" s="69"/>
      <c r="D157" s="66"/>
      <c r="E157" s="70"/>
      <c r="F157" s="5" t="s">
        <v>89</v>
      </c>
      <c r="G157" s="206">
        <f>G158</f>
        <v>40175</v>
      </c>
      <c r="H157" s="294">
        <f t="shared" ref="H157:H158" si="69">H158</f>
        <v>0</v>
      </c>
      <c r="I157" s="308">
        <f t="shared" si="60"/>
        <v>40175</v>
      </c>
    </row>
    <row r="158" spans="2:9" x14ac:dyDescent="0.2">
      <c r="B158" s="120">
        <f t="shared" si="61"/>
        <v>153</v>
      </c>
      <c r="C158" s="71">
        <v>220</v>
      </c>
      <c r="D158" s="67"/>
      <c r="E158" s="72"/>
      <c r="F158" s="2" t="s">
        <v>225</v>
      </c>
      <c r="G158" s="207">
        <f>G159</f>
        <v>40175</v>
      </c>
      <c r="H158" s="18">
        <f t="shared" si="69"/>
        <v>0</v>
      </c>
      <c r="I158" s="309">
        <f t="shared" si="60"/>
        <v>40175</v>
      </c>
    </row>
    <row r="159" spans="2:9" x14ac:dyDescent="0.2">
      <c r="B159" s="120">
        <f t="shared" si="61"/>
        <v>154</v>
      </c>
      <c r="C159" s="73"/>
      <c r="D159" s="68">
        <v>223</v>
      </c>
      <c r="E159" s="74"/>
      <c r="F159" s="3" t="s">
        <v>254</v>
      </c>
      <c r="G159" s="208">
        <f>G161+G160</f>
        <v>40175</v>
      </c>
      <c r="H159" s="19">
        <f t="shared" ref="H159" si="70">H161+H160</f>
        <v>0</v>
      </c>
      <c r="I159" s="297">
        <f t="shared" si="60"/>
        <v>40175</v>
      </c>
    </row>
    <row r="160" spans="2:9" x14ac:dyDescent="0.2">
      <c r="B160" s="120">
        <f t="shared" si="61"/>
        <v>155</v>
      </c>
      <c r="C160" s="12"/>
      <c r="D160" s="4"/>
      <c r="E160" s="13">
        <v>223002</v>
      </c>
      <c r="F160" s="4" t="s">
        <v>76</v>
      </c>
      <c r="G160" s="247">
        <v>13340</v>
      </c>
      <c r="H160" s="21"/>
      <c r="I160" s="313">
        <f t="shared" si="60"/>
        <v>13340</v>
      </c>
    </row>
    <row r="161" spans="2:9" x14ac:dyDescent="0.2">
      <c r="B161" s="120">
        <f t="shared" si="61"/>
        <v>156</v>
      </c>
      <c r="C161" s="12"/>
      <c r="D161" s="4"/>
      <c r="E161" s="13">
        <v>223003</v>
      </c>
      <c r="F161" s="45" t="s">
        <v>77</v>
      </c>
      <c r="G161" s="247">
        <v>26835</v>
      </c>
      <c r="H161" s="21"/>
      <c r="I161" s="313">
        <f t="shared" si="60"/>
        <v>26835</v>
      </c>
    </row>
    <row r="162" spans="2:9" x14ac:dyDescent="0.2">
      <c r="B162" s="120">
        <f t="shared" si="61"/>
        <v>157</v>
      </c>
      <c r="C162" s="69"/>
      <c r="D162" s="66"/>
      <c r="E162" s="70"/>
      <c r="F162" s="5" t="s">
        <v>111</v>
      </c>
      <c r="G162" s="206">
        <f>G163</f>
        <v>22235</v>
      </c>
      <c r="H162" s="294">
        <f t="shared" ref="H162:H163" si="71">H163</f>
        <v>0</v>
      </c>
      <c r="I162" s="308">
        <f t="shared" si="60"/>
        <v>22235</v>
      </c>
    </row>
    <row r="163" spans="2:9" x14ac:dyDescent="0.2">
      <c r="B163" s="120">
        <f t="shared" si="61"/>
        <v>158</v>
      </c>
      <c r="C163" s="71">
        <v>220</v>
      </c>
      <c r="D163" s="67"/>
      <c r="E163" s="72"/>
      <c r="F163" s="2" t="s">
        <v>225</v>
      </c>
      <c r="G163" s="207">
        <f>G164</f>
        <v>22235</v>
      </c>
      <c r="H163" s="18">
        <f t="shared" si="71"/>
        <v>0</v>
      </c>
      <c r="I163" s="309">
        <f t="shared" si="60"/>
        <v>22235</v>
      </c>
    </row>
    <row r="164" spans="2:9" x14ac:dyDescent="0.2">
      <c r="B164" s="120">
        <f t="shared" si="61"/>
        <v>159</v>
      </c>
      <c r="C164" s="73"/>
      <c r="D164" s="68">
        <v>223</v>
      </c>
      <c r="E164" s="74"/>
      <c r="F164" s="3" t="s">
        <v>254</v>
      </c>
      <c r="G164" s="208">
        <f>G166+G165</f>
        <v>22235</v>
      </c>
      <c r="H164" s="19">
        <f t="shared" ref="H164" si="72">H166+H165</f>
        <v>0</v>
      </c>
      <c r="I164" s="297">
        <f t="shared" si="60"/>
        <v>22235</v>
      </c>
    </row>
    <row r="165" spans="2:9" x14ac:dyDescent="0.2">
      <c r="B165" s="120">
        <f t="shared" si="61"/>
        <v>160</v>
      </c>
      <c r="C165" s="12"/>
      <c r="D165" s="4"/>
      <c r="E165" s="13">
        <v>223002</v>
      </c>
      <c r="F165" s="4" t="s">
        <v>76</v>
      </c>
      <c r="G165" s="247">
        <v>7030</v>
      </c>
      <c r="H165" s="21"/>
      <c r="I165" s="313">
        <f t="shared" si="60"/>
        <v>7030</v>
      </c>
    </row>
    <row r="166" spans="2:9" x14ac:dyDescent="0.2">
      <c r="B166" s="120">
        <f t="shared" si="61"/>
        <v>161</v>
      </c>
      <c r="C166" s="12"/>
      <c r="D166" s="4"/>
      <c r="E166" s="13">
        <v>223003</v>
      </c>
      <c r="F166" s="45" t="s">
        <v>77</v>
      </c>
      <c r="G166" s="247">
        <v>15205</v>
      </c>
      <c r="H166" s="21"/>
      <c r="I166" s="313">
        <f t="shared" si="60"/>
        <v>15205</v>
      </c>
    </row>
    <row r="167" spans="2:9" x14ac:dyDescent="0.2">
      <c r="B167" s="120">
        <f t="shared" si="61"/>
        <v>162</v>
      </c>
      <c r="C167" s="69"/>
      <c r="D167" s="66"/>
      <c r="E167" s="70"/>
      <c r="F167" s="5" t="s">
        <v>67</v>
      </c>
      <c r="G167" s="206">
        <f>G168</f>
        <v>30160</v>
      </c>
      <c r="H167" s="294">
        <f t="shared" ref="H167:H168" si="73">H168</f>
        <v>0</v>
      </c>
      <c r="I167" s="308">
        <f t="shared" si="60"/>
        <v>30160</v>
      </c>
    </row>
    <row r="168" spans="2:9" x14ac:dyDescent="0.2">
      <c r="B168" s="120">
        <f t="shared" si="61"/>
        <v>163</v>
      </c>
      <c r="C168" s="71">
        <v>220</v>
      </c>
      <c r="D168" s="67"/>
      <c r="E168" s="72"/>
      <c r="F168" s="2" t="s">
        <v>225</v>
      </c>
      <c r="G168" s="207">
        <f>G169</f>
        <v>30160</v>
      </c>
      <c r="H168" s="18">
        <f t="shared" si="73"/>
        <v>0</v>
      </c>
      <c r="I168" s="309">
        <f t="shared" si="60"/>
        <v>30160</v>
      </c>
    </row>
    <row r="169" spans="2:9" x14ac:dyDescent="0.2">
      <c r="B169" s="120">
        <f t="shared" ref="B169:B240" si="74">B168+1</f>
        <v>164</v>
      </c>
      <c r="C169" s="73"/>
      <c r="D169" s="68">
        <v>223</v>
      </c>
      <c r="E169" s="74"/>
      <c r="F169" s="3" t="s">
        <v>254</v>
      </c>
      <c r="G169" s="208">
        <f>G172+G171+G170</f>
        <v>30160</v>
      </c>
      <c r="H169" s="19">
        <f t="shared" ref="H169" si="75">H172+H171+H170</f>
        <v>0</v>
      </c>
      <c r="I169" s="297">
        <f t="shared" si="60"/>
        <v>30160</v>
      </c>
    </row>
    <row r="170" spans="2:9" x14ac:dyDescent="0.2">
      <c r="B170" s="120">
        <f t="shared" si="74"/>
        <v>165</v>
      </c>
      <c r="C170" s="12"/>
      <c r="D170" s="4"/>
      <c r="E170" s="13">
        <v>223001</v>
      </c>
      <c r="F170" s="4" t="s">
        <v>255</v>
      </c>
      <c r="G170" s="247">
        <f>350+385</f>
        <v>735</v>
      </c>
      <c r="H170" s="21"/>
      <c r="I170" s="313">
        <f t="shared" si="60"/>
        <v>735</v>
      </c>
    </row>
    <row r="171" spans="2:9" x14ac:dyDescent="0.2">
      <c r="B171" s="120">
        <f t="shared" si="74"/>
        <v>166</v>
      </c>
      <c r="C171" s="12"/>
      <c r="D171" s="4"/>
      <c r="E171" s="13">
        <v>223002</v>
      </c>
      <c r="F171" s="4" t="s">
        <v>76</v>
      </c>
      <c r="G171" s="247">
        <v>9030</v>
      </c>
      <c r="H171" s="21"/>
      <c r="I171" s="313">
        <f t="shared" si="60"/>
        <v>9030</v>
      </c>
    </row>
    <row r="172" spans="2:9" x14ac:dyDescent="0.2">
      <c r="B172" s="120">
        <f t="shared" si="74"/>
        <v>167</v>
      </c>
      <c r="C172" s="12"/>
      <c r="D172" s="4"/>
      <c r="E172" s="13">
        <v>223003</v>
      </c>
      <c r="F172" s="45" t="s">
        <v>77</v>
      </c>
      <c r="G172" s="247">
        <v>20395</v>
      </c>
      <c r="H172" s="21"/>
      <c r="I172" s="313">
        <f t="shared" si="60"/>
        <v>20395</v>
      </c>
    </row>
    <row r="173" spans="2:9" x14ac:dyDescent="0.2">
      <c r="B173" s="120">
        <f t="shared" si="74"/>
        <v>168</v>
      </c>
      <c r="C173" s="69"/>
      <c r="D173" s="66"/>
      <c r="E173" s="70"/>
      <c r="F173" s="5" t="s">
        <v>73</v>
      </c>
      <c r="G173" s="206">
        <f>G174</f>
        <v>37730</v>
      </c>
      <c r="H173" s="294">
        <f t="shared" ref="H173:H174" si="76">H174</f>
        <v>0</v>
      </c>
      <c r="I173" s="308">
        <f t="shared" si="60"/>
        <v>37730</v>
      </c>
    </row>
    <row r="174" spans="2:9" x14ac:dyDescent="0.2">
      <c r="B174" s="120">
        <f t="shared" si="74"/>
        <v>169</v>
      </c>
      <c r="C174" s="71">
        <v>220</v>
      </c>
      <c r="D174" s="67"/>
      <c r="E174" s="72"/>
      <c r="F174" s="2" t="s">
        <v>225</v>
      </c>
      <c r="G174" s="207">
        <f>G175</f>
        <v>37730</v>
      </c>
      <c r="H174" s="18">
        <f t="shared" si="76"/>
        <v>0</v>
      </c>
      <c r="I174" s="309">
        <f t="shared" si="60"/>
        <v>37730</v>
      </c>
    </row>
    <row r="175" spans="2:9" x14ac:dyDescent="0.2">
      <c r="B175" s="120">
        <f t="shared" si="74"/>
        <v>170</v>
      </c>
      <c r="C175" s="73"/>
      <c r="D175" s="68">
        <v>223</v>
      </c>
      <c r="E175" s="74"/>
      <c r="F175" s="3" t="s">
        <v>254</v>
      </c>
      <c r="G175" s="208">
        <f>G177+G176</f>
        <v>37730</v>
      </c>
      <c r="H175" s="19">
        <f t="shared" ref="H175" si="77">H177+H176</f>
        <v>0</v>
      </c>
      <c r="I175" s="297">
        <f t="shared" si="60"/>
        <v>37730</v>
      </c>
    </row>
    <row r="176" spans="2:9" x14ac:dyDescent="0.2">
      <c r="B176" s="120">
        <f t="shared" si="74"/>
        <v>171</v>
      </c>
      <c r="C176" s="12"/>
      <c r="D176" s="4"/>
      <c r="E176" s="13">
        <v>223002</v>
      </c>
      <c r="F176" s="4" t="s">
        <v>76</v>
      </c>
      <c r="G176" s="247">
        <v>12620</v>
      </c>
      <c r="H176" s="21"/>
      <c r="I176" s="313">
        <f t="shared" si="60"/>
        <v>12620</v>
      </c>
    </row>
    <row r="177" spans="2:9" x14ac:dyDescent="0.2">
      <c r="B177" s="120">
        <f t="shared" si="74"/>
        <v>172</v>
      </c>
      <c r="C177" s="12"/>
      <c r="D177" s="4"/>
      <c r="E177" s="13">
        <v>223003</v>
      </c>
      <c r="F177" s="45" t="s">
        <v>77</v>
      </c>
      <c r="G177" s="247">
        <v>25110</v>
      </c>
      <c r="H177" s="21"/>
      <c r="I177" s="313">
        <f t="shared" si="60"/>
        <v>25110</v>
      </c>
    </row>
    <row r="178" spans="2:9" x14ac:dyDescent="0.2">
      <c r="B178" s="120">
        <f t="shared" si="74"/>
        <v>173</v>
      </c>
      <c r="C178" s="69"/>
      <c r="D178" s="66"/>
      <c r="E178" s="70"/>
      <c r="F178" s="5" t="s">
        <v>74</v>
      </c>
      <c r="G178" s="206">
        <f>G179</f>
        <v>21240</v>
      </c>
      <c r="H178" s="294">
        <f t="shared" ref="H178:H179" si="78">H179</f>
        <v>0</v>
      </c>
      <c r="I178" s="308">
        <f t="shared" si="60"/>
        <v>21240</v>
      </c>
    </row>
    <row r="179" spans="2:9" x14ac:dyDescent="0.2">
      <c r="B179" s="120">
        <f t="shared" si="74"/>
        <v>174</v>
      </c>
      <c r="C179" s="71">
        <v>220</v>
      </c>
      <c r="D179" s="67"/>
      <c r="E179" s="72"/>
      <c r="F179" s="2" t="s">
        <v>225</v>
      </c>
      <c r="G179" s="207">
        <f>G180</f>
        <v>21240</v>
      </c>
      <c r="H179" s="18">
        <f t="shared" si="78"/>
        <v>0</v>
      </c>
      <c r="I179" s="309">
        <f t="shared" si="60"/>
        <v>21240</v>
      </c>
    </row>
    <row r="180" spans="2:9" x14ac:dyDescent="0.2">
      <c r="B180" s="120">
        <f t="shared" si="74"/>
        <v>175</v>
      </c>
      <c r="C180" s="73"/>
      <c r="D180" s="68">
        <v>223</v>
      </c>
      <c r="E180" s="74"/>
      <c r="F180" s="3" t="s">
        <v>254</v>
      </c>
      <c r="G180" s="208">
        <f>G182+G181</f>
        <v>21240</v>
      </c>
      <c r="H180" s="19">
        <f t="shared" ref="H180" si="79">H182+H181</f>
        <v>0</v>
      </c>
      <c r="I180" s="297">
        <f t="shared" si="60"/>
        <v>21240</v>
      </c>
    </row>
    <row r="181" spans="2:9" x14ac:dyDescent="0.2">
      <c r="B181" s="120">
        <f t="shared" si="74"/>
        <v>176</v>
      </c>
      <c r="C181" s="12"/>
      <c r="D181" s="4"/>
      <c r="E181" s="13">
        <v>223002</v>
      </c>
      <c r="F181" s="4" t="s">
        <v>76</v>
      </c>
      <c r="G181" s="247">
        <v>7030</v>
      </c>
      <c r="H181" s="21"/>
      <c r="I181" s="313">
        <f t="shared" si="60"/>
        <v>7030</v>
      </c>
    </row>
    <row r="182" spans="2:9" x14ac:dyDescent="0.2">
      <c r="B182" s="120">
        <f t="shared" si="74"/>
        <v>177</v>
      </c>
      <c r="C182" s="12"/>
      <c r="D182" s="4"/>
      <c r="E182" s="13">
        <v>223003</v>
      </c>
      <c r="F182" s="45" t="s">
        <v>77</v>
      </c>
      <c r="G182" s="247">
        <v>14210</v>
      </c>
      <c r="H182" s="21"/>
      <c r="I182" s="313">
        <f t="shared" si="60"/>
        <v>14210</v>
      </c>
    </row>
    <row r="183" spans="2:9" x14ac:dyDescent="0.2">
      <c r="B183" s="120">
        <f t="shared" si="74"/>
        <v>178</v>
      </c>
      <c r="C183" s="69"/>
      <c r="D183" s="66"/>
      <c r="E183" s="70"/>
      <c r="F183" s="5" t="s">
        <v>102</v>
      </c>
      <c r="G183" s="206">
        <f>G184</f>
        <v>14060</v>
      </c>
      <c r="H183" s="294">
        <f t="shared" ref="H183:H184" si="80">H184</f>
        <v>0</v>
      </c>
      <c r="I183" s="308">
        <f t="shared" si="60"/>
        <v>14060</v>
      </c>
    </row>
    <row r="184" spans="2:9" x14ac:dyDescent="0.2">
      <c r="B184" s="120">
        <f t="shared" si="74"/>
        <v>179</v>
      </c>
      <c r="C184" s="71">
        <v>220</v>
      </c>
      <c r="D184" s="67"/>
      <c r="E184" s="72"/>
      <c r="F184" s="2" t="s">
        <v>225</v>
      </c>
      <c r="G184" s="207">
        <f>G185</f>
        <v>14060</v>
      </c>
      <c r="H184" s="18">
        <f t="shared" si="80"/>
        <v>0</v>
      </c>
      <c r="I184" s="309">
        <f t="shared" si="60"/>
        <v>14060</v>
      </c>
    </row>
    <row r="185" spans="2:9" x14ac:dyDescent="0.2">
      <c r="B185" s="120">
        <f t="shared" si="74"/>
        <v>180</v>
      </c>
      <c r="C185" s="73"/>
      <c r="D185" s="68">
        <v>223</v>
      </c>
      <c r="E185" s="74"/>
      <c r="F185" s="3" t="s">
        <v>254</v>
      </c>
      <c r="G185" s="208">
        <f>G187+G186</f>
        <v>14060</v>
      </c>
      <c r="H185" s="19">
        <f t="shared" ref="H185" si="81">H187+H186</f>
        <v>0</v>
      </c>
      <c r="I185" s="297">
        <f t="shared" si="60"/>
        <v>14060</v>
      </c>
    </row>
    <row r="186" spans="2:9" x14ac:dyDescent="0.2">
      <c r="B186" s="120">
        <f t="shared" si="74"/>
        <v>181</v>
      </c>
      <c r="C186" s="12"/>
      <c r="D186" s="4"/>
      <c r="E186" s="13">
        <v>223002</v>
      </c>
      <c r="F186" s="4" t="s">
        <v>76</v>
      </c>
      <c r="G186" s="247">
        <v>4160</v>
      </c>
      <c r="H186" s="21"/>
      <c r="I186" s="313">
        <f t="shared" si="60"/>
        <v>4160</v>
      </c>
    </row>
    <row r="187" spans="2:9" x14ac:dyDescent="0.2">
      <c r="B187" s="120">
        <f t="shared" si="74"/>
        <v>182</v>
      </c>
      <c r="C187" s="12"/>
      <c r="D187" s="4"/>
      <c r="E187" s="13">
        <v>223003</v>
      </c>
      <c r="F187" s="45" t="s">
        <v>77</v>
      </c>
      <c r="G187" s="247">
        <v>9900</v>
      </c>
      <c r="H187" s="21"/>
      <c r="I187" s="313">
        <f t="shared" si="60"/>
        <v>9900</v>
      </c>
    </row>
    <row r="188" spans="2:9" x14ac:dyDescent="0.2">
      <c r="B188" s="120">
        <f t="shared" si="74"/>
        <v>183</v>
      </c>
      <c r="C188" s="69"/>
      <c r="D188" s="66"/>
      <c r="E188" s="70"/>
      <c r="F188" s="5" t="s">
        <v>211</v>
      </c>
      <c r="G188" s="206">
        <f>G189</f>
        <v>21500</v>
      </c>
      <c r="H188" s="294">
        <f t="shared" ref="H188:H189" si="82">H189</f>
        <v>0</v>
      </c>
      <c r="I188" s="308">
        <f t="shared" si="60"/>
        <v>21500</v>
      </c>
    </row>
    <row r="189" spans="2:9" x14ac:dyDescent="0.2">
      <c r="B189" s="120">
        <f t="shared" si="74"/>
        <v>184</v>
      </c>
      <c r="C189" s="71">
        <v>220</v>
      </c>
      <c r="D189" s="67"/>
      <c r="E189" s="72"/>
      <c r="F189" s="2" t="s">
        <v>225</v>
      </c>
      <c r="G189" s="207">
        <f>G190</f>
        <v>21500</v>
      </c>
      <c r="H189" s="18">
        <f t="shared" si="82"/>
        <v>0</v>
      </c>
      <c r="I189" s="309">
        <f t="shared" si="60"/>
        <v>21500</v>
      </c>
    </row>
    <row r="190" spans="2:9" x14ac:dyDescent="0.2">
      <c r="B190" s="120">
        <f t="shared" si="74"/>
        <v>185</v>
      </c>
      <c r="C190" s="73"/>
      <c r="D190" s="68">
        <v>223</v>
      </c>
      <c r="E190" s="74"/>
      <c r="F190" s="3" t="s">
        <v>254</v>
      </c>
      <c r="G190" s="208">
        <f>G192+G191</f>
        <v>21500</v>
      </c>
      <c r="H190" s="19">
        <f t="shared" ref="H190" si="83">H192+H191</f>
        <v>0</v>
      </c>
      <c r="I190" s="297">
        <f t="shared" si="60"/>
        <v>21500</v>
      </c>
    </row>
    <row r="191" spans="2:9" x14ac:dyDescent="0.2">
      <c r="B191" s="120">
        <f t="shared" si="74"/>
        <v>186</v>
      </c>
      <c r="C191" s="12"/>
      <c r="D191" s="4"/>
      <c r="E191" s="13">
        <v>223002</v>
      </c>
      <c r="F191" s="4" t="s">
        <v>76</v>
      </c>
      <c r="G191" s="247">
        <v>2870</v>
      </c>
      <c r="H191" s="21"/>
      <c r="I191" s="313">
        <f t="shared" si="60"/>
        <v>2870</v>
      </c>
    </row>
    <row r="192" spans="2:9" x14ac:dyDescent="0.2">
      <c r="B192" s="120">
        <f t="shared" si="74"/>
        <v>187</v>
      </c>
      <c r="C192" s="12"/>
      <c r="D192" s="4"/>
      <c r="E192" s="13">
        <v>223003</v>
      </c>
      <c r="F192" s="45" t="s">
        <v>77</v>
      </c>
      <c r="G192" s="247">
        <v>18630</v>
      </c>
      <c r="H192" s="21"/>
      <c r="I192" s="313">
        <f t="shared" si="60"/>
        <v>18630</v>
      </c>
    </row>
    <row r="193" spans="2:9" x14ac:dyDescent="0.2">
      <c r="B193" s="120">
        <f t="shared" si="74"/>
        <v>188</v>
      </c>
      <c r="C193" s="69"/>
      <c r="D193" s="66"/>
      <c r="E193" s="70"/>
      <c r="F193" s="5" t="s">
        <v>75</v>
      </c>
      <c r="G193" s="206">
        <f>G194</f>
        <v>2870</v>
      </c>
      <c r="H193" s="294">
        <f t="shared" ref="H193:H195" si="84">H194</f>
        <v>0</v>
      </c>
      <c r="I193" s="308">
        <f t="shared" si="60"/>
        <v>2870</v>
      </c>
    </row>
    <row r="194" spans="2:9" x14ac:dyDescent="0.2">
      <c r="B194" s="120">
        <f t="shared" si="74"/>
        <v>189</v>
      </c>
      <c r="C194" s="71">
        <v>220</v>
      </c>
      <c r="D194" s="67"/>
      <c r="E194" s="72"/>
      <c r="F194" s="2" t="s">
        <v>225</v>
      </c>
      <c r="G194" s="207">
        <f>G195</f>
        <v>2870</v>
      </c>
      <c r="H194" s="18">
        <f t="shared" si="84"/>
        <v>0</v>
      </c>
      <c r="I194" s="309">
        <f t="shared" si="60"/>
        <v>2870</v>
      </c>
    </row>
    <row r="195" spans="2:9" x14ac:dyDescent="0.2">
      <c r="B195" s="120">
        <f t="shared" si="74"/>
        <v>190</v>
      </c>
      <c r="C195" s="73"/>
      <c r="D195" s="68">
        <v>223</v>
      </c>
      <c r="E195" s="74"/>
      <c r="F195" s="3" t="s">
        <v>254</v>
      </c>
      <c r="G195" s="208">
        <f>G196</f>
        <v>2870</v>
      </c>
      <c r="H195" s="19">
        <f t="shared" si="84"/>
        <v>0</v>
      </c>
      <c r="I195" s="297">
        <f t="shared" si="60"/>
        <v>2870</v>
      </c>
    </row>
    <row r="196" spans="2:9" x14ac:dyDescent="0.2">
      <c r="B196" s="120">
        <f t="shared" si="74"/>
        <v>191</v>
      </c>
      <c r="C196" s="12"/>
      <c r="D196" s="4"/>
      <c r="E196" s="13">
        <v>223002</v>
      </c>
      <c r="F196" s="4" t="s">
        <v>76</v>
      </c>
      <c r="G196" s="247">
        <v>2870</v>
      </c>
      <c r="H196" s="21"/>
      <c r="I196" s="313">
        <f t="shared" si="60"/>
        <v>2870</v>
      </c>
    </row>
    <row r="197" spans="2:9" x14ac:dyDescent="0.2">
      <c r="B197" s="120">
        <f t="shared" si="74"/>
        <v>192</v>
      </c>
      <c r="C197" s="69"/>
      <c r="D197" s="66"/>
      <c r="E197" s="70"/>
      <c r="F197" s="5" t="s">
        <v>114</v>
      </c>
      <c r="G197" s="206">
        <f>G198</f>
        <v>10760</v>
      </c>
      <c r="H197" s="294">
        <f t="shared" ref="H197:H199" si="85">H198</f>
        <v>0</v>
      </c>
      <c r="I197" s="308">
        <f t="shared" si="60"/>
        <v>10760</v>
      </c>
    </row>
    <row r="198" spans="2:9" x14ac:dyDescent="0.2">
      <c r="B198" s="120">
        <f t="shared" si="74"/>
        <v>193</v>
      </c>
      <c r="C198" s="71">
        <v>220</v>
      </c>
      <c r="D198" s="67"/>
      <c r="E198" s="72"/>
      <c r="F198" s="2" t="s">
        <v>225</v>
      </c>
      <c r="G198" s="207">
        <f>G199</f>
        <v>10760</v>
      </c>
      <c r="H198" s="18">
        <f t="shared" si="85"/>
        <v>0</v>
      </c>
      <c r="I198" s="309">
        <f t="shared" si="60"/>
        <v>10760</v>
      </c>
    </row>
    <row r="199" spans="2:9" x14ac:dyDescent="0.2">
      <c r="B199" s="120">
        <f t="shared" si="74"/>
        <v>194</v>
      </c>
      <c r="C199" s="73"/>
      <c r="D199" s="68">
        <v>223</v>
      </c>
      <c r="E199" s="74"/>
      <c r="F199" s="3" t="s">
        <v>254</v>
      </c>
      <c r="G199" s="208">
        <f>G200</f>
        <v>10760</v>
      </c>
      <c r="H199" s="19">
        <f t="shared" si="85"/>
        <v>0</v>
      </c>
      <c r="I199" s="297">
        <f t="shared" si="60"/>
        <v>10760</v>
      </c>
    </row>
    <row r="200" spans="2:9" x14ac:dyDescent="0.2">
      <c r="B200" s="120">
        <f t="shared" si="74"/>
        <v>195</v>
      </c>
      <c r="C200" s="12"/>
      <c r="D200" s="4"/>
      <c r="E200" s="13">
        <v>223002</v>
      </c>
      <c r="F200" s="4" t="s">
        <v>76</v>
      </c>
      <c r="G200" s="247">
        <v>10760</v>
      </c>
      <c r="H200" s="21"/>
      <c r="I200" s="313">
        <f t="shared" si="60"/>
        <v>10760</v>
      </c>
    </row>
    <row r="201" spans="2:9" x14ac:dyDescent="0.2">
      <c r="B201" s="120">
        <f t="shared" si="74"/>
        <v>196</v>
      </c>
      <c r="C201" s="69"/>
      <c r="D201" s="66"/>
      <c r="E201" s="70"/>
      <c r="F201" s="5" t="s">
        <v>98</v>
      </c>
      <c r="G201" s="206">
        <f>G202</f>
        <v>1270</v>
      </c>
      <c r="H201" s="294">
        <f t="shared" ref="H201:H203" si="86">H202</f>
        <v>0</v>
      </c>
      <c r="I201" s="308">
        <f t="shared" si="60"/>
        <v>1270</v>
      </c>
    </row>
    <row r="202" spans="2:9" x14ac:dyDescent="0.2">
      <c r="B202" s="120">
        <f t="shared" si="74"/>
        <v>197</v>
      </c>
      <c r="C202" s="71">
        <v>220</v>
      </c>
      <c r="D202" s="67"/>
      <c r="E202" s="72"/>
      <c r="F202" s="2" t="s">
        <v>225</v>
      </c>
      <c r="G202" s="207">
        <f>G203</f>
        <v>1270</v>
      </c>
      <c r="H202" s="18">
        <f t="shared" si="86"/>
        <v>0</v>
      </c>
      <c r="I202" s="309">
        <f t="shared" ref="I202:I265" si="87">G202+H202</f>
        <v>1270</v>
      </c>
    </row>
    <row r="203" spans="2:9" x14ac:dyDescent="0.2">
      <c r="B203" s="120">
        <f t="shared" si="74"/>
        <v>198</v>
      </c>
      <c r="C203" s="73"/>
      <c r="D203" s="68">
        <v>223</v>
      </c>
      <c r="E203" s="74"/>
      <c r="F203" s="3" t="s">
        <v>254</v>
      </c>
      <c r="G203" s="208">
        <f>G204</f>
        <v>1270</v>
      </c>
      <c r="H203" s="19">
        <f t="shared" si="86"/>
        <v>0</v>
      </c>
      <c r="I203" s="297">
        <f t="shared" si="87"/>
        <v>1270</v>
      </c>
    </row>
    <row r="204" spans="2:9" x14ac:dyDescent="0.2">
      <c r="B204" s="120">
        <f t="shared" si="74"/>
        <v>199</v>
      </c>
      <c r="C204" s="12"/>
      <c r="D204" s="4"/>
      <c r="E204" s="13">
        <v>223002</v>
      </c>
      <c r="F204" s="4" t="s">
        <v>76</v>
      </c>
      <c r="G204" s="247">
        <v>1270</v>
      </c>
      <c r="H204" s="21"/>
      <c r="I204" s="313">
        <f t="shared" si="87"/>
        <v>1270</v>
      </c>
    </row>
    <row r="205" spans="2:9" x14ac:dyDescent="0.2">
      <c r="B205" s="120">
        <f t="shared" si="74"/>
        <v>200</v>
      </c>
      <c r="C205" s="69"/>
      <c r="D205" s="66"/>
      <c r="E205" s="70"/>
      <c r="F205" s="5" t="s">
        <v>96</v>
      </c>
      <c r="G205" s="206">
        <f>G206</f>
        <v>30292</v>
      </c>
      <c r="H205" s="294">
        <f t="shared" ref="H205:H206" si="88">H206</f>
        <v>0</v>
      </c>
      <c r="I205" s="308">
        <f t="shared" si="87"/>
        <v>30292</v>
      </c>
    </row>
    <row r="206" spans="2:9" x14ac:dyDescent="0.2">
      <c r="B206" s="120">
        <f t="shared" si="74"/>
        <v>201</v>
      </c>
      <c r="C206" s="71">
        <v>220</v>
      </c>
      <c r="D206" s="67"/>
      <c r="E206" s="72"/>
      <c r="F206" s="2" t="s">
        <v>225</v>
      </c>
      <c r="G206" s="207">
        <f>G207</f>
        <v>30292</v>
      </c>
      <c r="H206" s="18">
        <f t="shared" si="88"/>
        <v>0</v>
      </c>
      <c r="I206" s="309">
        <f t="shared" si="87"/>
        <v>30292</v>
      </c>
    </row>
    <row r="207" spans="2:9" x14ac:dyDescent="0.2">
      <c r="B207" s="120">
        <f t="shared" si="74"/>
        <v>202</v>
      </c>
      <c r="C207" s="73"/>
      <c r="D207" s="68">
        <v>223</v>
      </c>
      <c r="E207" s="74"/>
      <c r="F207" s="3" t="s">
        <v>254</v>
      </c>
      <c r="G207" s="208">
        <f>G209+G208</f>
        <v>30292</v>
      </c>
      <c r="H207" s="19">
        <f t="shared" ref="H207" si="89">H209+H208</f>
        <v>0</v>
      </c>
      <c r="I207" s="297">
        <f t="shared" si="87"/>
        <v>30292</v>
      </c>
    </row>
    <row r="208" spans="2:9" x14ac:dyDescent="0.2">
      <c r="B208" s="120">
        <f t="shared" si="74"/>
        <v>203</v>
      </c>
      <c r="C208" s="73"/>
      <c r="D208" s="68"/>
      <c r="E208" s="13">
        <v>223001</v>
      </c>
      <c r="F208" s="4" t="s">
        <v>255</v>
      </c>
      <c r="G208" s="247">
        <v>342</v>
      </c>
      <c r="H208" s="21"/>
      <c r="I208" s="313">
        <f t="shared" si="87"/>
        <v>342</v>
      </c>
    </row>
    <row r="209" spans="2:9" x14ac:dyDescent="0.2">
      <c r="B209" s="120">
        <f t="shared" si="74"/>
        <v>204</v>
      </c>
      <c r="C209" s="12"/>
      <c r="D209" s="4"/>
      <c r="E209" s="13">
        <v>223003</v>
      </c>
      <c r="F209" s="45" t="s">
        <v>77</v>
      </c>
      <c r="G209" s="247">
        <v>29950</v>
      </c>
      <c r="H209" s="21"/>
      <c r="I209" s="313">
        <f t="shared" si="87"/>
        <v>29950</v>
      </c>
    </row>
    <row r="210" spans="2:9" x14ac:dyDescent="0.2">
      <c r="B210" s="120">
        <f>B209+1</f>
        <v>205</v>
      </c>
      <c r="C210" s="69"/>
      <c r="D210" s="66"/>
      <c r="E210" s="70"/>
      <c r="F210" s="5" t="s">
        <v>97</v>
      </c>
      <c r="G210" s="206">
        <f>G214+G211+G217</f>
        <v>10735</v>
      </c>
      <c r="H210" s="294">
        <f t="shared" ref="H210" si="90">H214+H211+H217</f>
        <v>0</v>
      </c>
      <c r="I210" s="308">
        <f t="shared" si="87"/>
        <v>10735</v>
      </c>
    </row>
    <row r="211" spans="2:9" x14ac:dyDescent="0.2">
      <c r="B211" s="120">
        <f t="shared" si="74"/>
        <v>206</v>
      </c>
      <c r="C211" s="71">
        <v>210</v>
      </c>
      <c r="D211" s="67"/>
      <c r="E211" s="72"/>
      <c r="F211" s="2" t="s">
        <v>250</v>
      </c>
      <c r="G211" s="207">
        <f>G212</f>
        <v>2720</v>
      </c>
      <c r="H211" s="18">
        <f t="shared" ref="H211:H212" si="91">H212</f>
        <v>0</v>
      </c>
      <c r="I211" s="309">
        <f t="shared" si="87"/>
        <v>2720</v>
      </c>
    </row>
    <row r="212" spans="2:9" x14ac:dyDescent="0.2">
      <c r="B212" s="120">
        <f t="shared" si="74"/>
        <v>207</v>
      </c>
      <c r="C212" s="73"/>
      <c r="D212" s="68">
        <v>212</v>
      </c>
      <c r="E212" s="74"/>
      <c r="F212" s="3" t="s">
        <v>251</v>
      </c>
      <c r="G212" s="208">
        <f>G213</f>
        <v>2720</v>
      </c>
      <c r="H212" s="19">
        <f t="shared" si="91"/>
        <v>0</v>
      </c>
      <c r="I212" s="297">
        <f t="shared" si="87"/>
        <v>2720</v>
      </c>
    </row>
    <row r="213" spans="2:9" x14ac:dyDescent="0.2">
      <c r="B213" s="120">
        <f t="shared" si="74"/>
        <v>208</v>
      </c>
      <c r="C213" s="12"/>
      <c r="D213" s="4"/>
      <c r="E213" s="13">
        <v>212003</v>
      </c>
      <c r="F213" s="4" t="s">
        <v>252</v>
      </c>
      <c r="G213" s="247">
        <v>2720</v>
      </c>
      <c r="H213" s="21"/>
      <c r="I213" s="313">
        <f t="shared" si="87"/>
        <v>2720</v>
      </c>
    </row>
    <row r="214" spans="2:9" x14ac:dyDescent="0.2">
      <c r="B214" s="120">
        <f t="shared" si="74"/>
        <v>209</v>
      </c>
      <c r="C214" s="71">
        <v>240</v>
      </c>
      <c r="D214" s="67"/>
      <c r="E214" s="72"/>
      <c r="F214" s="2" t="s">
        <v>178</v>
      </c>
      <c r="G214" s="207">
        <f>G215</f>
        <v>15</v>
      </c>
      <c r="H214" s="18">
        <f t="shared" ref="H214:H215" si="92">H215</f>
        <v>0</v>
      </c>
      <c r="I214" s="309">
        <f t="shared" si="87"/>
        <v>15</v>
      </c>
    </row>
    <row r="215" spans="2:9" x14ac:dyDescent="0.2">
      <c r="B215" s="120">
        <f t="shared" si="74"/>
        <v>210</v>
      </c>
      <c r="C215" s="73"/>
      <c r="D215" s="68">
        <v>242</v>
      </c>
      <c r="E215" s="74"/>
      <c r="F215" s="3" t="s">
        <v>177</v>
      </c>
      <c r="G215" s="208">
        <f>G216</f>
        <v>15</v>
      </c>
      <c r="H215" s="19">
        <f t="shared" si="92"/>
        <v>0</v>
      </c>
      <c r="I215" s="297">
        <f t="shared" si="87"/>
        <v>15</v>
      </c>
    </row>
    <row r="216" spans="2:9" x14ac:dyDescent="0.2">
      <c r="B216" s="120">
        <f t="shared" si="74"/>
        <v>211</v>
      </c>
      <c r="C216" s="12"/>
      <c r="D216" s="4"/>
      <c r="E216" s="13">
        <v>242</v>
      </c>
      <c r="F216" s="4" t="s">
        <v>177</v>
      </c>
      <c r="G216" s="247">
        <v>15</v>
      </c>
      <c r="H216" s="21"/>
      <c r="I216" s="313">
        <f t="shared" si="87"/>
        <v>15</v>
      </c>
    </row>
    <row r="217" spans="2:9" x14ac:dyDescent="0.2">
      <c r="B217" s="120">
        <f t="shared" si="74"/>
        <v>212</v>
      </c>
      <c r="C217" s="71">
        <v>290</v>
      </c>
      <c r="D217" s="67"/>
      <c r="E217" s="72"/>
      <c r="F217" s="2" t="s">
        <v>180</v>
      </c>
      <c r="G217" s="207">
        <f>G218</f>
        <v>8000</v>
      </c>
      <c r="H217" s="18">
        <f t="shared" ref="H217:H218" si="93">H218</f>
        <v>0</v>
      </c>
      <c r="I217" s="309">
        <f t="shared" si="87"/>
        <v>8000</v>
      </c>
    </row>
    <row r="218" spans="2:9" x14ac:dyDescent="0.2">
      <c r="B218" s="120">
        <f t="shared" si="74"/>
        <v>213</v>
      </c>
      <c r="C218" s="73"/>
      <c r="D218" s="68">
        <v>292</v>
      </c>
      <c r="E218" s="74"/>
      <c r="F218" s="3" t="s">
        <v>181</v>
      </c>
      <c r="G218" s="208">
        <f>G219</f>
        <v>8000</v>
      </c>
      <c r="H218" s="19">
        <f t="shared" si="93"/>
        <v>0</v>
      </c>
      <c r="I218" s="297">
        <f t="shared" si="87"/>
        <v>8000</v>
      </c>
    </row>
    <row r="219" spans="2:9" ht="13.5" thickBot="1" x14ac:dyDescent="0.25">
      <c r="B219" s="120">
        <f t="shared" si="74"/>
        <v>214</v>
      </c>
      <c r="C219" s="12"/>
      <c r="D219" s="4"/>
      <c r="E219" s="13">
        <v>292017</v>
      </c>
      <c r="F219" s="4" t="s">
        <v>237</v>
      </c>
      <c r="G219" s="247">
        <v>8000</v>
      </c>
      <c r="H219" s="21"/>
      <c r="I219" s="313">
        <f t="shared" si="87"/>
        <v>8000</v>
      </c>
    </row>
    <row r="220" spans="2:9" ht="15.75" thickBot="1" x14ac:dyDescent="0.3">
      <c r="B220" s="120">
        <f t="shared" si="74"/>
        <v>215</v>
      </c>
      <c r="C220" s="75">
        <v>5</v>
      </c>
      <c r="D220" s="157"/>
      <c r="E220" s="76"/>
      <c r="F220" s="9" t="s">
        <v>115</v>
      </c>
      <c r="G220" s="299">
        <f>G225+G231+G235+G239+G243+G250+G258+G267+G273+G279+G284+G221</f>
        <v>795042</v>
      </c>
      <c r="H220" s="319">
        <f t="shared" ref="H220" si="94">H225+H231+H235+H239+H243+H250+H258+H267+H273+H279+H284+H221</f>
        <v>0</v>
      </c>
      <c r="I220" s="307">
        <f t="shared" si="87"/>
        <v>795042</v>
      </c>
    </row>
    <row r="221" spans="2:9" x14ac:dyDescent="0.2">
      <c r="B221" s="120">
        <f t="shared" si="74"/>
        <v>216</v>
      </c>
      <c r="C221" s="66">
        <v>290</v>
      </c>
      <c r="D221" s="66"/>
      <c r="E221" s="66"/>
      <c r="F221" s="5" t="s">
        <v>180</v>
      </c>
      <c r="G221" s="206">
        <f>G222</f>
        <v>19842</v>
      </c>
      <c r="H221" s="294">
        <f t="shared" ref="H221" si="95">H222</f>
        <v>0</v>
      </c>
      <c r="I221" s="308">
        <f t="shared" si="87"/>
        <v>19842</v>
      </c>
    </row>
    <row r="222" spans="2:9" x14ac:dyDescent="0.2">
      <c r="B222" s="120">
        <f t="shared" si="74"/>
        <v>217</v>
      </c>
      <c r="C222" s="67"/>
      <c r="D222" s="67">
        <v>292</v>
      </c>
      <c r="E222" s="67"/>
      <c r="F222" s="2" t="s">
        <v>181</v>
      </c>
      <c r="G222" s="207">
        <f>G223+G224</f>
        <v>19842</v>
      </c>
      <c r="H222" s="18">
        <f t="shared" ref="H222" si="96">H223+H224</f>
        <v>0</v>
      </c>
      <c r="I222" s="309">
        <f t="shared" si="87"/>
        <v>19842</v>
      </c>
    </row>
    <row r="223" spans="2:9" x14ac:dyDescent="0.2">
      <c r="B223" s="120">
        <f t="shared" si="74"/>
        <v>218</v>
      </c>
      <c r="C223" s="68"/>
      <c r="D223" s="68"/>
      <c r="E223" s="68">
        <v>292012</v>
      </c>
      <c r="F223" s="3" t="s">
        <v>236</v>
      </c>
      <c r="G223" s="208">
        <v>6673</v>
      </c>
      <c r="H223" s="19"/>
      <c r="I223" s="297">
        <f t="shared" si="87"/>
        <v>6673</v>
      </c>
    </row>
    <row r="224" spans="2:9" x14ac:dyDescent="0.2">
      <c r="B224" s="120">
        <f t="shared" si="74"/>
        <v>219</v>
      </c>
      <c r="C224" s="73"/>
      <c r="D224" s="68"/>
      <c r="E224" s="74">
        <v>292017</v>
      </c>
      <c r="F224" s="3" t="s">
        <v>237</v>
      </c>
      <c r="G224" s="208">
        <v>13169</v>
      </c>
      <c r="H224" s="19"/>
      <c r="I224" s="297">
        <f t="shared" si="87"/>
        <v>13169</v>
      </c>
    </row>
    <row r="225" spans="2:9" x14ac:dyDescent="0.2">
      <c r="B225" s="120">
        <f t="shared" si="74"/>
        <v>220</v>
      </c>
      <c r="C225" s="69"/>
      <c r="D225" s="66"/>
      <c r="E225" s="70"/>
      <c r="F225" s="5" t="s">
        <v>78</v>
      </c>
      <c r="G225" s="206">
        <f>G226</f>
        <v>144400</v>
      </c>
      <c r="H225" s="294">
        <f t="shared" ref="H225:H226" si="97">H226</f>
        <v>0</v>
      </c>
      <c r="I225" s="308">
        <f t="shared" si="87"/>
        <v>144400</v>
      </c>
    </row>
    <row r="226" spans="2:9" x14ac:dyDescent="0.2">
      <c r="B226" s="120">
        <f t="shared" si="74"/>
        <v>221</v>
      </c>
      <c r="C226" s="71">
        <v>220</v>
      </c>
      <c r="D226" s="67"/>
      <c r="E226" s="72"/>
      <c r="F226" s="2" t="s">
        <v>225</v>
      </c>
      <c r="G226" s="207">
        <f>G227</f>
        <v>144400</v>
      </c>
      <c r="H226" s="18">
        <f t="shared" si="97"/>
        <v>0</v>
      </c>
      <c r="I226" s="309">
        <f t="shared" si="87"/>
        <v>144400</v>
      </c>
    </row>
    <row r="227" spans="2:9" x14ac:dyDescent="0.2">
      <c r="B227" s="120">
        <f t="shared" si="74"/>
        <v>222</v>
      </c>
      <c r="C227" s="73"/>
      <c r="D227" s="68">
        <v>223</v>
      </c>
      <c r="E227" s="74"/>
      <c r="F227" s="3" t="s">
        <v>254</v>
      </c>
      <c r="G227" s="208">
        <f>G228+G229+G230</f>
        <v>144400</v>
      </c>
      <c r="H227" s="19">
        <f t="shared" ref="H227" si="98">H228+H229+H230</f>
        <v>0</v>
      </c>
      <c r="I227" s="297">
        <f t="shared" si="87"/>
        <v>144400</v>
      </c>
    </row>
    <row r="228" spans="2:9" x14ac:dyDescent="0.2">
      <c r="B228" s="120">
        <f t="shared" si="74"/>
        <v>223</v>
      </c>
      <c r="C228" s="12"/>
      <c r="D228" s="4"/>
      <c r="E228" s="13">
        <v>223002</v>
      </c>
      <c r="F228" s="4" t="s">
        <v>76</v>
      </c>
      <c r="G228" s="247">
        <v>134400</v>
      </c>
      <c r="H228" s="21"/>
      <c r="I228" s="313">
        <f t="shared" si="87"/>
        <v>134400</v>
      </c>
    </row>
    <row r="229" spans="2:9" x14ac:dyDescent="0.2">
      <c r="B229" s="120">
        <f t="shared" si="74"/>
        <v>224</v>
      </c>
      <c r="C229" s="12"/>
      <c r="D229" s="4"/>
      <c r="E229" s="13">
        <v>223003</v>
      </c>
      <c r="F229" s="4" t="s">
        <v>77</v>
      </c>
      <c r="G229" s="247">
        <v>9000</v>
      </c>
      <c r="H229" s="21"/>
      <c r="I229" s="313">
        <f t="shared" si="87"/>
        <v>9000</v>
      </c>
    </row>
    <row r="230" spans="2:9" x14ac:dyDescent="0.2">
      <c r="B230" s="120">
        <f t="shared" si="74"/>
        <v>225</v>
      </c>
      <c r="C230" s="12"/>
      <c r="D230" s="4"/>
      <c r="E230" s="13">
        <v>223003</v>
      </c>
      <c r="F230" s="4" t="s">
        <v>311</v>
      </c>
      <c r="G230" s="247">
        <v>1000</v>
      </c>
      <c r="H230" s="21"/>
      <c r="I230" s="313">
        <f t="shared" si="87"/>
        <v>1000</v>
      </c>
    </row>
    <row r="231" spans="2:9" x14ac:dyDescent="0.2">
      <c r="B231" s="120">
        <f t="shared" si="74"/>
        <v>226</v>
      </c>
      <c r="C231" s="69"/>
      <c r="D231" s="66"/>
      <c r="E231" s="70"/>
      <c r="F231" s="5" t="s">
        <v>313</v>
      </c>
      <c r="G231" s="206">
        <f>G232</f>
        <v>6600</v>
      </c>
      <c r="H231" s="294">
        <f t="shared" ref="H231:H233" si="99">H232</f>
        <v>0</v>
      </c>
      <c r="I231" s="308">
        <f t="shared" si="87"/>
        <v>6600</v>
      </c>
    </row>
    <row r="232" spans="2:9" x14ac:dyDescent="0.2">
      <c r="B232" s="120">
        <f t="shared" si="74"/>
        <v>227</v>
      </c>
      <c r="C232" s="71">
        <v>220</v>
      </c>
      <c r="D232" s="67"/>
      <c r="E232" s="72"/>
      <c r="F232" s="2" t="s">
        <v>225</v>
      </c>
      <c r="G232" s="207">
        <f>G233</f>
        <v>6600</v>
      </c>
      <c r="H232" s="18">
        <f t="shared" si="99"/>
        <v>0</v>
      </c>
      <c r="I232" s="309">
        <f t="shared" si="87"/>
        <v>6600</v>
      </c>
    </row>
    <row r="233" spans="2:9" x14ac:dyDescent="0.2">
      <c r="B233" s="120">
        <f t="shared" si="74"/>
        <v>228</v>
      </c>
      <c r="C233" s="73"/>
      <c r="D233" s="68">
        <v>223</v>
      </c>
      <c r="E233" s="74"/>
      <c r="F233" s="3" t="s">
        <v>254</v>
      </c>
      <c r="G233" s="208">
        <f>G234</f>
        <v>6600</v>
      </c>
      <c r="H233" s="19">
        <f t="shared" si="99"/>
        <v>0</v>
      </c>
      <c r="I233" s="297">
        <f t="shared" si="87"/>
        <v>6600</v>
      </c>
    </row>
    <row r="234" spans="2:9" x14ac:dyDescent="0.2">
      <c r="B234" s="120">
        <f t="shared" si="74"/>
        <v>229</v>
      </c>
      <c r="C234" s="12"/>
      <c r="D234" s="4"/>
      <c r="E234" s="13">
        <v>223003</v>
      </c>
      <c r="F234" s="4" t="s">
        <v>77</v>
      </c>
      <c r="G234" s="247">
        <v>6600</v>
      </c>
      <c r="H234" s="21"/>
      <c r="I234" s="313">
        <f t="shared" si="87"/>
        <v>6600</v>
      </c>
    </row>
    <row r="235" spans="2:9" x14ac:dyDescent="0.2">
      <c r="B235" s="120">
        <f t="shared" si="74"/>
        <v>230</v>
      </c>
      <c r="C235" s="69"/>
      <c r="D235" s="66"/>
      <c r="E235" s="70"/>
      <c r="F235" s="5" t="s">
        <v>116</v>
      </c>
      <c r="G235" s="206">
        <f>G236</f>
        <v>2000</v>
      </c>
      <c r="H235" s="294">
        <f t="shared" ref="H235:H237" si="100">H236</f>
        <v>0</v>
      </c>
      <c r="I235" s="308">
        <f t="shared" si="87"/>
        <v>2000</v>
      </c>
    </row>
    <row r="236" spans="2:9" x14ac:dyDescent="0.2">
      <c r="B236" s="120">
        <f t="shared" si="74"/>
        <v>231</v>
      </c>
      <c r="C236" s="71">
        <v>220</v>
      </c>
      <c r="D236" s="67"/>
      <c r="E236" s="72"/>
      <c r="F236" s="2" t="s">
        <v>225</v>
      </c>
      <c r="G236" s="207">
        <f>G237</f>
        <v>2000</v>
      </c>
      <c r="H236" s="18">
        <f t="shared" si="100"/>
        <v>0</v>
      </c>
      <c r="I236" s="309">
        <f t="shared" si="87"/>
        <v>2000</v>
      </c>
    </row>
    <row r="237" spans="2:9" x14ac:dyDescent="0.2">
      <c r="B237" s="120">
        <f t="shared" si="74"/>
        <v>232</v>
      </c>
      <c r="C237" s="73"/>
      <c r="D237" s="68">
        <v>223</v>
      </c>
      <c r="E237" s="74"/>
      <c r="F237" s="3" t="s">
        <v>254</v>
      </c>
      <c r="G237" s="208">
        <f>G238</f>
        <v>2000</v>
      </c>
      <c r="H237" s="19">
        <f t="shared" si="100"/>
        <v>0</v>
      </c>
      <c r="I237" s="297">
        <f t="shared" si="87"/>
        <v>2000</v>
      </c>
    </row>
    <row r="238" spans="2:9" x14ac:dyDescent="0.2">
      <c r="B238" s="120">
        <f t="shared" si="74"/>
        <v>233</v>
      </c>
      <c r="C238" s="12"/>
      <c r="D238" s="4"/>
      <c r="E238" s="13">
        <v>223001</v>
      </c>
      <c r="F238" s="4" t="s">
        <v>255</v>
      </c>
      <c r="G238" s="247">
        <v>2000</v>
      </c>
      <c r="H238" s="21"/>
      <c r="I238" s="313">
        <f t="shared" si="87"/>
        <v>2000</v>
      </c>
    </row>
    <row r="239" spans="2:9" x14ac:dyDescent="0.2">
      <c r="B239" s="120">
        <f t="shared" si="74"/>
        <v>234</v>
      </c>
      <c r="C239" s="69"/>
      <c r="D239" s="66"/>
      <c r="E239" s="70"/>
      <c r="F239" s="5" t="s">
        <v>312</v>
      </c>
      <c r="G239" s="206">
        <f>G240</f>
        <v>3000</v>
      </c>
      <c r="H239" s="294">
        <f t="shared" ref="H239:H241" si="101">H240</f>
        <v>0</v>
      </c>
      <c r="I239" s="308">
        <f t="shared" si="87"/>
        <v>3000</v>
      </c>
    </row>
    <row r="240" spans="2:9" x14ac:dyDescent="0.2">
      <c r="B240" s="120">
        <f t="shared" si="74"/>
        <v>235</v>
      </c>
      <c r="C240" s="71">
        <v>220</v>
      </c>
      <c r="D240" s="67"/>
      <c r="E240" s="72"/>
      <c r="F240" s="2" t="s">
        <v>225</v>
      </c>
      <c r="G240" s="207">
        <f>G241</f>
        <v>3000</v>
      </c>
      <c r="H240" s="18">
        <f t="shared" si="101"/>
        <v>0</v>
      </c>
      <c r="I240" s="309">
        <f t="shared" si="87"/>
        <v>3000</v>
      </c>
    </row>
    <row r="241" spans="2:9" x14ac:dyDescent="0.2">
      <c r="B241" s="120">
        <f>B240+1</f>
        <v>236</v>
      </c>
      <c r="C241" s="73"/>
      <c r="D241" s="68">
        <v>223</v>
      </c>
      <c r="E241" s="74"/>
      <c r="F241" s="3" t="s">
        <v>254</v>
      </c>
      <c r="G241" s="208">
        <f>G242</f>
        <v>3000</v>
      </c>
      <c r="H241" s="19">
        <f t="shared" si="101"/>
        <v>0</v>
      </c>
      <c r="I241" s="297">
        <f t="shared" si="87"/>
        <v>3000</v>
      </c>
    </row>
    <row r="242" spans="2:9" x14ac:dyDescent="0.2">
      <c r="B242" s="120">
        <f t="shared" ref="B242:B292" si="102">B241+1</f>
        <v>237</v>
      </c>
      <c r="C242" s="12"/>
      <c r="D242" s="4"/>
      <c r="E242" s="13">
        <v>223001</v>
      </c>
      <c r="F242" s="4" t="s">
        <v>255</v>
      </c>
      <c r="G242" s="247">
        <v>3000</v>
      </c>
      <c r="H242" s="21"/>
      <c r="I242" s="313">
        <f t="shared" si="87"/>
        <v>3000</v>
      </c>
    </row>
    <row r="243" spans="2:9" x14ac:dyDescent="0.2">
      <c r="B243" s="120">
        <f t="shared" si="102"/>
        <v>238</v>
      </c>
      <c r="C243" s="69"/>
      <c r="D243" s="66"/>
      <c r="E243" s="70"/>
      <c r="F243" s="5" t="s">
        <v>63</v>
      </c>
      <c r="G243" s="206">
        <f>G244+G247</f>
        <v>11400</v>
      </c>
      <c r="H243" s="294">
        <f t="shared" ref="H243" si="103">H244+H247</f>
        <v>0</v>
      </c>
      <c r="I243" s="308">
        <f t="shared" si="87"/>
        <v>11400</v>
      </c>
    </row>
    <row r="244" spans="2:9" x14ac:dyDescent="0.2">
      <c r="B244" s="120">
        <f t="shared" si="102"/>
        <v>239</v>
      </c>
      <c r="C244" s="71">
        <v>210</v>
      </c>
      <c r="D244" s="67"/>
      <c r="E244" s="72"/>
      <c r="F244" s="2" t="s">
        <v>250</v>
      </c>
      <c r="G244" s="207">
        <f>G245</f>
        <v>3600</v>
      </c>
      <c r="H244" s="18">
        <f t="shared" ref="H244:H245" si="104">H245</f>
        <v>0</v>
      </c>
      <c r="I244" s="309">
        <f t="shared" si="87"/>
        <v>3600</v>
      </c>
    </row>
    <row r="245" spans="2:9" x14ac:dyDescent="0.2">
      <c r="B245" s="120">
        <f t="shared" si="102"/>
        <v>240</v>
      </c>
      <c r="C245" s="73"/>
      <c r="D245" s="68">
        <v>212</v>
      </c>
      <c r="E245" s="74"/>
      <c r="F245" s="3" t="s">
        <v>251</v>
      </c>
      <c r="G245" s="208">
        <f>G246</f>
        <v>3600</v>
      </c>
      <c r="H245" s="19">
        <f t="shared" si="104"/>
        <v>0</v>
      </c>
      <c r="I245" s="297">
        <f t="shared" si="87"/>
        <v>3600</v>
      </c>
    </row>
    <row r="246" spans="2:9" x14ac:dyDescent="0.2">
      <c r="B246" s="120">
        <f t="shared" si="102"/>
        <v>241</v>
      </c>
      <c r="C246" s="12"/>
      <c r="D246" s="4"/>
      <c r="E246" s="13">
        <v>212003</v>
      </c>
      <c r="F246" s="4" t="s">
        <v>252</v>
      </c>
      <c r="G246" s="247">
        <v>3600</v>
      </c>
      <c r="H246" s="21"/>
      <c r="I246" s="313">
        <f t="shared" si="87"/>
        <v>3600</v>
      </c>
    </row>
    <row r="247" spans="2:9" x14ac:dyDescent="0.2">
      <c r="B247" s="120">
        <f t="shared" si="102"/>
        <v>242</v>
      </c>
      <c r="C247" s="71">
        <v>220</v>
      </c>
      <c r="D247" s="67"/>
      <c r="E247" s="72"/>
      <c r="F247" s="2" t="s">
        <v>225</v>
      </c>
      <c r="G247" s="207">
        <f>G248</f>
        <v>7800</v>
      </c>
      <c r="H247" s="18">
        <f t="shared" ref="H247:H248" si="105">H248</f>
        <v>0</v>
      </c>
      <c r="I247" s="309">
        <f t="shared" si="87"/>
        <v>7800</v>
      </c>
    </row>
    <row r="248" spans="2:9" x14ac:dyDescent="0.2">
      <c r="B248" s="120">
        <f t="shared" si="102"/>
        <v>243</v>
      </c>
      <c r="C248" s="73"/>
      <c r="D248" s="68">
        <v>223</v>
      </c>
      <c r="E248" s="74"/>
      <c r="F248" s="3" t="s">
        <v>254</v>
      </c>
      <c r="G248" s="208">
        <f>G249</f>
        <v>7800</v>
      </c>
      <c r="H248" s="19">
        <f t="shared" si="105"/>
        <v>0</v>
      </c>
      <c r="I248" s="297">
        <f t="shared" si="87"/>
        <v>7800</v>
      </c>
    </row>
    <row r="249" spans="2:9" x14ac:dyDescent="0.2">
      <c r="B249" s="120">
        <f t="shared" si="102"/>
        <v>244</v>
      </c>
      <c r="C249" s="12"/>
      <c r="D249" s="4"/>
      <c r="E249" s="13">
        <v>223001</v>
      </c>
      <c r="F249" s="4" t="s">
        <v>255</v>
      </c>
      <c r="G249" s="247">
        <v>7800</v>
      </c>
      <c r="H249" s="21"/>
      <c r="I249" s="313">
        <f t="shared" si="87"/>
        <v>7800</v>
      </c>
    </row>
    <row r="250" spans="2:9" x14ac:dyDescent="0.2">
      <c r="B250" s="120">
        <f t="shared" si="102"/>
        <v>245</v>
      </c>
      <c r="C250" s="69"/>
      <c r="D250" s="66"/>
      <c r="E250" s="70"/>
      <c r="F250" s="5" t="s">
        <v>66</v>
      </c>
      <c r="G250" s="206">
        <f>G254+G251</f>
        <v>158500</v>
      </c>
      <c r="H250" s="294">
        <f t="shared" ref="H250" si="106">H254+H251</f>
        <v>0</v>
      </c>
      <c r="I250" s="308">
        <f t="shared" si="87"/>
        <v>158500</v>
      </c>
    </row>
    <row r="251" spans="2:9" x14ac:dyDescent="0.2">
      <c r="B251" s="120">
        <f t="shared" si="102"/>
        <v>246</v>
      </c>
      <c r="C251" s="71">
        <v>210</v>
      </c>
      <c r="D251" s="67"/>
      <c r="E251" s="72"/>
      <c r="F251" s="2" t="s">
        <v>250</v>
      </c>
      <c r="G251" s="207">
        <f>G252</f>
        <v>500</v>
      </c>
      <c r="H251" s="18">
        <f t="shared" ref="H251:H252" si="107">H252</f>
        <v>0</v>
      </c>
      <c r="I251" s="309">
        <f t="shared" si="87"/>
        <v>500</v>
      </c>
    </row>
    <row r="252" spans="2:9" x14ac:dyDescent="0.2">
      <c r="B252" s="120">
        <f t="shared" si="102"/>
        <v>247</v>
      </c>
      <c r="C252" s="73"/>
      <c r="D252" s="68">
        <v>212</v>
      </c>
      <c r="E252" s="74"/>
      <c r="F252" s="3" t="s">
        <v>251</v>
      </c>
      <c r="G252" s="208">
        <f>G253</f>
        <v>500</v>
      </c>
      <c r="H252" s="19">
        <f t="shared" si="107"/>
        <v>0</v>
      </c>
      <c r="I252" s="297">
        <f t="shared" si="87"/>
        <v>500</v>
      </c>
    </row>
    <row r="253" spans="2:9" x14ac:dyDescent="0.2">
      <c r="B253" s="120">
        <f t="shared" si="102"/>
        <v>248</v>
      </c>
      <c r="C253" s="12"/>
      <c r="D253" s="4"/>
      <c r="E253" s="13">
        <v>212003</v>
      </c>
      <c r="F253" s="4" t="s">
        <v>252</v>
      </c>
      <c r="G253" s="247">
        <v>500</v>
      </c>
      <c r="H253" s="21"/>
      <c r="I253" s="313">
        <f t="shared" si="87"/>
        <v>500</v>
      </c>
    </row>
    <row r="254" spans="2:9" x14ac:dyDescent="0.2">
      <c r="B254" s="120">
        <f t="shared" si="102"/>
        <v>249</v>
      </c>
      <c r="C254" s="71">
        <v>220</v>
      </c>
      <c r="D254" s="67"/>
      <c r="E254" s="72"/>
      <c r="F254" s="2" t="s">
        <v>225</v>
      </c>
      <c r="G254" s="207">
        <f>G255</f>
        <v>158000</v>
      </c>
      <c r="H254" s="18">
        <f t="shared" ref="H254" si="108">H255</f>
        <v>0</v>
      </c>
      <c r="I254" s="309">
        <f t="shared" si="87"/>
        <v>158000</v>
      </c>
    </row>
    <row r="255" spans="2:9" x14ac:dyDescent="0.2">
      <c r="B255" s="120">
        <f t="shared" si="102"/>
        <v>250</v>
      </c>
      <c r="C255" s="73"/>
      <c r="D255" s="68">
        <v>223</v>
      </c>
      <c r="E255" s="74"/>
      <c r="F255" s="3" t="s">
        <v>254</v>
      </c>
      <c r="G255" s="208">
        <f>G256+G257</f>
        <v>158000</v>
      </c>
      <c r="H255" s="19">
        <f t="shared" ref="H255" si="109">H256+H257</f>
        <v>0</v>
      </c>
      <c r="I255" s="297">
        <f t="shared" si="87"/>
        <v>158000</v>
      </c>
    </row>
    <row r="256" spans="2:9" x14ac:dyDescent="0.2">
      <c r="B256" s="120">
        <f t="shared" si="102"/>
        <v>251</v>
      </c>
      <c r="C256" s="12"/>
      <c r="D256" s="4"/>
      <c r="E256" s="13">
        <v>223001</v>
      </c>
      <c r="F256" s="4" t="s">
        <v>314</v>
      </c>
      <c r="G256" s="247">
        <v>108000</v>
      </c>
      <c r="H256" s="21"/>
      <c r="I256" s="313">
        <f t="shared" si="87"/>
        <v>108000</v>
      </c>
    </row>
    <row r="257" spans="2:9" x14ac:dyDescent="0.2">
      <c r="B257" s="120">
        <f t="shared" si="102"/>
        <v>252</v>
      </c>
      <c r="C257" s="12"/>
      <c r="D257" s="4"/>
      <c r="E257" s="13">
        <v>223001</v>
      </c>
      <c r="F257" s="4" t="s">
        <v>315</v>
      </c>
      <c r="G257" s="247">
        <v>50000</v>
      </c>
      <c r="H257" s="21"/>
      <c r="I257" s="313">
        <f t="shared" si="87"/>
        <v>50000</v>
      </c>
    </row>
    <row r="258" spans="2:9" x14ac:dyDescent="0.2">
      <c r="B258" s="120">
        <f t="shared" si="102"/>
        <v>253</v>
      </c>
      <c r="C258" s="69"/>
      <c r="D258" s="66"/>
      <c r="E258" s="70"/>
      <c r="F258" s="5" t="s">
        <v>317</v>
      </c>
      <c r="G258" s="206">
        <f>G262+G259</f>
        <v>196900</v>
      </c>
      <c r="H258" s="294">
        <f t="shared" ref="H258" si="110">H262+H259</f>
        <v>0</v>
      </c>
      <c r="I258" s="308">
        <f t="shared" si="87"/>
        <v>196900</v>
      </c>
    </row>
    <row r="259" spans="2:9" x14ac:dyDescent="0.2">
      <c r="B259" s="120">
        <f t="shared" si="102"/>
        <v>254</v>
      </c>
      <c r="C259" s="71">
        <v>210</v>
      </c>
      <c r="D259" s="67"/>
      <c r="E259" s="72"/>
      <c r="F259" s="2" t="s">
        <v>250</v>
      </c>
      <c r="G259" s="207">
        <f>G260</f>
        <v>400</v>
      </c>
      <c r="H259" s="18">
        <f t="shared" ref="H259:H260" si="111">H260</f>
        <v>0</v>
      </c>
      <c r="I259" s="309">
        <f t="shared" si="87"/>
        <v>400</v>
      </c>
    </row>
    <row r="260" spans="2:9" x14ac:dyDescent="0.2">
      <c r="B260" s="120">
        <f t="shared" si="102"/>
        <v>255</v>
      </c>
      <c r="C260" s="73"/>
      <c r="D260" s="68">
        <v>212</v>
      </c>
      <c r="E260" s="74"/>
      <c r="F260" s="3" t="s">
        <v>251</v>
      </c>
      <c r="G260" s="208">
        <f>G261</f>
        <v>400</v>
      </c>
      <c r="H260" s="19">
        <f t="shared" si="111"/>
        <v>0</v>
      </c>
      <c r="I260" s="297">
        <f t="shared" si="87"/>
        <v>400</v>
      </c>
    </row>
    <row r="261" spans="2:9" x14ac:dyDescent="0.2">
      <c r="B261" s="120">
        <f t="shared" si="102"/>
        <v>256</v>
      </c>
      <c r="C261" s="12"/>
      <c r="D261" s="4"/>
      <c r="E261" s="13">
        <v>212003</v>
      </c>
      <c r="F261" s="4" t="s">
        <v>252</v>
      </c>
      <c r="G261" s="247">
        <v>400</v>
      </c>
      <c r="H261" s="21"/>
      <c r="I261" s="313">
        <f t="shared" si="87"/>
        <v>400</v>
      </c>
    </row>
    <row r="262" spans="2:9" x14ac:dyDescent="0.2">
      <c r="B262" s="120">
        <f t="shared" si="102"/>
        <v>257</v>
      </c>
      <c r="C262" s="71">
        <v>220</v>
      </c>
      <c r="D262" s="67"/>
      <c r="E262" s="72"/>
      <c r="F262" s="2" t="s">
        <v>225</v>
      </c>
      <c r="G262" s="207">
        <f>G263</f>
        <v>196500</v>
      </c>
      <c r="H262" s="18">
        <f t="shared" ref="H262" si="112">H263</f>
        <v>0</v>
      </c>
      <c r="I262" s="309">
        <f t="shared" si="87"/>
        <v>196500</v>
      </c>
    </row>
    <row r="263" spans="2:9" x14ac:dyDescent="0.2">
      <c r="B263" s="120">
        <f t="shared" si="102"/>
        <v>258</v>
      </c>
      <c r="C263" s="73"/>
      <c r="D263" s="68">
        <v>223</v>
      </c>
      <c r="E263" s="74"/>
      <c r="F263" s="3" t="s">
        <v>254</v>
      </c>
      <c r="G263" s="208">
        <f>G264+G265+G266</f>
        <v>196500</v>
      </c>
      <c r="H263" s="19">
        <f t="shared" ref="H263" si="113">H264+H265+H266</f>
        <v>0</v>
      </c>
      <c r="I263" s="297">
        <f t="shared" si="87"/>
        <v>196500</v>
      </c>
    </row>
    <row r="264" spans="2:9" x14ac:dyDescent="0.2">
      <c r="B264" s="120">
        <f t="shared" si="102"/>
        <v>259</v>
      </c>
      <c r="C264" s="12"/>
      <c r="D264" s="4"/>
      <c r="E264" s="13">
        <v>223001</v>
      </c>
      <c r="F264" s="4" t="s">
        <v>314</v>
      </c>
      <c r="G264" s="247">
        <v>45000</v>
      </c>
      <c r="H264" s="21"/>
      <c r="I264" s="313">
        <f t="shared" si="87"/>
        <v>45000</v>
      </c>
    </row>
    <row r="265" spans="2:9" x14ac:dyDescent="0.2">
      <c r="B265" s="120">
        <f t="shared" si="102"/>
        <v>260</v>
      </c>
      <c r="C265" s="12"/>
      <c r="D265" s="4"/>
      <c r="E265" s="13">
        <v>223001</v>
      </c>
      <c r="F265" s="4" t="s">
        <v>316</v>
      </c>
      <c r="G265" s="247">
        <v>53500</v>
      </c>
      <c r="H265" s="21"/>
      <c r="I265" s="313">
        <f t="shared" si="87"/>
        <v>53500</v>
      </c>
    </row>
    <row r="266" spans="2:9" x14ac:dyDescent="0.2">
      <c r="B266" s="120">
        <f t="shared" si="102"/>
        <v>261</v>
      </c>
      <c r="C266" s="12"/>
      <c r="D266" s="4"/>
      <c r="E266" s="13">
        <v>223001</v>
      </c>
      <c r="F266" s="4" t="s">
        <v>315</v>
      </c>
      <c r="G266" s="247">
        <v>98000</v>
      </c>
      <c r="H266" s="21"/>
      <c r="I266" s="313">
        <f t="shared" ref="I266:I336" si="114">G266+H266</f>
        <v>98000</v>
      </c>
    </row>
    <row r="267" spans="2:9" x14ac:dyDescent="0.2">
      <c r="B267" s="120">
        <f t="shared" si="102"/>
        <v>262</v>
      </c>
      <c r="C267" s="69"/>
      <c r="D267" s="66"/>
      <c r="E267" s="70"/>
      <c r="F267" s="5" t="s">
        <v>318</v>
      </c>
      <c r="G267" s="206">
        <f>G268</f>
        <v>11000</v>
      </c>
      <c r="H267" s="294">
        <f t="shared" ref="H267:H268" si="115">H268</f>
        <v>0</v>
      </c>
      <c r="I267" s="308">
        <f t="shared" si="114"/>
        <v>11000</v>
      </c>
    </row>
    <row r="268" spans="2:9" x14ac:dyDescent="0.2">
      <c r="B268" s="120">
        <f t="shared" si="102"/>
        <v>263</v>
      </c>
      <c r="C268" s="71">
        <v>220</v>
      </c>
      <c r="D268" s="67"/>
      <c r="E268" s="72"/>
      <c r="F268" s="2" t="s">
        <v>225</v>
      </c>
      <c r="G268" s="207">
        <f>G269</f>
        <v>11000</v>
      </c>
      <c r="H268" s="18">
        <f t="shared" si="115"/>
        <v>0</v>
      </c>
      <c r="I268" s="309">
        <f t="shared" si="114"/>
        <v>11000</v>
      </c>
    </row>
    <row r="269" spans="2:9" x14ac:dyDescent="0.2">
      <c r="B269" s="120">
        <f t="shared" si="102"/>
        <v>264</v>
      </c>
      <c r="C269" s="73"/>
      <c r="D269" s="68">
        <v>223</v>
      </c>
      <c r="E269" s="74"/>
      <c r="F269" s="3" t="s">
        <v>254</v>
      </c>
      <c r="G269" s="208">
        <f>G270+G271+G272</f>
        <v>11000</v>
      </c>
      <c r="H269" s="19">
        <f t="shared" ref="H269" si="116">H270+H271+H272</f>
        <v>0</v>
      </c>
      <c r="I269" s="297">
        <f t="shared" si="114"/>
        <v>11000</v>
      </c>
    </row>
    <row r="270" spans="2:9" x14ac:dyDescent="0.2">
      <c r="B270" s="120">
        <f t="shared" si="102"/>
        <v>265</v>
      </c>
      <c r="C270" s="12"/>
      <c r="D270" s="4"/>
      <c r="E270" s="13">
        <v>223001</v>
      </c>
      <c r="F270" s="4" t="s">
        <v>314</v>
      </c>
      <c r="G270" s="247">
        <v>2500</v>
      </c>
      <c r="H270" s="21"/>
      <c r="I270" s="313">
        <f t="shared" si="114"/>
        <v>2500</v>
      </c>
    </row>
    <row r="271" spans="2:9" x14ac:dyDescent="0.2">
      <c r="B271" s="120">
        <f t="shared" si="102"/>
        <v>266</v>
      </c>
      <c r="C271" s="12"/>
      <c r="D271" s="4"/>
      <c r="E271" s="13">
        <v>223001</v>
      </c>
      <c r="F271" s="4" t="s">
        <v>316</v>
      </c>
      <c r="G271" s="247">
        <v>4900</v>
      </c>
      <c r="H271" s="21"/>
      <c r="I271" s="313">
        <f t="shared" si="114"/>
        <v>4900</v>
      </c>
    </row>
    <row r="272" spans="2:9" x14ac:dyDescent="0.2">
      <c r="B272" s="120">
        <f t="shared" si="102"/>
        <v>267</v>
      </c>
      <c r="C272" s="12"/>
      <c r="D272" s="4"/>
      <c r="E272" s="13">
        <v>223001</v>
      </c>
      <c r="F272" s="4" t="s">
        <v>315</v>
      </c>
      <c r="G272" s="247">
        <v>3600</v>
      </c>
      <c r="H272" s="21"/>
      <c r="I272" s="313">
        <f t="shared" si="114"/>
        <v>3600</v>
      </c>
    </row>
    <row r="273" spans="2:9" x14ac:dyDescent="0.2">
      <c r="B273" s="120">
        <f t="shared" si="102"/>
        <v>268</v>
      </c>
      <c r="C273" s="69"/>
      <c r="D273" s="66"/>
      <c r="E273" s="70"/>
      <c r="F273" s="5" t="s">
        <v>319</v>
      </c>
      <c r="G273" s="206">
        <f>G274</f>
        <v>141500</v>
      </c>
      <c r="H273" s="294">
        <f t="shared" ref="H273:H274" si="117">H274</f>
        <v>0</v>
      </c>
      <c r="I273" s="308">
        <f t="shared" si="114"/>
        <v>141500</v>
      </c>
    </row>
    <row r="274" spans="2:9" x14ac:dyDescent="0.2">
      <c r="B274" s="120">
        <f t="shared" si="102"/>
        <v>269</v>
      </c>
      <c r="C274" s="71">
        <v>220</v>
      </c>
      <c r="D274" s="67"/>
      <c r="E274" s="72"/>
      <c r="F274" s="2" t="s">
        <v>225</v>
      </c>
      <c r="G274" s="207">
        <f>G275</f>
        <v>141500</v>
      </c>
      <c r="H274" s="18">
        <f t="shared" si="117"/>
        <v>0</v>
      </c>
      <c r="I274" s="309">
        <f t="shared" si="114"/>
        <v>141500</v>
      </c>
    </row>
    <row r="275" spans="2:9" x14ac:dyDescent="0.2">
      <c r="B275" s="120">
        <f t="shared" si="102"/>
        <v>270</v>
      </c>
      <c r="C275" s="73"/>
      <c r="D275" s="68">
        <v>223</v>
      </c>
      <c r="E275" s="74"/>
      <c r="F275" s="3" t="s">
        <v>254</v>
      </c>
      <c r="G275" s="208">
        <f>G276+G277+G278</f>
        <v>141500</v>
      </c>
      <c r="H275" s="19">
        <f t="shared" ref="H275" si="118">H276+H277+H278</f>
        <v>0</v>
      </c>
      <c r="I275" s="297">
        <f t="shared" si="114"/>
        <v>141500</v>
      </c>
    </row>
    <row r="276" spans="2:9" x14ac:dyDescent="0.2">
      <c r="B276" s="120">
        <f t="shared" si="102"/>
        <v>271</v>
      </c>
      <c r="C276" s="12"/>
      <c r="D276" s="4"/>
      <c r="E276" s="13">
        <v>223001</v>
      </c>
      <c r="F276" s="4" t="s">
        <v>314</v>
      </c>
      <c r="G276" s="247">
        <v>104000</v>
      </c>
      <c r="H276" s="21"/>
      <c r="I276" s="313">
        <f t="shared" si="114"/>
        <v>104000</v>
      </c>
    </row>
    <row r="277" spans="2:9" x14ac:dyDescent="0.2">
      <c r="B277" s="120">
        <f t="shared" si="102"/>
        <v>272</v>
      </c>
      <c r="C277" s="12"/>
      <c r="D277" s="4"/>
      <c r="E277" s="13">
        <v>223001</v>
      </c>
      <c r="F277" s="4" t="s">
        <v>316</v>
      </c>
      <c r="G277" s="247">
        <v>10500</v>
      </c>
      <c r="H277" s="21"/>
      <c r="I277" s="313">
        <f t="shared" si="114"/>
        <v>10500</v>
      </c>
    </row>
    <row r="278" spans="2:9" x14ac:dyDescent="0.2">
      <c r="B278" s="120">
        <f t="shared" si="102"/>
        <v>273</v>
      </c>
      <c r="C278" s="12"/>
      <c r="D278" s="4"/>
      <c r="E278" s="13">
        <v>223001</v>
      </c>
      <c r="F278" s="4" t="s">
        <v>315</v>
      </c>
      <c r="G278" s="247">
        <v>27000</v>
      </c>
      <c r="H278" s="21"/>
      <c r="I278" s="313">
        <f t="shared" si="114"/>
        <v>27000</v>
      </c>
    </row>
    <row r="279" spans="2:9" x14ac:dyDescent="0.2">
      <c r="B279" s="120">
        <f t="shared" si="102"/>
        <v>274</v>
      </c>
      <c r="C279" s="69"/>
      <c r="D279" s="66"/>
      <c r="E279" s="70"/>
      <c r="F279" s="5" t="s">
        <v>322</v>
      </c>
      <c r="G279" s="206">
        <f>G280</f>
        <v>88500</v>
      </c>
      <c r="H279" s="294">
        <f t="shared" ref="H279:H280" si="119">H280</f>
        <v>0</v>
      </c>
      <c r="I279" s="308">
        <f t="shared" si="114"/>
        <v>88500</v>
      </c>
    </row>
    <row r="280" spans="2:9" x14ac:dyDescent="0.2">
      <c r="B280" s="120">
        <f t="shared" si="102"/>
        <v>275</v>
      </c>
      <c r="C280" s="71">
        <v>220</v>
      </c>
      <c r="D280" s="67"/>
      <c r="E280" s="72"/>
      <c r="F280" s="2" t="s">
        <v>225</v>
      </c>
      <c r="G280" s="207">
        <f>G281</f>
        <v>88500</v>
      </c>
      <c r="H280" s="18">
        <f t="shared" si="119"/>
        <v>0</v>
      </c>
      <c r="I280" s="309">
        <f t="shared" si="114"/>
        <v>88500</v>
      </c>
    </row>
    <row r="281" spans="2:9" x14ac:dyDescent="0.2">
      <c r="B281" s="120">
        <f t="shared" si="102"/>
        <v>276</v>
      </c>
      <c r="C281" s="73"/>
      <c r="D281" s="68">
        <v>223</v>
      </c>
      <c r="E281" s="74"/>
      <c r="F281" s="3" t="s">
        <v>254</v>
      </c>
      <c r="G281" s="208">
        <f>G282+G283</f>
        <v>88500</v>
      </c>
      <c r="H281" s="19">
        <f t="shared" ref="H281" si="120">H282+H283</f>
        <v>0</v>
      </c>
      <c r="I281" s="297">
        <f t="shared" si="114"/>
        <v>88500</v>
      </c>
    </row>
    <row r="282" spans="2:9" x14ac:dyDescent="0.2">
      <c r="B282" s="120">
        <f t="shared" si="102"/>
        <v>277</v>
      </c>
      <c r="C282" s="12"/>
      <c r="D282" s="4"/>
      <c r="E282" s="13">
        <v>223001</v>
      </c>
      <c r="F282" s="4" t="s">
        <v>320</v>
      </c>
      <c r="G282" s="247">
        <v>83000</v>
      </c>
      <c r="H282" s="21"/>
      <c r="I282" s="313">
        <f t="shared" si="114"/>
        <v>83000</v>
      </c>
    </row>
    <row r="283" spans="2:9" x14ac:dyDescent="0.2">
      <c r="B283" s="120">
        <f t="shared" si="102"/>
        <v>278</v>
      </c>
      <c r="C283" s="12"/>
      <c r="D283" s="4"/>
      <c r="E283" s="13">
        <v>223001</v>
      </c>
      <c r="F283" s="4" t="s">
        <v>321</v>
      </c>
      <c r="G283" s="247">
        <v>5500</v>
      </c>
      <c r="H283" s="21"/>
      <c r="I283" s="313">
        <f t="shared" si="114"/>
        <v>5500</v>
      </c>
    </row>
    <row r="284" spans="2:9" x14ac:dyDescent="0.2">
      <c r="B284" s="120">
        <f t="shared" si="102"/>
        <v>279</v>
      </c>
      <c r="C284" s="69"/>
      <c r="D284" s="66"/>
      <c r="E284" s="70"/>
      <c r="F284" s="5" t="s">
        <v>46</v>
      </c>
      <c r="G284" s="206">
        <f>G285</f>
        <v>11400</v>
      </c>
      <c r="H284" s="294">
        <f t="shared" ref="H284:H286" si="121">H285</f>
        <v>0</v>
      </c>
      <c r="I284" s="308">
        <f t="shared" si="114"/>
        <v>11400</v>
      </c>
    </row>
    <row r="285" spans="2:9" x14ac:dyDescent="0.2">
      <c r="B285" s="120">
        <f t="shared" si="102"/>
        <v>280</v>
      </c>
      <c r="C285" s="71">
        <v>220</v>
      </c>
      <c r="D285" s="67"/>
      <c r="E285" s="72"/>
      <c r="F285" s="2" t="s">
        <v>225</v>
      </c>
      <c r="G285" s="207">
        <f>G286</f>
        <v>11400</v>
      </c>
      <c r="H285" s="18">
        <f t="shared" si="121"/>
        <v>0</v>
      </c>
      <c r="I285" s="309">
        <f t="shared" si="114"/>
        <v>11400</v>
      </c>
    </row>
    <row r="286" spans="2:9" x14ac:dyDescent="0.2">
      <c r="B286" s="120">
        <f t="shared" si="102"/>
        <v>281</v>
      </c>
      <c r="C286" s="73"/>
      <c r="D286" s="68">
        <v>223</v>
      </c>
      <c r="E286" s="74"/>
      <c r="F286" s="3" t="s">
        <v>254</v>
      </c>
      <c r="G286" s="208">
        <f>G287</f>
        <v>11400</v>
      </c>
      <c r="H286" s="19">
        <f t="shared" si="121"/>
        <v>0</v>
      </c>
      <c r="I286" s="297">
        <f t="shared" si="114"/>
        <v>11400</v>
      </c>
    </row>
    <row r="287" spans="2:9" ht="13.5" thickBot="1" x14ac:dyDescent="0.25">
      <c r="B287" s="120">
        <f t="shared" si="102"/>
        <v>282</v>
      </c>
      <c r="C287" s="12"/>
      <c r="D287" s="144"/>
      <c r="E287" s="13">
        <v>223001</v>
      </c>
      <c r="F287" s="4" t="s">
        <v>255</v>
      </c>
      <c r="G287" s="247">
        <v>11400</v>
      </c>
      <c r="H287" s="21"/>
      <c r="I287" s="313">
        <f t="shared" si="114"/>
        <v>11400</v>
      </c>
    </row>
    <row r="288" spans="2:9" ht="15.75" thickBot="1" x14ac:dyDescent="0.3">
      <c r="B288" s="120">
        <f t="shared" si="102"/>
        <v>283</v>
      </c>
      <c r="C288" s="75">
        <v>6</v>
      </c>
      <c r="D288" s="157"/>
      <c r="E288" s="76"/>
      <c r="F288" s="9" t="s">
        <v>12</v>
      </c>
      <c r="G288" s="299">
        <f>G300+G297+G292+G289</f>
        <v>102100</v>
      </c>
      <c r="H288" s="319">
        <f>H300+H297+H292+H289</f>
        <v>5744</v>
      </c>
      <c r="I288" s="307">
        <f t="shared" si="114"/>
        <v>107844</v>
      </c>
    </row>
    <row r="289" spans="2:9" x14ac:dyDescent="0.2">
      <c r="B289" s="120">
        <f t="shared" si="102"/>
        <v>284</v>
      </c>
      <c r="C289" s="69">
        <v>210</v>
      </c>
      <c r="D289" s="156"/>
      <c r="E289" s="70"/>
      <c r="F289" s="5" t="s">
        <v>250</v>
      </c>
      <c r="G289" s="206">
        <f>G290</f>
        <v>1350</v>
      </c>
      <c r="H289" s="294">
        <f t="shared" ref="H289:H290" si="122">H290</f>
        <v>0</v>
      </c>
      <c r="I289" s="308">
        <f t="shared" si="114"/>
        <v>1350</v>
      </c>
    </row>
    <row r="290" spans="2:9" x14ac:dyDescent="0.2">
      <c r="B290" s="120">
        <f t="shared" si="102"/>
        <v>285</v>
      </c>
      <c r="C290" s="71"/>
      <c r="D290" s="67">
        <v>212</v>
      </c>
      <c r="E290" s="72"/>
      <c r="F290" s="2" t="s">
        <v>251</v>
      </c>
      <c r="G290" s="207">
        <f>G291</f>
        <v>1350</v>
      </c>
      <c r="H290" s="18">
        <f t="shared" si="122"/>
        <v>0</v>
      </c>
      <c r="I290" s="309">
        <f t="shared" si="114"/>
        <v>1350</v>
      </c>
    </row>
    <row r="291" spans="2:9" x14ac:dyDescent="0.2">
      <c r="B291" s="120">
        <f t="shared" si="102"/>
        <v>286</v>
      </c>
      <c r="C291" s="73"/>
      <c r="D291" s="68"/>
      <c r="E291" s="74">
        <v>212003</v>
      </c>
      <c r="F291" s="3" t="s">
        <v>252</v>
      </c>
      <c r="G291" s="208">
        <v>1350</v>
      </c>
      <c r="H291" s="19"/>
      <c r="I291" s="297">
        <f t="shared" si="114"/>
        <v>1350</v>
      </c>
    </row>
    <row r="292" spans="2:9" x14ac:dyDescent="0.2">
      <c r="B292" s="120">
        <f t="shared" si="102"/>
        <v>287</v>
      </c>
      <c r="C292" s="69">
        <v>220</v>
      </c>
      <c r="D292" s="66"/>
      <c r="E292" s="70"/>
      <c r="F292" s="5" t="s">
        <v>225</v>
      </c>
      <c r="G292" s="206">
        <f>G293</f>
        <v>100345</v>
      </c>
      <c r="H292" s="294">
        <f t="shared" ref="H292" si="123">H293</f>
        <v>4300</v>
      </c>
      <c r="I292" s="308">
        <f t="shared" si="114"/>
        <v>104645</v>
      </c>
    </row>
    <row r="293" spans="2:9" x14ac:dyDescent="0.2">
      <c r="B293" s="120">
        <f t="shared" ref="B293:B364" si="124">B292+1</f>
        <v>288</v>
      </c>
      <c r="C293" s="71"/>
      <c r="D293" s="67">
        <v>223</v>
      </c>
      <c r="E293" s="72"/>
      <c r="F293" s="2" t="s">
        <v>254</v>
      </c>
      <c r="G293" s="207">
        <f>G296+G295+G294</f>
        <v>100345</v>
      </c>
      <c r="H293" s="18">
        <f t="shared" ref="H293" si="125">H296+H295+H294</f>
        <v>4300</v>
      </c>
      <c r="I293" s="309">
        <f t="shared" si="114"/>
        <v>104645</v>
      </c>
    </row>
    <row r="294" spans="2:9" x14ac:dyDescent="0.2">
      <c r="B294" s="120">
        <f t="shared" si="124"/>
        <v>289</v>
      </c>
      <c r="C294" s="73"/>
      <c r="D294" s="68"/>
      <c r="E294" s="74">
        <v>223001</v>
      </c>
      <c r="F294" s="3" t="s">
        <v>255</v>
      </c>
      <c r="G294" s="208">
        <v>7700</v>
      </c>
      <c r="H294" s="19">
        <v>3300</v>
      </c>
      <c r="I294" s="297">
        <f t="shared" si="114"/>
        <v>11000</v>
      </c>
    </row>
    <row r="295" spans="2:9" x14ac:dyDescent="0.2">
      <c r="B295" s="120">
        <f t="shared" si="124"/>
        <v>290</v>
      </c>
      <c r="C295" s="73"/>
      <c r="D295" s="68"/>
      <c r="E295" s="74">
        <v>223002</v>
      </c>
      <c r="F295" s="3" t="s">
        <v>76</v>
      </c>
      <c r="G295" s="208">
        <v>12000</v>
      </c>
      <c r="H295" s="19">
        <v>1000</v>
      </c>
      <c r="I295" s="297">
        <f t="shared" si="114"/>
        <v>13000</v>
      </c>
    </row>
    <row r="296" spans="2:9" x14ac:dyDescent="0.2">
      <c r="B296" s="120">
        <f t="shared" si="124"/>
        <v>291</v>
      </c>
      <c r="C296" s="73"/>
      <c r="D296" s="68"/>
      <c r="E296" s="74">
        <v>223003</v>
      </c>
      <c r="F296" s="51" t="s">
        <v>77</v>
      </c>
      <c r="G296" s="208">
        <v>80645</v>
      </c>
      <c r="H296" s="19"/>
      <c r="I296" s="297">
        <f t="shared" si="114"/>
        <v>80645</v>
      </c>
    </row>
    <row r="297" spans="2:9" x14ac:dyDescent="0.2">
      <c r="B297" s="120">
        <f t="shared" si="124"/>
        <v>292</v>
      </c>
      <c r="C297" s="69">
        <v>240</v>
      </c>
      <c r="D297" s="66"/>
      <c r="E297" s="70"/>
      <c r="F297" s="5" t="s">
        <v>178</v>
      </c>
      <c r="G297" s="206">
        <f>G298</f>
        <v>5</v>
      </c>
      <c r="H297" s="294">
        <f t="shared" ref="H297:H298" si="126">H298</f>
        <v>0</v>
      </c>
      <c r="I297" s="308">
        <f t="shared" si="114"/>
        <v>5</v>
      </c>
    </row>
    <row r="298" spans="2:9" x14ac:dyDescent="0.2">
      <c r="B298" s="120">
        <f t="shared" si="124"/>
        <v>293</v>
      </c>
      <c r="C298" s="71"/>
      <c r="D298" s="67">
        <v>242</v>
      </c>
      <c r="E298" s="72"/>
      <c r="F298" s="2" t="s">
        <v>177</v>
      </c>
      <c r="G298" s="207">
        <f>G299</f>
        <v>5</v>
      </c>
      <c r="H298" s="18">
        <f t="shared" si="126"/>
        <v>0</v>
      </c>
      <c r="I298" s="309">
        <f t="shared" si="114"/>
        <v>5</v>
      </c>
    </row>
    <row r="299" spans="2:9" x14ac:dyDescent="0.2">
      <c r="B299" s="120">
        <f t="shared" si="124"/>
        <v>294</v>
      </c>
      <c r="C299" s="73"/>
      <c r="D299" s="68"/>
      <c r="E299" s="74">
        <v>242</v>
      </c>
      <c r="F299" s="3" t="s">
        <v>177</v>
      </c>
      <c r="G299" s="208">
        <v>5</v>
      </c>
      <c r="H299" s="19"/>
      <c r="I299" s="297">
        <f t="shared" si="114"/>
        <v>5</v>
      </c>
    </row>
    <row r="300" spans="2:9" x14ac:dyDescent="0.2">
      <c r="B300" s="120">
        <f t="shared" si="124"/>
        <v>295</v>
      </c>
      <c r="C300" s="69">
        <v>290</v>
      </c>
      <c r="D300" s="66"/>
      <c r="E300" s="70"/>
      <c r="F300" s="5" t="s">
        <v>180</v>
      </c>
      <c r="G300" s="206">
        <f>G301</f>
        <v>400</v>
      </c>
      <c r="H300" s="294">
        <f t="shared" ref="H300" si="127">H301</f>
        <v>1444</v>
      </c>
      <c r="I300" s="308">
        <f t="shared" si="114"/>
        <v>1844</v>
      </c>
    </row>
    <row r="301" spans="2:9" x14ac:dyDescent="0.2">
      <c r="B301" s="120">
        <f t="shared" si="124"/>
        <v>296</v>
      </c>
      <c r="C301" s="71"/>
      <c r="D301" s="67">
        <v>292</v>
      </c>
      <c r="E301" s="72"/>
      <c r="F301" s="2" t="s">
        <v>181</v>
      </c>
      <c r="G301" s="207">
        <f>SUM(G302:G302)</f>
        <v>400</v>
      </c>
      <c r="H301" s="18">
        <f>H303</f>
        <v>1444</v>
      </c>
      <c r="I301" s="309">
        <f t="shared" si="114"/>
        <v>1844</v>
      </c>
    </row>
    <row r="302" spans="2:9" x14ac:dyDescent="0.2">
      <c r="B302" s="120">
        <f t="shared" si="124"/>
        <v>297</v>
      </c>
      <c r="C302" s="73"/>
      <c r="D302" s="68"/>
      <c r="E302" s="74">
        <v>292012</v>
      </c>
      <c r="F302" s="3" t="s">
        <v>236</v>
      </c>
      <c r="G302" s="208">
        <v>400</v>
      </c>
      <c r="H302" s="19"/>
      <c r="I302" s="297">
        <f t="shared" si="114"/>
        <v>400</v>
      </c>
    </row>
    <row r="303" spans="2:9" ht="13.5" thickBot="1" x14ac:dyDescent="0.25">
      <c r="B303" s="120">
        <f t="shared" si="124"/>
        <v>298</v>
      </c>
      <c r="C303" s="287"/>
      <c r="D303" s="288"/>
      <c r="E303" s="287">
        <v>292017</v>
      </c>
      <c r="F303" s="14" t="s">
        <v>237</v>
      </c>
      <c r="G303" s="292">
        <v>0</v>
      </c>
      <c r="H303" s="321">
        <v>1444</v>
      </c>
      <c r="I303" s="291">
        <f>H303</f>
        <v>1444</v>
      </c>
    </row>
    <row r="304" spans="2:9" ht="15.75" thickBot="1" x14ac:dyDescent="0.3">
      <c r="B304" s="120">
        <f t="shared" si="124"/>
        <v>299</v>
      </c>
      <c r="C304" s="75">
        <v>7</v>
      </c>
      <c r="D304" s="157"/>
      <c r="E304" s="76"/>
      <c r="F304" s="9" t="s">
        <v>13</v>
      </c>
      <c r="G304" s="299">
        <f>G308+G305</f>
        <v>111800</v>
      </c>
      <c r="H304" s="319">
        <f>H313+H308</f>
        <v>3643</v>
      </c>
      <c r="I304" s="307">
        <f t="shared" si="114"/>
        <v>115443</v>
      </c>
    </row>
    <row r="305" spans="2:9" x14ac:dyDescent="0.2">
      <c r="B305" s="120">
        <f t="shared" si="124"/>
        <v>300</v>
      </c>
      <c r="C305" s="69">
        <v>210</v>
      </c>
      <c r="D305" s="156"/>
      <c r="E305" s="70"/>
      <c r="F305" s="5" t="s">
        <v>250</v>
      </c>
      <c r="G305" s="206">
        <f>G306</f>
        <v>2000</v>
      </c>
      <c r="H305" s="294">
        <f t="shared" ref="H305:H306" si="128">H306</f>
        <v>0</v>
      </c>
      <c r="I305" s="308">
        <f t="shared" si="114"/>
        <v>2000</v>
      </c>
    </row>
    <row r="306" spans="2:9" x14ac:dyDescent="0.2">
      <c r="B306" s="120">
        <f t="shared" si="124"/>
        <v>301</v>
      </c>
      <c r="C306" s="71"/>
      <c r="D306" s="67">
        <v>212</v>
      </c>
      <c r="E306" s="72"/>
      <c r="F306" s="2" t="s">
        <v>251</v>
      </c>
      <c r="G306" s="207">
        <f>G307</f>
        <v>2000</v>
      </c>
      <c r="H306" s="18">
        <f t="shared" si="128"/>
        <v>0</v>
      </c>
      <c r="I306" s="309">
        <f t="shared" si="114"/>
        <v>2000</v>
      </c>
    </row>
    <row r="307" spans="2:9" x14ac:dyDescent="0.2">
      <c r="B307" s="120">
        <f t="shared" si="124"/>
        <v>302</v>
      </c>
      <c r="C307" s="73"/>
      <c r="D307" s="68"/>
      <c r="E307" s="74">
        <v>212003</v>
      </c>
      <c r="F307" s="3" t="s">
        <v>252</v>
      </c>
      <c r="G307" s="208">
        <v>2000</v>
      </c>
      <c r="H307" s="19"/>
      <c r="I307" s="297">
        <f t="shared" si="114"/>
        <v>2000</v>
      </c>
    </row>
    <row r="308" spans="2:9" x14ac:dyDescent="0.2">
      <c r="B308" s="120">
        <f t="shared" si="124"/>
        <v>303</v>
      </c>
      <c r="C308" s="69">
        <v>220</v>
      </c>
      <c r="D308" s="66"/>
      <c r="E308" s="70"/>
      <c r="F308" s="5" t="s">
        <v>225</v>
      </c>
      <c r="G308" s="206">
        <f>G309</f>
        <v>109800</v>
      </c>
      <c r="H308" s="294">
        <f t="shared" ref="H308" si="129">H309</f>
        <v>2000</v>
      </c>
      <c r="I308" s="308">
        <f t="shared" si="114"/>
        <v>111800</v>
      </c>
    </row>
    <row r="309" spans="2:9" x14ac:dyDescent="0.2">
      <c r="B309" s="120">
        <f t="shared" si="124"/>
        <v>304</v>
      </c>
      <c r="C309" s="71"/>
      <c r="D309" s="67">
        <v>223</v>
      </c>
      <c r="E309" s="72"/>
      <c r="F309" s="2" t="s">
        <v>254</v>
      </c>
      <c r="G309" s="207">
        <f>G312+G311+G310</f>
        <v>109800</v>
      </c>
      <c r="H309" s="18">
        <f t="shared" ref="H309" si="130">H312+H311+H310</f>
        <v>2000</v>
      </c>
      <c r="I309" s="309">
        <f t="shared" si="114"/>
        <v>111800</v>
      </c>
    </row>
    <row r="310" spans="2:9" x14ac:dyDescent="0.2">
      <c r="B310" s="120">
        <f t="shared" si="124"/>
        <v>305</v>
      </c>
      <c r="C310" s="71"/>
      <c r="D310" s="67"/>
      <c r="E310" s="74">
        <v>223001</v>
      </c>
      <c r="F310" s="3" t="s">
        <v>255</v>
      </c>
      <c r="G310" s="208">
        <v>15800</v>
      </c>
      <c r="H310" s="19"/>
      <c r="I310" s="297">
        <f t="shared" si="114"/>
        <v>15800</v>
      </c>
    </row>
    <row r="311" spans="2:9" x14ac:dyDescent="0.2">
      <c r="B311" s="120">
        <f t="shared" si="124"/>
        <v>306</v>
      </c>
      <c r="C311" s="73"/>
      <c r="D311" s="68"/>
      <c r="E311" s="74">
        <v>223002</v>
      </c>
      <c r="F311" s="3" t="s">
        <v>76</v>
      </c>
      <c r="G311" s="208">
        <f>15800-2800</f>
        <v>13000</v>
      </c>
      <c r="H311" s="19">
        <v>2000</v>
      </c>
      <c r="I311" s="297">
        <f t="shared" si="114"/>
        <v>15000</v>
      </c>
    </row>
    <row r="312" spans="2:9" x14ac:dyDescent="0.2">
      <c r="B312" s="120">
        <f t="shared" si="124"/>
        <v>307</v>
      </c>
      <c r="C312" s="73"/>
      <c r="D312" s="68"/>
      <c r="E312" s="74">
        <v>223003</v>
      </c>
      <c r="F312" s="51" t="s">
        <v>77</v>
      </c>
      <c r="G312" s="208">
        <v>81000</v>
      </c>
      <c r="H312" s="19"/>
      <c r="I312" s="297">
        <f t="shared" si="114"/>
        <v>81000</v>
      </c>
    </row>
    <row r="313" spans="2:9" x14ac:dyDescent="0.2">
      <c r="B313" s="120"/>
      <c r="C313" s="69">
        <v>290</v>
      </c>
      <c r="D313" s="66"/>
      <c r="E313" s="70"/>
      <c r="F313" s="5" t="s">
        <v>180</v>
      </c>
      <c r="G313" s="206">
        <f>G314</f>
        <v>0</v>
      </c>
      <c r="H313" s="294">
        <f t="shared" ref="H313" si="131">H314</f>
        <v>1643</v>
      </c>
      <c r="I313" s="308">
        <f t="shared" si="114"/>
        <v>1643</v>
      </c>
    </row>
    <row r="314" spans="2:9" x14ac:dyDescent="0.2">
      <c r="B314" s="120"/>
      <c r="C314" s="71"/>
      <c r="D314" s="67">
        <v>292</v>
      </c>
      <c r="E314" s="72"/>
      <c r="F314" s="2" t="s">
        <v>181</v>
      </c>
      <c r="G314" s="207">
        <f>SUM(G315:G315)</f>
        <v>0</v>
      </c>
      <c r="H314" s="18">
        <f>H315</f>
        <v>1643</v>
      </c>
      <c r="I314" s="309">
        <f t="shared" si="114"/>
        <v>1643</v>
      </c>
    </row>
    <row r="315" spans="2:9" ht="13.5" thickBot="1" x14ac:dyDescent="0.25">
      <c r="B315" s="120"/>
      <c r="C315" s="287"/>
      <c r="D315" s="288"/>
      <c r="E315" s="287">
        <v>292017</v>
      </c>
      <c r="F315" s="14" t="s">
        <v>237</v>
      </c>
      <c r="G315" s="292">
        <v>0</v>
      </c>
      <c r="H315" s="321">
        <v>1643</v>
      </c>
      <c r="I315" s="291">
        <f>H315</f>
        <v>1643</v>
      </c>
    </row>
    <row r="316" spans="2:9" ht="15.75" thickBot="1" x14ac:dyDescent="0.3">
      <c r="B316" s="120">
        <f>B312+1</f>
        <v>308</v>
      </c>
      <c r="C316" s="75">
        <v>8</v>
      </c>
      <c r="D316" s="157"/>
      <c r="E316" s="76"/>
      <c r="F316" s="9" t="s">
        <v>10</v>
      </c>
      <c r="G316" s="299">
        <f>G323+G320+G317</f>
        <v>42860</v>
      </c>
      <c r="H316" s="319">
        <f>H326</f>
        <v>1662</v>
      </c>
      <c r="I316" s="307">
        <f t="shared" si="114"/>
        <v>44522</v>
      </c>
    </row>
    <row r="317" spans="2:9" x14ac:dyDescent="0.2">
      <c r="B317" s="120">
        <f t="shared" si="124"/>
        <v>309</v>
      </c>
      <c r="C317" s="69">
        <v>210</v>
      </c>
      <c r="D317" s="156"/>
      <c r="E317" s="70"/>
      <c r="F317" s="5" t="s">
        <v>250</v>
      </c>
      <c r="G317" s="206">
        <f>G318</f>
        <v>20100</v>
      </c>
      <c r="H317" s="294">
        <f t="shared" ref="H317:H318" si="132">H318</f>
        <v>0</v>
      </c>
      <c r="I317" s="308">
        <f t="shared" si="114"/>
        <v>20100</v>
      </c>
    </row>
    <row r="318" spans="2:9" x14ac:dyDescent="0.2">
      <c r="B318" s="120">
        <f t="shared" si="124"/>
        <v>310</v>
      </c>
      <c r="C318" s="71"/>
      <c r="D318" s="67">
        <v>212</v>
      </c>
      <c r="E318" s="72"/>
      <c r="F318" s="2" t="s">
        <v>251</v>
      </c>
      <c r="G318" s="207">
        <f>G319</f>
        <v>20100</v>
      </c>
      <c r="H318" s="18">
        <f t="shared" si="132"/>
        <v>0</v>
      </c>
      <c r="I318" s="309">
        <f t="shared" si="114"/>
        <v>20100</v>
      </c>
    </row>
    <row r="319" spans="2:9" x14ac:dyDescent="0.2">
      <c r="B319" s="120">
        <f t="shared" si="124"/>
        <v>311</v>
      </c>
      <c r="C319" s="73"/>
      <c r="D319" s="68"/>
      <c r="E319" s="74">
        <v>212003</v>
      </c>
      <c r="F319" s="3" t="s">
        <v>252</v>
      </c>
      <c r="G319" s="208">
        <v>20100</v>
      </c>
      <c r="H319" s="19"/>
      <c r="I319" s="297">
        <f t="shared" si="114"/>
        <v>20100</v>
      </c>
    </row>
    <row r="320" spans="2:9" x14ac:dyDescent="0.2">
      <c r="B320" s="120">
        <f t="shared" si="124"/>
        <v>312</v>
      </c>
      <c r="C320" s="69">
        <v>220</v>
      </c>
      <c r="D320" s="66"/>
      <c r="E320" s="70"/>
      <c r="F320" s="5" t="s">
        <v>225</v>
      </c>
      <c r="G320" s="206">
        <f>G321</f>
        <v>22756</v>
      </c>
      <c r="H320" s="294">
        <f t="shared" ref="H320:H321" si="133">H321</f>
        <v>0</v>
      </c>
      <c r="I320" s="308">
        <f t="shared" si="114"/>
        <v>22756</v>
      </c>
    </row>
    <row r="321" spans="2:9" x14ac:dyDescent="0.2">
      <c r="B321" s="120">
        <f t="shared" si="124"/>
        <v>313</v>
      </c>
      <c r="C321" s="71"/>
      <c r="D321" s="67">
        <v>223</v>
      </c>
      <c r="E321" s="72"/>
      <c r="F321" s="2" t="s">
        <v>254</v>
      </c>
      <c r="G321" s="207">
        <f>G322</f>
        <v>22756</v>
      </c>
      <c r="H321" s="18">
        <f t="shared" si="133"/>
        <v>0</v>
      </c>
      <c r="I321" s="309">
        <f t="shared" si="114"/>
        <v>22756</v>
      </c>
    </row>
    <row r="322" spans="2:9" x14ac:dyDescent="0.2">
      <c r="B322" s="120">
        <f t="shared" si="124"/>
        <v>314</v>
      </c>
      <c r="C322" s="73"/>
      <c r="D322" s="68"/>
      <c r="E322" s="74">
        <v>223002</v>
      </c>
      <c r="F322" s="3" t="s">
        <v>76</v>
      </c>
      <c r="G322" s="208">
        <v>22756</v>
      </c>
      <c r="H322" s="19"/>
      <c r="I322" s="297">
        <f t="shared" si="114"/>
        <v>22756</v>
      </c>
    </row>
    <row r="323" spans="2:9" x14ac:dyDescent="0.2">
      <c r="B323" s="120">
        <f t="shared" si="124"/>
        <v>315</v>
      </c>
      <c r="C323" s="69">
        <v>240</v>
      </c>
      <c r="D323" s="66"/>
      <c r="E323" s="70"/>
      <c r="F323" s="5" t="s">
        <v>178</v>
      </c>
      <c r="G323" s="206">
        <f>G324</f>
        <v>4</v>
      </c>
      <c r="H323" s="294">
        <f t="shared" ref="H323:H324" si="134">H324</f>
        <v>0</v>
      </c>
      <c r="I323" s="308">
        <f t="shared" si="114"/>
        <v>4</v>
      </c>
    </row>
    <row r="324" spans="2:9" x14ac:dyDescent="0.2">
      <c r="B324" s="120">
        <f t="shared" si="124"/>
        <v>316</v>
      </c>
      <c r="C324" s="71"/>
      <c r="D324" s="67">
        <v>242</v>
      </c>
      <c r="E324" s="72"/>
      <c r="F324" s="2" t="s">
        <v>177</v>
      </c>
      <c r="G324" s="207">
        <f>G325</f>
        <v>4</v>
      </c>
      <c r="H324" s="18">
        <f t="shared" si="134"/>
        <v>0</v>
      </c>
      <c r="I324" s="309">
        <f t="shared" si="114"/>
        <v>4</v>
      </c>
    </row>
    <row r="325" spans="2:9" x14ac:dyDescent="0.2">
      <c r="B325" s="120">
        <f t="shared" si="124"/>
        <v>317</v>
      </c>
      <c r="C325" s="73"/>
      <c r="D325" s="68"/>
      <c r="E325" s="74">
        <v>242</v>
      </c>
      <c r="F325" s="3" t="s">
        <v>177</v>
      </c>
      <c r="G325" s="208">
        <v>4</v>
      </c>
      <c r="H325" s="19"/>
      <c r="I325" s="297">
        <f t="shared" si="114"/>
        <v>4</v>
      </c>
    </row>
    <row r="326" spans="2:9" x14ac:dyDescent="0.2">
      <c r="B326" s="120">
        <f t="shared" si="124"/>
        <v>318</v>
      </c>
      <c r="C326" s="69">
        <v>290</v>
      </c>
      <c r="D326" s="66"/>
      <c r="E326" s="70"/>
      <c r="F326" s="5" t="s">
        <v>180</v>
      </c>
      <c r="G326" s="206">
        <f>G327</f>
        <v>0</v>
      </c>
      <c r="H326" s="294">
        <f t="shared" ref="H326" si="135">H327</f>
        <v>1662</v>
      </c>
      <c r="I326" s="308">
        <f t="shared" ref="I326:I327" si="136">G326+H326</f>
        <v>1662</v>
      </c>
    </row>
    <row r="327" spans="2:9" x14ac:dyDescent="0.2">
      <c r="B327" s="120">
        <f t="shared" si="124"/>
        <v>319</v>
      </c>
      <c r="C327" s="71"/>
      <c r="D327" s="67">
        <v>292</v>
      </c>
      <c r="E327" s="72"/>
      <c r="F327" s="2" t="s">
        <v>181</v>
      </c>
      <c r="G327" s="207">
        <f>SUM(G328:G328)</f>
        <v>0</v>
      </c>
      <c r="H327" s="18">
        <f>H328</f>
        <v>1662</v>
      </c>
      <c r="I327" s="309">
        <f t="shared" si="136"/>
        <v>1662</v>
      </c>
    </row>
    <row r="328" spans="2:9" ht="13.5" thickBot="1" x14ac:dyDescent="0.25">
      <c r="B328" s="120">
        <f t="shared" si="124"/>
        <v>320</v>
      </c>
      <c r="C328" s="287"/>
      <c r="D328" s="288"/>
      <c r="E328" s="287">
        <v>292017</v>
      </c>
      <c r="F328" s="14" t="s">
        <v>237</v>
      </c>
      <c r="G328" s="292">
        <v>0</v>
      </c>
      <c r="H328" s="321">
        <v>1662</v>
      </c>
      <c r="I328" s="291">
        <f>H328</f>
        <v>1662</v>
      </c>
    </row>
    <row r="329" spans="2:9" ht="15.75" thickBot="1" x14ac:dyDescent="0.3">
      <c r="B329" s="120">
        <f t="shared" si="124"/>
        <v>321</v>
      </c>
      <c r="C329" s="75">
        <v>9</v>
      </c>
      <c r="D329" s="157"/>
      <c r="E329" s="76"/>
      <c r="F329" s="9" t="s">
        <v>8</v>
      </c>
      <c r="G329" s="299">
        <f>G338+G333+G330</f>
        <v>86860</v>
      </c>
      <c r="H329" s="319">
        <f t="shared" ref="H329" si="137">H338+H333+H330</f>
        <v>804</v>
      </c>
      <c r="I329" s="307">
        <f t="shared" si="114"/>
        <v>87664</v>
      </c>
    </row>
    <row r="330" spans="2:9" x14ac:dyDescent="0.2">
      <c r="B330" s="120">
        <f t="shared" si="124"/>
        <v>322</v>
      </c>
      <c r="C330" s="69">
        <v>210</v>
      </c>
      <c r="D330" s="156"/>
      <c r="E330" s="70"/>
      <c r="F330" s="5" t="s">
        <v>250</v>
      </c>
      <c r="G330" s="206">
        <f>G331</f>
        <v>3000</v>
      </c>
      <c r="H330" s="294">
        <f t="shared" ref="H330:H331" si="138">H331</f>
        <v>0</v>
      </c>
      <c r="I330" s="308">
        <f t="shared" si="114"/>
        <v>3000</v>
      </c>
    </row>
    <row r="331" spans="2:9" x14ac:dyDescent="0.2">
      <c r="B331" s="120">
        <f t="shared" si="124"/>
        <v>323</v>
      </c>
      <c r="C331" s="71"/>
      <c r="D331" s="67">
        <v>212</v>
      </c>
      <c r="E331" s="72"/>
      <c r="F331" s="2" t="s">
        <v>251</v>
      </c>
      <c r="G331" s="207">
        <f>G332</f>
        <v>3000</v>
      </c>
      <c r="H331" s="18">
        <f t="shared" si="138"/>
        <v>0</v>
      </c>
      <c r="I331" s="309">
        <f t="shared" si="114"/>
        <v>3000</v>
      </c>
    </row>
    <row r="332" spans="2:9" x14ac:dyDescent="0.2">
      <c r="B332" s="120">
        <f t="shared" si="124"/>
        <v>324</v>
      </c>
      <c r="C332" s="73"/>
      <c r="D332" s="68"/>
      <c r="E332" s="74">
        <v>212003</v>
      </c>
      <c r="F332" s="3" t="s">
        <v>252</v>
      </c>
      <c r="G332" s="208">
        <v>3000</v>
      </c>
      <c r="H332" s="19"/>
      <c r="I332" s="297">
        <f t="shared" si="114"/>
        <v>3000</v>
      </c>
    </row>
    <row r="333" spans="2:9" x14ac:dyDescent="0.2">
      <c r="B333" s="120">
        <f t="shared" si="124"/>
        <v>325</v>
      </c>
      <c r="C333" s="69">
        <v>220</v>
      </c>
      <c r="D333" s="66"/>
      <c r="E333" s="70"/>
      <c r="F333" s="5" t="s">
        <v>225</v>
      </c>
      <c r="G333" s="206">
        <f>G334</f>
        <v>83360</v>
      </c>
      <c r="H333" s="294">
        <f t="shared" ref="H333" si="139">H334</f>
        <v>0</v>
      </c>
      <c r="I333" s="308">
        <f t="shared" si="114"/>
        <v>83360</v>
      </c>
    </row>
    <row r="334" spans="2:9" x14ac:dyDescent="0.2">
      <c r="B334" s="120">
        <f t="shared" si="124"/>
        <v>326</v>
      </c>
      <c r="C334" s="71"/>
      <c r="D334" s="67">
        <v>223</v>
      </c>
      <c r="E334" s="72"/>
      <c r="F334" s="2" t="s">
        <v>254</v>
      </c>
      <c r="G334" s="207">
        <f>G337+G336+G335</f>
        <v>83360</v>
      </c>
      <c r="H334" s="18">
        <f t="shared" ref="H334" si="140">H337+H336+H335</f>
        <v>0</v>
      </c>
      <c r="I334" s="309">
        <f t="shared" si="114"/>
        <v>83360</v>
      </c>
    </row>
    <row r="335" spans="2:9" x14ac:dyDescent="0.2">
      <c r="B335" s="120">
        <f t="shared" si="124"/>
        <v>327</v>
      </c>
      <c r="C335" s="73"/>
      <c r="D335" s="68"/>
      <c r="E335" s="74">
        <v>223001</v>
      </c>
      <c r="F335" s="3" t="s">
        <v>255</v>
      </c>
      <c r="G335" s="208">
        <v>7800</v>
      </c>
      <c r="H335" s="19"/>
      <c r="I335" s="297">
        <f t="shared" si="114"/>
        <v>7800</v>
      </c>
    </row>
    <row r="336" spans="2:9" x14ac:dyDescent="0.2">
      <c r="B336" s="120">
        <f t="shared" si="124"/>
        <v>328</v>
      </c>
      <c r="C336" s="73"/>
      <c r="D336" s="68"/>
      <c r="E336" s="74">
        <v>223002</v>
      </c>
      <c r="F336" s="51" t="s">
        <v>76</v>
      </c>
      <c r="G336" s="208">
        <v>9560</v>
      </c>
      <c r="H336" s="19"/>
      <c r="I336" s="297">
        <f t="shared" si="114"/>
        <v>9560</v>
      </c>
    </row>
    <row r="337" spans="2:9" x14ac:dyDescent="0.2">
      <c r="B337" s="120">
        <f t="shared" si="124"/>
        <v>329</v>
      </c>
      <c r="C337" s="73"/>
      <c r="D337" s="68"/>
      <c r="E337" s="74">
        <v>223003</v>
      </c>
      <c r="F337" s="51" t="s">
        <v>77</v>
      </c>
      <c r="G337" s="208">
        <v>66000</v>
      </c>
      <c r="H337" s="19"/>
      <c r="I337" s="297">
        <f t="shared" ref="I337:I406" si="141">G337+H337</f>
        <v>66000</v>
      </c>
    </row>
    <row r="338" spans="2:9" x14ac:dyDescent="0.2">
      <c r="B338" s="120">
        <f t="shared" si="124"/>
        <v>330</v>
      </c>
      <c r="C338" s="69">
        <v>290</v>
      </c>
      <c r="D338" s="66"/>
      <c r="E338" s="70"/>
      <c r="F338" s="5" t="s">
        <v>180</v>
      </c>
      <c r="G338" s="206">
        <f>G339</f>
        <v>500</v>
      </c>
      <c r="H338" s="294">
        <f t="shared" ref="H338:H339" si="142">H339</f>
        <v>804</v>
      </c>
      <c r="I338" s="308">
        <f t="shared" si="141"/>
        <v>1304</v>
      </c>
    </row>
    <row r="339" spans="2:9" x14ac:dyDescent="0.2">
      <c r="B339" s="120">
        <f t="shared" si="124"/>
        <v>331</v>
      </c>
      <c r="C339" s="71"/>
      <c r="D339" s="67">
        <v>292</v>
      </c>
      <c r="E339" s="72"/>
      <c r="F339" s="2" t="s">
        <v>181</v>
      </c>
      <c r="G339" s="207">
        <f>G340</f>
        <v>500</v>
      </c>
      <c r="H339" s="18">
        <f t="shared" si="142"/>
        <v>804</v>
      </c>
      <c r="I339" s="309">
        <f t="shared" si="141"/>
        <v>1304</v>
      </c>
    </row>
    <row r="340" spans="2:9" ht="13.5" thickBot="1" x14ac:dyDescent="0.25">
      <c r="B340" s="120">
        <f t="shared" si="124"/>
        <v>332</v>
      </c>
      <c r="C340" s="73"/>
      <c r="D340" s="155"/>
      <c r="E340" s="74">
        <v>292012</v>
      </c>
      <c r="F340" s="3" t="s">
        <v>236</v>
      </c>
      <c r="G340" s="208">
        <v>500</v>
      </c>
      <c r="H340" s="19">
        <v>804</v>
      </c>
      <c r="I340" s="297">
        <f t="shared" si="141"/>
        <v>1304</v>
      </c>
    </row>
    <row r="341" spans="2:9" ht="15.75" thickBot="1" x14ac:dyDescent="0.3">
      <c r="B341" s="120">
        <f t="shared" si="124"/>
        <v>333</v>
      </c>
      <c r="C341" s="75">
        <v>10</v>
      </c>
      <c r="D341" s="157"/>
      <c r="E341" s="76"/>
      <c r="F341" s="9" t="s">
        <v>2</v>
      </c>
      <c r="G341" s="299">
        <f>G350+G345+G342</f>
        <v>105000</v>
      </c>
      <c r="H341" s="319">
        <f t="shared" ref="H341" si="143">H350+H345+H342</f>
        <v>29500</v>
      </c>
      <c r="I341" s="307">
        <f t="shared" si="141"/>
        <v>134500</v>
      </c>
    </row>
    <row r="342" spans="2:9" x14ac:dyDescent="0.2">
      <c r="B342" s="120">
        <f t="shared" si="124"/>
        <v>334</v>
      </c>
      <c r="C342" s="69">
        <v>210</v>
      </c>
      <c r="D342" s="156"/>
      <c r="E342" s="70"/>
      <c r="F342" s="5" t="s">
        <v>250</v>
      </c>
      <c r="G342" s="206">
        <f>G343</f>
        <v>7100</v>
      </c>
      <c r="H342" s="294">
        <f t="shared" ref="H342:H343" si="144">H343</f>
        <v>0</v>
      </c>
      <c r="I342" s="308">
        <f t="shared" si="141"/>
        <v>7100</v>
      </c>
    </row>
    <row r="343" spans="2:9" x14ac:dyDescent="0.2">
      <c r="B343" s="120">
        <f t="shared" si="124"/>
        <v>335</v>
      </c>
      <c r="C343" s="71"/>
      <c r="D343" s="67">
        <v>212</v>
      </c>
      <c r="E343" s="72"/>
      <c r="F343" s="2" t="s">
        <v>251</v>
      </c>
      <c r="G343" s="207">
        <f>G344</f>
        <v>7100</v>
      </c>
      <c r="H343" s="18">
        <f t="shared" si="144"/>
        <v>0</v>
      </c>
      <c r="I343" s="309">
        <f t="shared" si="141"/>
        <v>7100</v>
      </c>
    </row>
    <row r="344" spans="2:9" x14ac:dyDescent="0.2">
      <c r="B344" s="120">
        <f t="shared" si="124"/>
        <v>336</v>
      </c>
      <c r="C344" s="73"/>
      <c r="D344" s="68"/>
      <c r="E344" s="74">
        <v>212003</v>
      </c>
      <c r="F344" s="3" t="s">
        <v>252</v>
      </c>
      <c r="G344" s="208">
        <v>7100</v>
      </c>
      <c r="H344" s="19"/>
      <c r="I344" s="297">
        <f t="shared" si="141"/>
        <v>7100</v>
      </c>
    </row>
    <row r="345" spans="2:9" x14ac:dyDescent="0.2">
      <c r="B345" s="120">
        <f t="shared" si="124"/>
        <v>337</v>
      </c>
      <c r="C345" s="69">
        <v>220</v>
      </c>
      <c r="D345" s="66"/>
      <c r="E345" s="70"/>
      <c r="F345" s="5" t="s">
        <v>225</v>
      </c>
      <c r="G345" s="206">
        <f>G346</f>
        <v>97400</v>
      </c>
      <c r="H345" s="294">
        <f t="shared" ref="H345" si="145">H346</f>
        <v>29500</v>
      </c>
      <c r="I345" s="308">
        <f t="shared" si="141"/>
        <v>126900</v>
      </c>
    </row>
    <row r="346" spans="2:9" x14ac:dyDescent="0.2">
      <c r="B346" s="120">
        <f t="shared" si="124"/>
        <v>338</v>
      </c>
      <c r="C346" s="71"/>
      <c r="D346" s="67">
        <v>223</v>
      </c>
      <c r="E346" s="72"/>
      <c r="F346" s="2" t="s">
        <v>254</v>
      </c>
      <c r="G346" s="207">
        <f>G349+G348+G347</f>
        <v>97400</v>
      </c>
      <c r="H346" s="18">
        <f t="shared" ref="H346" si="146">H349+H348+H347</f>
        <v>29500</v>
      </c>
      <c r="I346" s="309">
        <f t="shared" si="141"/>
        <v>126900</v>
      </c>
    </row>
    <row r="347" spans="2:9" x14ac:dyDescent="0.2">
      <c r="B347" s="120">
        <f t="shared" si="124"/>
        <v>339</v>
      </c>
      <c r="C347" s="73"/>
      <c r="D347" s="68"/>
      <c r="E347" s="74">
        <v>223001</v>
      </c>
      <c r="F347" s="3" t="s">
        <v>255</v>
      </c>
      <c r="G347" s="208">
        <v>21070</v>
      </c>
      <c r="H347" s="19"/>
      <c r="I347" s="297">
        <f t="shared" si="141"/>
        <v>21070</v>
      </c>
    </row>
    <row r="348" spans="2:9" x14ac:dyDescent="0.2">
      <c r="B348" s="120">
        <f t="shared" si="124"/>
        <v>340</v>
      </c>
      <c r="C348" s="73"/>
      <c r="D348" s="68"/>
      <c r="E348" s="74">
        <v>223002</v>
      </c>
      <c r="F348" s="3" t="s">
        <v>76</v>
      </c>
      <c r="G348" s="208">
        <v>6330</v>
      </c>
      <c r="H348" s="19">
        <v>1500</v>
      </c>
      <c r="I348" s="297">
        <f t="shared" si="141"/>
        <v>7830</v>
      </c>
    </row>
    <row r="349" spans="2:9" x14ac:dyDescent="0.2">
      <c r="B349" s="120">
        <f t="shared" si="124"/>
        <v>341</v>
      </c>
      <c r="C349" s="73"/>
      <c r="D349" s="68"/>
      <c r="E349" s="74">
        <v>223003</v>
      </c>
      <c r="F349" s="51" t="s">
        <v>77</v>
      </c>
      <c r="G349" s="208">
        <v>70000</v>
      </c>
      <c r="H349" s="19">
        <v>28000</v>
      </c>
      <c r="I349" s="297">
        <f t="shared" si="141"/>
        <v>98000</v>
      </c>
    </row>
    <row r="350" spans="2:9" x14ac:dyDescent="0.2">
      <c r="B350" s="120">
        <f t="shared" si="124"/>
        <v>342</v>
      </c>
      <c r="C350" s="69">
        <v>290</v>
      </c>
      <c r="D350" s="66"/>
      <c r="E350" s="70"/>
      <c r="F350" s="5" t="s">
        <v>180</v>
      </c>
      <c r="G350" s="206">
        <f>G351</f>
        <v>500</v>
      </c>
      <c r="H350" s="294">
        <f t="shared" ref="H350:H351" si="147">H351</f>
        <v>0</v>
      </c>
      <c r="I350" s="308">
        <f t="shared" si="141"/>
        <v>500</v>
      </c>
    </row>
    <row r="351" spans="2:9" x14ac:dyDescent="0.2">
      <c r="B351" s="120">
        <f t="shared" si="124"/>
        <v>343</v>
      </c>
      <c r="C351" s="71"/>
      <c r="D351" s="67">
        <v>292</v>
      </c>
      <c r="E351" s="72"/>
      <c r="F351" s="2" t="s">
        <v>181</v>
      </c>
      <c r="G351" s="207">
        <f>G352</f>
        <v>500</v>
      </c>
      <c r="H351" s="18">
        <f t="shared" si="147"/>
        <v>0</v>
      </c>
      <c r="I351" s="309">
        <f t="shared" si="141"/>
        <v>500</v>
      </c>
    </row>
    <row r="352" spans="2:9" ht="13.5" thickBot="1" x14ac:dyDescent="0.25">
      <c r="B352" s="120">
        <f t="shared" si="124"/>
        <v>344</v>
      </c>
      <c r="C352" s="73"/>
      <c r="D352" s="68"/>
      <c r="E352" s="74">
        <v>292012</v>
      </c>
      <c r="F352" s="3" t="s">
        <v>236</v>
      </c>
      <c r="G352" s="208">
        <v>500</v>
      </c>
      <c r="H352" s="19"/>
      <c r="I352" s="297">
        <f t="shared" si="141"/>
        <v>500</v>
      </c>
    </row>
    <row r="353" spans="2:9" ht="15.75" thickBot="1" x14ac:dyDescent="0.3">
      <c r="B353" s="120">
        <f t="shared" si="124"/>
        <v>345</v>
      </c>
      <c r="C353" s="75">
        <v>11</v>
      </c>
      <c r="D353" s="157"/>
      <c r="E353" s="76"/>
      <c r="F353" s="9" t="s">
        <v>11</v>
      </c>
      <c r="G353" s="299">
        <f>G362+G357+G354</f>
        <v>186611</v>
      </c>
      <c r="H353" s="319">
        <f>H365+H357</f>
        <v>15987</v>
      </c>
      <c r="I353" s="307">
        <f t="shared" si="141"/>
        <v>202598</v>
      </c>
    </row>
    <row r="354" spans="2:9" x14ac:dyDescent="0.2">
      <c r="B354" s="120">
        <f t="shared" si="124"/>
        <v>346</v>
      </c>
      <c r="C354" s="69">
        <v>210</v>
      </c>
      <c r="D354" s="156"/>
      <c r="E354" s="70"/>
      <c r="F354" s="5" t="s">
        <v>250</v>
      </c>
      <c r="G354" s="206">
        <f>G355</f>
        <v>39196</v>
      </c>
      <c r="H354" s="294">
        <f t="shared" ref="H354:H355" si="148">H355</f>
        <v>0</v>
      </c>
      <c r="I354" s="308">
        <f t="shared" si="141"/>
        <v>39196</v>
      </c>
    </row>
    <row r="355" spans="2:9" x14ac:dyDescent="0.2">
      <c r="B355" s="120">
        <f t="shared" si="124"/>
        <v>347</v>
      </c>
      <c r="C355" s="71"/>
      <c r="D355" s="67">
        <v>212</v>
      </c>
      <c r="E355" s="72"/>
      <c r="F355" s="2" t="s">
        <v>251</v>
      </c>
      <c r="G355" s="207">
        <f>G356</f>
        <v>39196</v>
      </c>
      <c r="H355" s="18">
        <f t="shared" si="148"/>
        <v>0</v>
      </c>
      <c r="I355" s="309">
        <f t="shared" si="141"/>
        <v>39196</v>
      </c>
    </row>
    <row r="356" spans="2:9" x14ac:dyDescent="0.2">
      <c r="B356" s="120">
        <f t="shared" si="124"/>
        <v>348</v>
      </c>
      <c r="C356" s="73"/>
      <c r="D356" s="68"/>
      <c r="E356" s="74">
        <v>212003</v>
      </c>
      <c r="F356" s="3" t="s">
        <v>252</v>
      </c>
      <c r="G356" s="208">
        <v>39196</v>
      </c>
      <c r="H356" s="19"/>
      <c r="I356" s="297">
        <f t="shared" si="141"/>
        <v>39196</v>
      </c>
    </row>
    <row r="357" spans="2:9" x14ac:dyDescent="0.2">
      <c r="B357" s="120">
        <f t="shared" si="124"/>
        <v>349</v>
      </c>
      <c r="C357" s="69">
        <v>220</v>
      </c>
      <c r="D357" s="66"/>
      <c r="E357" s="70"/>
      <c r="F357" s="5" t="s">
        <v>225</v>
      </c>
      <c r="G357" s="206">
        <f>G358</f>
        <v>147411</v>
      </c>
      <c r="H357" s="294">
        <f t="shared" ref="H357" si="149">H358</f>
        <v>13940</v>
      </c>
      <c r="I357" s="308">
        <f t="shared" si="141"/>
        <v>161351</v>
      </c>
    </row>
    <row r="358" spans="2:9" x14ac:dyDescent="0.2">
      <c r="B358" s="120">
        <f t="shared" si="124"/>
        <v>350</v>
      </c>
      <c r="C358" s="71"/>
      <c r="D358" s="67">
        <v>223</v>
      </c>
      <c r="E358" s="72"/>
      <c r="F358" s="2" t="s">
        <v>254</v>
      </c>
      <c r="G358" s="207">
        <f>G361+G360+G359</f>
        <v>147411</v>
      </c>
      <c r="H358" s="18">
        <f t="shared" ref="H358" si="150">H361+H360+H359</f>
        <v>13940</v>
      </c>
      <c r="I358" s="309">
        <f t="shared" si="141"/>
        <v>161351</v>
      </c>
    </row>
    <row r="359" spans="2:9" x14ac:dyDescent="0.2">
      <c r="B359" s="120">
        <f t="shared" si="124"/>
        <v>351</v>
      </c>
      <c r="C359" s="73"/>
      <c r="D359" s="68"/>
      <c r="E359" s="74">
        <v>223001</v>
      </c>
      <c r="F359" s="3" t="s">
        <v>255</v>
      </c>
      <c r="G359" s="208">
        <v>18500</v>
      </c>
      <c r="H359" s="19"/>
      <c r="I359" s="297">
        <f t="shared" si="141"/>
        <v>18500</v>
      </c>
    </row>
    <row r="360" spans="2:9" x14ac:dyDescent="0.2">
      <c r="B360" s="120">
        <f t="shared" si="124"/>
        <v>352</v>
      </c>
      <c r="C360" s="73"/>
      <c r="D360" s="68"/>
      <c r="E360" s="74">
        <v>223002</v>
      </c>
      <c r="F360" s="3" t="s">
        <v>76</v>
      </c>
      <c r="G360" s="208">
        <f>13000+1911</f>
        <v>14911</v>
      </c>
      <c r="H360" s="19"/>
      <c r="I360" s="297">
        <f t="shared" si="141"/>
        <v>14911</v>
      </c>
    </row>
    <row r="361" spans="2:9" x14ac:dyDescent="0.2">
      <c r="B361" s="120">
        <f t="shared" si="124"/>
        <v>353</v>
      </c>
      <c r="C361" s="73"/>
      <c r="D361" s="68"/>
      <c r="E361" s="74">
        <v>223003</v>
      </c>
      <c r="F361" s="51" t="s">
        <v>77</v>
      </c>
      <c r="G361" s="208">
        <v>114000</v>
      </c>
      <c r="H361" s="19">
        <v>13940</v>
      </c>
      <c r="I361" s="297">
        <f t="shared" si="141"/>
        <v>127940</v>
      </c>
    </row>
    <row r="362" spans="2:9" x14ac:dyDescent="0.2">
      <c r="B362" s="120">
        <f t="shared" si="124"/>
        <v>354</v>
      </c>
      <c r="C362" s="69">
        <v>240</v>
      </c>
      <c r="D362" s="66"/>
      <c r="E362" s="70"/>
      <c r="F362" s="5" t="s">
        <v>178</v>
      </c>
      <c r="G362" s="206">
        <f>G363</f>
        <v>4</v>
      </c>
      <c r="H362" s="294">
        <f t="shared" ref="H362:H363" si="151">H363</f>
        <v>0</v>
      </c>
      <c r="I362" s="308">
        <f t="shared" si="141"/>
        <v>4</v>
      </c>
    </row>
    <row r="363" spans="2:9" x14ac:dyDescent="0.2">
      <c r="B363" s="120">
        <f t="shared" si="124"/>
        <v>355</v>
      </c>
      <c r="C363" s="71"/>
      <c r="D363" s="67">
        <v>242</v>
      </c>
      <c r="E363" s="72"/>
      <c r="F363" s="2" t="s">
        <v>177</v>
      </c>
      <c r="G363" s="207">
        <f>G364</f>
        <v>4</v>
      </c>
      <c r="H363" s="18">
        <f t="shared" si="151"/>
        <v>0</v>
      </c>
      <c r="I363" s="309">
        <f t="shared" si="141"/>
        <v>4</v>
      </c>
    </row>
    <row r="364" spans="2:9" x14ac:dyDescent="0.2">
      <c r="B364" s="120">
        <f t="shared" si="124"/>
        <v>356</v>
      </c>
      <c r="C364" s="73"/>
      <c r="D364" s="68"/>
      <c r="E364" s="74">
        <v>242</v>
      </c>
      <c r="F364" s="3" t="s">
        <v>177</v>
      </c>
      <c r="G364" s="208">
        <v>4</v>
      </c>
      <c r="H364" s="19"/>
      <c r="I364" s="297">
        <f t="shared" si="141"/>
        <v>4</v>
      </c>
    </row>
    <row r="365" spans="2:9" x14ac:dyDescent="0.2">
      <c r="B365" s="120">
        <f t="shared" ref="B365:B381" si="152">B364+1</f>
        <v>357</v>
      </c>
      <c r="C365" s="69">
        <v>290</v>
      </c>
      <c r="D365" s="66"/>
      <c r="E365" s="70"/>
      <c r="F365" s="5" t="s">
        <v>180</v>
      </c>
      <c r="G365" s="206">
        <f>G366</f>
        <v>0</v>
      </c>
      <c r="H365" s="294">
        <f t="shared" ref="H365" si="153">H366</f>
        <v>2047</v>
      </c>
      <c r="I365" s="308">
        <f t="shared" si="141"/>
        <v>2047</v>
      </c>
    </row>
    <row r="366" spans="2:9" x14ac:dyDescent="0.2">
      <c r="B366" s="120">
        <f t="shared" si="152"/>
        <v>358</v>
      </c>
      <c r="C366" s="71"/>
      <c r="D366" s="67">
        <v>292</v>
      </c>
      <c r="E366" s="72"/>
      <c r="F366" s="2" t="s">
        <v>181</v>
      </c>
      <c r="G366" s="207">
        <f>SUM(G367:G367)</f>
        <v>0</v>
      </c>
      <c r="H366" s="18">
        <f>H367</f>
        <v>2047</v>
      </c>
      <c r="I366" s="309">
        <f t="shared" si="141"/>
        <v>2047</v>
      </c>
    </row>
    <row r="367" spans="2:9" ht="13.5" thickBot="1" x14ac:dyDescent="0.25">
      <c r="B367" s="120">
        <f t="shared" si="152"/>
        <v>359</v>
      </c>
      <c r="C367" s="287"/>
      <c r="D367" s="288"/>
      <c r="E367" s="287">
        <v>292017</v>
      </c>
      <c r="F367" s="14" t="s">
        <v>237</v>
      </c>
      <c r="G367" s="292">
        <v>0</v>
      </c>
      <c r="H367" s="321">
        <v>2047</v>
      </c>
      <c r="I367" s="291">
        <f>H367</f>
        <v>2047</v>
      </c>
    </row>
    <row r="368" spans="2:9" ht="15.75" thickBot="1" x14ac:dyDescent="0.3">
      <c r="B368" s="120">
        <f t="shared" si="152"/>
        <v>360</v>
      </c>
      <c r="C368" s="75">
        <v>12</v>
      </c>
      <c r="D368" s="157"/>
      <c r="E368" s="76"/>
      <c r="F368" s="9" t="s">
        <v>9</v>
      </c>
      <c r="G368" s="299">
        <f>G376+G372+G369</f>
        <v>166500</v>
      </c>
      <c r="H368" s="319">
        <f t="shared" ref="H368" si="154">H376+H372+H369</f>
        <v>0</v>
      </c>
      <c r="I368" s="307">
        <f t="shared" si="141"/>
        <v>166500</v>
      </c>
    </row>
    <row r="369" spans="2:9" x14ac:dyDescent="0.2">
      <c r="B369" s="120">
        <f t="shared" si="152"/>
        <v>361</v>
      </c>
      <c r="C369" s="69">
        <v>210</v>
      </c>
      <c r="D369" s="156"/>
      <c r="E369" s="70"/>
      <c r="F369" s="5" t="s">
        <v>250</v>
      </c>
      <c r="G369" s="206">
        <f>G370</f>
        <v>3000</v>
      </c>
      <c r="H369" s="294">
        <f t="shared" ref="H369:H370" si="155">H370</f>
        <v>0</v>
      </c>
      <c r="I369" s="308">
        <f t="shared" si="141"/>
        <v>3000</v>
      </c>
    </row>
    <row r="370" spans="2:9" x14ac:dyDescent="0.2">
      <c r="B370" s="120">
        <f t="shared" si="152"/>
        <v>362</v>
      </c>
      <c r="C370" s="71"/>
      <c r="D370" s="67">
        <v>212</v>
      </c>
      <c r="E370" s="72"/>
      <c r="F370" s="2" t="s">
        <v>251</v>
      </c>
      <c r="G370" s="207">
        <f>G371</f>
        <v>3000</v>
      </c>
      <c r="H370" s="18">
        <f t="shared" si="155"/>
        <v>0</v>
      </c>
      <c r="I370" s="309">
        <f t="shared" si="141"/>
        <v>3000</v>
      </c>
    </row>
    <row r="371" spans="2:9" x14ac:dyDescent="0.2">
      <c r="B371" s="120">
        <f t="shared" si="152"/>
        <v>363</v>
      </c>
      <c r="C371" s="73"/>
      <c r="D371" s="68"/>
      <c r="E371" s="74">
        <v>212003</v>
      </c>
      <c r="F371" s="3" t="s">
        <v>252</v>
      </c>
      <c r="G371" s="208">
        <v>3000</v>
      </c>
      <c r="H371" s="19"/>
      <c r="I371" s="297">
        <f t="shared" si="141"/>
        <v>3000</v>
      </c>
    </row>
    <row r="372" spans="2:9" x14ac:dyDescent="0.2">
      <c r="B372" s="120">
        <f t="shared" si="152"/>
        <v>364</v>
      </c>
      <c r="C372" s="69">
        <v>220</v>
      </c>
      <c r="D372" s="66"/>
      <c r="E372" s="70"/>
      <c r="F372" s="5" t="s">
        <v>225</v>
      </c>
      <c r="G372" s="206">
        <f>G373</f>
        <v>163000</v>
      </c>
      <c r="H372" s="294">
        <f t="shared" ref="H372" si="156">H373</f>
        <v>0</v>
      </c>
      <c r="I372" s="308">
        <f t="shared" si="141"/>
        <v>163000</v>
      </c>
    </row>
    <row r="373" spans="2:9" x14ac:dyDescent="0.2">
      <c r="B373" s="120">
        <f t="shared" si="152"/>
        <v>365</v>
      </c>
      <c r="C373" s="71"/>
      <c r="D373" s="67">
        <v>223</v>
      </c>
      <c r="E373" s="72"/>
      <c r="F373" s="2" t="s">
        <v>254</v>
      </c>
      <c r="G373" s="207">
        <f>G374+G375</f>
        <v>163000</v>
      </c>
      <c r="H373" s="18">
        <f t="shared" ref="H373" si="157">H374+H375</f>
        <v>0</v>
      </c>
      <c r="I373" s="309">
        <f t="shared" si="141"/>
        <v>163000</v>
      </c>
    </row>
    <row r="374" spans="2:9" x14ac:dyDescent="0.2">
      <c r="B374" s="120">
        <f t="shared" si="152"/>
        <v>366</v>
      </c>
      <c r="C374" s="73"/>
      <c r="D374" s="68"/>
      <c r="E374" s="74">
        <v>223002</v>
      </c>
      <c r="F374" s="3" t="s">
        <v>76</v>
      </c>
      <c r="G374" s="208">
        <v>14000</v>
      </c>
      <c r="H374" s="19"/>
      <c r="I374" s="297">
        <f t="shared" si="141"/>
        <v>14000</v>
      </c>
    </row>
    <row r="375" spans="2:9" x14ac:dyDescent="0.2">
      <c r="B375" s="120">
        <f t="shared" si="152"/>
        <v>367</v>
      </c>
      <c r="C375" s="73"/>
      <c r="D375" s="68"/>
      <c r="E375" s="74">
        <v>223003</v>
      </c>
      <c r="F375" s="11" t="s">
        <v>77</v>
      </c>
      <c r="G375" s="208">
        <v>149000</v>
      </c>
      <c r="H375" s="19"/>
      <c r="I375" s="297">
        <f t="shared" si="141"/>
        <v>149000</v>
      </c>
    </row>
    <row r="376" spans="2:9" x14ac:dyDescent="0.2">
      <c r="B376" s="120">
        <f t="shared" si="152"/>
        <v>368</v>
      </c>
      <c r="C376" s="69">
        <v>290</v>
      </c>
      <c r="D376" s="66"/>
      <c r="E376" s="70"/>
      <c r="F376" s="5" t="s">
        <v>180</v>
      </c>
      <c r="G376" s="206">
        <f>G377</f>
        <v>500</v>
      </c>
      <c r="H376" s="294">
        <f t="shared" ref="H376:H377" si="158">H377</f>
        <v>0</v>
      </c>
      <c r="I376" s="308">
        <f t="shared" si="141"/>
        <v>500</v>
      </c>
    </row>
    <row r="377" spans="2:9" x14ac:dyDescent="0.2">
      <c r="B377" s="120">
        <f t="shared" si="152"/>
        <v>369</v>
      </c>
      <c r="C377" s="71"/>
      <c r="D377" s="67">
        <v>292</v>
      </c>
      <c r="E377" s="72"/>
      <c r="F377" s="2" t="s">
        <v>181</v>
      </c>
      <c r="G377" s="207">
        <f>G378</f>
        <v>500</v>
      </c>
      <c r="H377" s="18">
        <f t="shared" si="158"/>
        <v>0</v>
      </c>
      <c r="I377" s="309">
        <f t="shared" si="141"/>
        <v>500</v>
      </c>
    </row>
    <row r="378" spans="2:9" ht="13.5" thickBot="1" x14ac:dyDescent="0.25">
      <c r="B378" s="120">
        <f t="shared" si="152"/>
        <v>370</v>
      </c>
      <c r="C378" s="73"/>
      <c r="D378" s="68"/>
      <c r="E378" s="74">
        <v>292012</v>
      </c>
      <c r="F378" s="3" t="s">
        <v>236</v>
      </c>
      <c r="G378" s="208">
        <v>500</v>
      </c>
      <c r="H378" s="19"/>
      <c r="I378" s="297">
        <f t="shared" si="141"/>
        <v>500</v>
      </c>
    </row>
    <row r="379" spans="2:9" ht="15.75" thickBot="1" x14ac:dyDescent="0.3">
      <c r="B379" s="120">
        <f t="shared" si="152"/>
        <v>371</v>
      </c>
      <c r="C379" s="75">
        <v>13</v>
      </c>
      <c r="D379" s="157"/>
      <c r="E379" s="76"/>
      <c r="F379" s="9" t="s">
        <v>19</v>
      </c>
      <c r="G379" s="299">
        <f>G388+G383+G380</f>
        <v>79500</v>
      </c>
      <c r="H379" s="319">
        <f t="shared" ref="H379" si="159">H388+H383+H380</f>
        <v>800</v>
      </c>
      <c r="I379" s="307">
        <f t="shared" si="141"/>
        <v>80300</v>
      </c>
    </row>
    <row r="380" spans="2:9" x14ac:dyDescent="0.2">
      <c r="B380" s="120">
        <f t="shared" si="152"/>
        <v>372</v>
      </c>
      <c r="C380" s="69">
        <v>210</v>
      </c>
      <c r="D380" s="156"/>
      <c r="E380" s="70"/>
      <c r="F380" s="5" t="s">
        <v>250</v>
      </c>
      <c r="G380" s="206">
        <f>G381</f>
        <v>6097</v>
      </c>
      <c r="H380" s="294">
        <f t="shared" ref="H380:H381" si="160">H381</f>
        <v>0</v>
      </c>
      <c r="I380" s="308">
        <f t="shared" si="141"/>
        <v>6097</v>
      </c>
    </row>
    <row r="381" spans="2:9" x14ac:dyDescent="0.2">
      <c r="B381" s="120">
        <f t="shared" si="152"/>
        <v>373</v>
      </c>
      <c r="C381" s="71"/>
      <c r="D381" s="67">
        <v>212</v>
      </c>
      <c r="E381" s="72"/>
      <c r="F381" s="2" t="s">
        <v>251</v>
      </c>
      <c r="G381" s="207">
        <f>G382</f>
        <v>6097</v>
      </c>
      <c r="H381" s="18">
        <f t="shared" si="160"/>
        <v>0</v>
      </c>
      <c r="I381" s="309">
        <f t="shared" si="141"/>
        <v>6097</v>
      </c>
    </row>
    <row r="382" spans="2:9" x14ac:dyDescent="0.2">
      <c r="B382" s="120">
        <f t="shared" ref="B382:B447" si="161">B381+1</f>
        <v>374</v>
      </c>
      <c r="C382" s="73"/>
      <c r="D382" s="68"/>
      <c r="E382" s="74">
        <v>212003</v>
      </c>
      <c r="F382" s="3" t="s">
        <v>252</v>
      </c>
      <c r="G382" s="208">
        <v>6097</v>
      </c>
      <c r="H382" s="19"/>
      <c r="I382" s="297">
        <f t="shared" si="141"/>
        <v>6097</v>
      </c>
    </row>
    <row r="383" spans="2:9" x14ac:dyDescent="0.2">
      <c r="B383" s="120">
        <f t="shared" si="161"/>
        <v>375</v>
      </c>
      <c r="C383" s="69">
        <v>220</v>
      </c>
      <c r="D383" s="66"/>
      <c r="E383" s="70"/>
      <c r="F383" s="5" t="s">
        <v>225</v>
      </c>
      <c r="G383" s="206">
        <f>G384</f>
        <v>73400</v>
      </c>
      <c r="H383" s="294">
        <f t="shared" ref="H383" si="162">H384</f>
        <v>800</v>
      </c>
      <c r="I383" s="308">
        <f t="shared" si="141"/>
        <v>74200</v>
      </c>
    </row>
    <row r="384" spans="2:9" x14ac:dyDescent="0.2">
      <c r="B384" s="120">
        <f t="shared" si="161"/>
        <v>376</v>
      </c>
      <c r="C384" s="71"/>
      <c r="D384" s="67">
        <v>223</v>
      </c>
      <c r="E384" s="72"/>
      <c r="F384" s="2" t="s">
        <v>254</v>
      </c>
      <c r="G384" s="207">
        <f>G387+G386+G385</f>
        <v>73400</v>
      </c>
      <c r="H384" s="18">
        <f t="shared" ref="H384" si="163">H387+H386+H385</f>
        <v>800</v>
      </c>
      <c r="I384" s="309">
        <f t="shared" si="141"/>
        <v>74200</v>
      </c>
    </row>
    <row r="385" spans="2:9" x14ac:dyDescent="0.2">
      <c r="B385" s="120">
        <f t="shared" si="161"/>
        <v>377</v>
      </c>
      <c r="C385" s="73"/>
      <c r="D385" s="68"/>
      <c r="E385" s="74">
        <v>223001</v>
      </c>
      <c r="F385" s="3" t="s">
        <v>255</v>
      </c>
      <c r="G385" s="208">
        <v>9000</v>
      </c>
      <c r="H385" s="19"/>
      <c r="I385" s="297">
        <f t="shared" si="141"/>
        <v>9000</v>
      </c>
    </row>
    <row r="386" spans="2:9" x14ac:dyDescent="0.2">
      <c r="B386" s="120">
        <f t="shared" si="161"/>
        <v>378</v>
      </c>
      <c r="C386" s="73"/>
      <c r="D386" s="68"/>
      <c r="E386" s="74">
        <v>223002</v>
      </c>
      <c r="F386" s="3" t="s">
        <v>76</v>
      </c>
      <c r="G386" s="208">
        <v>4400</v>
      </c>
      <c r="H386" s="19">
        <v>800</v>
      </c>
      <c r="I386" s="297">
        <f t="shared" si="141"/>
        <v>5200</v>
      </c>
    </row>
    <row r="387" spans="2:9" x14ac:dyDescent="0.2">
      <c r="B387" s="120">
        <f t="shared" si="161"/>
        <v>379</v>
      </c>
      <c r="C387" s="73"/>
      <c r="D387" s="68"/>
      <c r="E387" s="74">
        <v>223003</v>
      </c>
      <c r="F387" s="51" t="s">
        <v>77</v>
      </c>
      <c r="G387" s="208">
        <v>60000</v>
      </c>
      <c r="H387" s="19"/>
      <c r="I387" s="297">
        <f t="shared" si="141"/>
        <v>60000</v>
      </c>
    </row>
    <row r="388" spans="2:9" x14ac:dyDescent="0.2">
      <c r="B388" s="120">
        <f t="shared" si="161"/>
        <v>380</v>
      </c>
      <c r="C388" s="69">
        <v>240</v>
      </c>
      <c r="D388" s="66"/>
      <c r="E388" s="70"/>
      <c r="F388" s="5" t="s">
        <v>178</v>
      </c>
      <c r="G388" s="206">
        <f>G389</f>
        <v>3</v>
      </c>
      <c r="H388" s="294">
        <f t="shared" ref="H388:H389" si="164">H389</f>
        <v>0</v>
      </c>
      <c r="I388" s="308">
        <f t="shared" si="141"/>
        <v>3</v>
      </c>
    </row>
    <row r="389" spans="2:9" x14ac:dyDescent="0.2">
      <c r="B389" s="120">
        <f t="shared" si="161"/>
        <v>381</v>
      </c>
      <c r="C389" s="71"/>
      <c r="D389" s="67">
        <v>242</v>
      </c>
      <c r="E389" s="72"/>
      <c r="F389" s="2" t="s">
        <v>177</v>
      </c>
      <c r="G389" s="207">
        <f>G390</f>
        <v>3</v>
      </c>
      <c r="H389" s="18">
        <f t="shared" si="164"/>
        <v>0</v>
      </c>
      <c r="I389" s="309">
        <f t="shared" si="141"/>
        <v>3</v>
      </c>
    </row>
    <row r="390" spans="2:9" ht="13.5" thickBot="1" x14ac:dyDescent="0.25">
      <c r="B390" s="120">
        <f t="shared" si="161"/>
        <v>382</v>
      </c>
      <c r="C390" s="73"/>
      <c r="D390" s="68"/>
      <c r="E390" s="74">
        <v>242</v>
      </c>
      <c r="F390" s="3" t="s">
        <v>177</v>
      </c>
      <c r="G390" s="208">
        <v>3</v>
      </c>
      <c r="H390" s="19"/>
      <c r="I390" s="297">
        <f t="shared" si="141"/>
        <v>3</v>
      </c>
    </row>
    <row r="391" spans="2:9" ht="15.75" thickBot="1" x14ac:dyDescent="0.3">
      <c r="B391" s="120">
        <f t="shared" si="161"/>
        <v>383</v>
      </c>
      <c r="C391" s="75">
        <v>14</v>
      </c>
      <c r="D391" s="157"/>
      <c r="E391" s="76"/>
      <c r="F391" s="9" t="s">
        <v>3</v>
      </c>
      <c r="G391" s="299">
        <f>G398+G395+G392</f>
        <v>86800</v>
      </c>
      <c r="H391" s="319">
        <f>H401</f>
        <v>3973</v>
      </c>
      <c r="I391" s="307">
        <f t="shared" si="141"/>
        <v>90773</v>
      </c>
    </row>
    <row r="392" spans="2:9" x14ac:dyDescent="0.2">
      <c r="B392" s="120">
        <f t="shared" si="161"/>
        <v>384</v>
      </c>
      <c r="C392" s="69">
        <v>210</v>
      </c>
      <c r="D392" s="156"/>
      <c r="E392" s="70"/>
      <c r="F392" s="5" t="s">
        <v>250</v>
      </c>
      <c r="G392" s="206">
        <f>G393</f>
        <v>135</v>
      </c>
      <c r="H392" s="294">
        <f t="shared" ref="H392:H393" si="165">H393</f>
        <v>0</v>
      </c>
      <c r="I392" s="308">
        <f t="shared" si="141"/>
        <v>135</v>
      </c>
    </row>
    <row r="393" spans="2:9" x14ac:dyDescent="0.2">
      <c r="B393" s="120">
        <f t="shared" si="161"/>
        <v>385</v>
      </c>
      <c r="C393" s="71"/>
      <c r="D393" s="67">
        <v>212</v>
      </c>
      <c r="E393" s="72"/>
      <c r="F393" s="2" t="s">
        <v>251</v>
      </c>
      <c r="G393" s="207">
        <f>G394</f>
        <v>135</v>
      </c>
      <c r="H393" s="18">
        <f t="shared" si="165"/>
        <v>0</v>
      </c>
      <c r="I393" s="309">
        <f t="shared" si="141"/>
        <v>135</v>
      </c>
    </row>
    <row r="394" spans="2:9" x14ac:dyDescent="0.2">
      <c r="B394" s="120">
        <f t="shared" si="161"/>
        <v>386</v>
      </c>
      <c r="C394" s="73"/>
      <c r="D394" s="68"/>
      <c r="E394" s="74">
        <v>212003</v>
      </c>
      <c r="F394" s="3" t="s">
        <v>252</v>
      </c>
      <c r="G394" s="208">
        <v>135</v>
      </c>
      <c r="H394" s="19"/>
      <c r="I394" s="297">
        <f t="shared" si="141"/>
        <v>135</v>
      </c>
    </row>
    <row r="395" spans="2:9" x14ac:dyDescent="0.2">
      <c r="B395" s="120">
        <f t="shared" si="161"/>
        <v>387</v>
      </c>
      <c r="C395" s="69">
        <v>220</v>
      </c>
      <c r="D395" s="66"/>
      <c r="E395" s="70"/>
      <c r="F395" s="5" t="s">
        <v>225</v>
      </c>
      <c r="G395" s="206">
        <f>G396</f>
        <v>86660</v>
      </c>
      <c r="H395" s="294">
        <f t="shared" ref="H395:H396" si="166">H396</f>
        <v>0</v>
      </c>
      <c r="I395" s="308">
        <f t="shared" si="141"/>
        <v>86660</v>
      </c>
    </row>
    <row r="396" spans="2:9" x14ac:dyDescent="0.2">
      <c r="B396" s="120">
        <f t="shared" si="161"/>
        <v>388</v>
      </c>
      <c r="C396" s="71"/>
      <c r="D396" s="67">
        <v>223</v>
      </c>
      <c r="E396" s="72"/>
      <c r="F396" s="2" t="s">
        <v>254</v>
      </c>
      <c r="G396" s="207">
        <f>G397</f>
        <v>86660</v>
      </c>
      <c r="H396" s="18">
        <f t="shared" si="166"/>
        <v>0</v>
      </c>
      <c r="I396" s="309">
        <f t="shared" si="141"/>
        <v>86660</v>
      </c>
    </row>
    <row r="397" spans="2:9" x14ac:dyDescent="0.2">
      <c r="B397" s="120">
        <f t="shared" si="161"/>
        <v>389</v>
      </c>
      <c r="C397" s="73"/>
      <c r="D397" s="68"/>
      <c r="E397" s="74">
        <v>223002</v>
      </c>
      <c r="F397" s="3" t="s">
        <v>76</v>
      </c>
      <c r="G397" s="208">
        <v>86660</v>
      </c>
      <c r="H397" s="19"/>
      <c r="I397" s="297">
        <f t="shared" si="141"/>
        <v>86660</v>
      </c>
    </row>
    <row r="398" spans="2:9" x14ac:dyDescent="0.2">
      <c r="B398" s="120">
        <f t="shared" si="161"/>
        <v>390</v>
      </c>
      <c r="C398" s="69">
        <v>240</v>
      </c>
      <c r="D398" s="66"/>
      <c r="E398" s="70"/>
      <c r="F398" s="5" t="s">
        <v>178</v>
      </c>
      <c r="G398" s="206">
        <f>G399</f>
        <v>5</v>
      </c>
      <c r="H398" s="294">
        <f t="shared" ref="H398:H399" si="167">H399</f>
        <v>0</v>
      </c>
      <c r="I398" s="308">
        <f t="shared" si="141"/>
        <v>5</v>
      </c>
    </row>
    <row r="399" spans="2:9" x14ac:dyDescent="0.2">
      <c r="B399" s="120">
        <f t="shared" si="161"/>
        <v>391</v>
      </c>
      <c r="C399" s="71"/>
      <c r="D399" s="67">
        <v>242</v>
      </c>
      <c r="E399" s="72"/>
      <c r="F399" s="2" t="s">
        <v>177</v>
      </c>
      <c r="G399" s="207">
        <f>G400</f>
        <v>5</v>
      </c>
      <c r="H399" s="18">
        <f t="shared" si="167"/>
        <v>0</v>
      </c>
      <c r="I399" s="309">
        <f t="shared" si="141"/>
        <v>5</v>
      </c>
    </row>
    <row r="400" spans="2:9" x14ac:dyDescent="0.2">
      <c r="B400" s="120">
        <f t="shared" si="161"/>
        <v>392</v>
      </c>
      <c r="C400" s="73"/>
      <c r="D400" s="68"/>
      <c r="E400" s="74">
        <v>242</v>
      </c>
      <c r="F400" s="3" t="s">
        <v>177</v>
      </c>
      <c r="G400" s="208">
        <v>5</v>
      </c>
      <c r="H400" s="19"/>
      <c r="I400" s="297">
        <f t="shared" si="141"/>
        <v>5</v>
      </c>
    </row>
    <row r="401" spans="2:10" x14ac:dyDescent="0.2">
      <c r="B401" s="120">
        <f t="shared" si="161"/>
        <v>393</v>
      </c>
      <c r="C401" s="69">
        <v>290</v>
      </c>
      <c r="D401" s="66"/>
      <c r="E401" s="70"/>
      <c r="F401" s="5" t="s">
        <v>180</v>
      </c>
      <c r="G401" s="206">
        <f>G402</f>
        <v>0</v>
      </c>
      <c r="H401" s="294">
        <f t="shared" ref="H401" si="168">H402</f>
        <v>3973</v>
      </c>
      <c r="I401" s="308">
        <f t="shared" ref="I401:I402" si="169">G401+H401</f>
        <v>3973</v>
      </c>
    </row>
    <row r="402" spans="2:10" x14ac:dyDescent="0.2">
      <c r="B402" s="120">
        <f t="shared" si="161"/>
        <v>394</v>
      </c>
      <c r="C402" s="71"/>
      <c r="D402" s="67">
        <v>292</v>
      </c>
      <c r="E402" s="72"/>
      <c r="F402" s="2" t="s">
        <v>181</v>
      </c>
      <c r="G402" s="207">
        <f>SUM(G403:G403)</f>
        <v>0</v>
      </c>
      <c r="H402" s="18">
        <f>H403</f>
        <v>3973</v>
      </c>
      <c r="I402" s="309">
        <f t="shared" si="169"/>
        <v>3973</v>
      </c>
    </row>
    <row r="403" spans="2:10" ht="13.5" thickBot="1" x14ac:dyDescent="0.25">
      <c r="B403" s="120">
        <f t="shared" si="161"/>
        <v>395</v>
      </c>
      <c r="C403" s="287"/>
      <c r="D403" s="288"/>
      <c r="E403" s="287">
        <v>292017</v>
      </c>
      <c r="F403" s="14" t="s">
        <v>237</v>
      </c>
      <c r="G403" s="292">
        <v>0</v>
      </c>
      <c r="H403" s="321">
        <v>3973</v>
      </c>
      <c r="I403" s="291">
        <f>H403</f>
        <v>3973</v>
      </c>
    </row>
    <row r="404" spans="2:10" ht="16.5" thickBot="1" x14ac:dyDescent="0.3">
      <c r="B404" s="120">
        <f t="shared" si="161"/>
        <v>396</v>
      </c>
      <c r="C404" s="77">
        <v>300</v>
      </c>
      <c r="D404" s="159"/>
      <c r="E404" s="64"/>
      <c r="F404" s="8" t="s">
        <v>228</v>
      </c>
      <c r="G404" s="302">
        <f>G439+G405+G435+G444+G447+G450+G454+G458+G461</f>
        <v>8894337</v>
      </c>
      <c r="H404" s="322">
        <f t="shared" ref="H404" si="170">H439+H405+H435+H444+H447+H450+H454+H458+H461</f>
        <v>103517</v>
      </c>
      <c r="I404" s="122">
        <f t="shared" si="141"/>
        <v>8997854</v>
      </c>
    </row>
    <row r="405" spans="2:10" ht="15.75" thickBot="1" x14ac:dyDescent="0.3">
      <c r="B405" s="120">
        <f t="shared" si="161"/>
        <v>397</v>
      </c>
      <c r="C405" s="75"/>
      <c r="D405" s="157"/>
      <c r="E405" s="76"/>
      <c r="F405" s="9" t="s">
        <v>43</v>
      </c>
      <c r="G405" s="299">
        <f>G406</f>
        <v>8594371</v>
      </c>
      <c r="H405" s="319">
        <f t="shared" ref="H405" si="171">H406</f>
        <v>63048</v>
      </c>
      <c r="I405" s="307">
        <f t="shared" si="141"/>
        <v>8657419</v>
      </c>
    </row>
    <row r="406" spans="2:10" x14ac:dyDescent="0.2">
      <c r="B406" s="120">
        <f t="shared" si="161"/>
        <v>398</v>
      </c>
      <c r="C406" s="69">
        <v>310</v>
      </c>
      <c r="D406" s="156"/>
      <c r="E406" s="70"/>
      <c r="F406" s="5" t="s">
        <v>229</v>
      </c>
      <c r="G406" s="206">
        <f>G409+G407+G408</f>
        <v>8594371</v>
      </c>
      <c r="H406" s="294">
        <f t="shared" ref="H406" si="172">H409+H407+H408</f>
        <v>63048</v>
      </c>
      <c r="I406" s="308">
        <f t="shared" si="141"/>
        <v>8657419</v>
      </c>
    </row>
    <row r="407" spans="2:10" x14ac:dyDescent="0.2">
      <c r="B407" s="120">
        <f t="shared" si="161"/>
        <v>399</v>
      </c>
      <c r="C407" s="71"/>
      <c r="D407" s="67">
        <v>311</v>
      </c>
      <c r="E407" s="72"/>
      <c r="F407" s="2" t="s">
        <v>622</v>
      </c>
      <c r="G407" s="207">
        <v>4400</v>
      </c>
      <c r="H407" s="18"/>
      <c r="I407" s="309">
        <f t="shared" ref="I407:I464" si="173">G407+H407</f>
        <v>4400</v>
      </c>
    </row>
    <row r="408" spans="2:10" x14ac:dyDescent="0.2">
      <c r="B408" s="120">
        <f t="shared" si="161"/>
        <v>400</v>
      </c>
      <c r="C408" s="71"/>
      <c r="D408" s="67">
        <v>311</v>
      </c>
      <c r="E408" s="72"/>
      <c r="F408" s="2" t="s">
        <v>629</v>
      </c>
      <c r="G408" s="207">
        <v>500</v>
      </c>
      <c r="H408" s="18"/>
      <c r="I408" s="309">
        <f t="shared" si="173"/>
        <v>500</v>
      </c>
    </row>
    <row r="409" spans="2:10" x14ac:dyDescent="0.2">
      <c r="B409" s="120">
        <f t="shared" si="161"/>
        <v>401</v>
      </c>
      <c r="C409" s="71"/>
      <c r="D409" s="67">
        <v>312</v>
      </c>
      <c r="E409" s="72"/>
      <c r="F409" s="2" t="s">
        <v>194</v>
      </c>
      <c r="G409" s="207">
        <f>G410+G426</f>
        <v>8589471</v>
      </c>
      <c r="H409" s="18">
        <f t="shared" ref="H409" si="174">H410+H426</f>
        <v>63048</v>
      </c>
      <c r="I409" s="309">
        <f t="shared" si="173"/>
        <v>8652519</v>
      </c>
    </row>
    <row r="410" spans="2:10" x14ac:dyDescent="0.2">
      <c r="B410" s="120">
        <f t="shared" si="161"/>
        <v>402</v>
      </c>
      <c r="C410" s="73"/>
      <c r="D410" s="68"/>
      <c r="E410" s="74">
        <v>312001</v>
      </c>
      <c r="F410" s="3" t="s">
        <v>407</v>
      </c>
      <c r="G410" s="208">
        <f>SUM(G411:G424)</f>
        <v>926838</v>
      </c>
      <c r="H410" s="19">
        <f>SUM(H411:H425)</f>
        <v>5500</v>
      </c>
      <c r="I410" s="297">
        <f t="shared" si="173"/>
        <v>932338</v>
      </c>
    </row>
    <row r="411" spans="2:10" x14ac:dyDescent="0.2">
      <c r="B411" s="120">
        <f t="shared" si="161"/>
        <v>403</v>
      </c>
      <c r="C411" s="12"/>
      <c r="D411" s="4"/>
      <c r="E411" s="13"/>
      <c r="F411" s="4" t="s">
        <v>287</v>
      </c>
      <c r="G411" s="247">
        <f>833280-48700</f>
        <v>784580</v>
      </c>
      <c r="H411" s="21"/>
      <c r="I411" s="313">
        <f t="shared" si="173"/>
        <v>784580</v>
      </c>
    </row>
    <row r="412" spans="2:10" x14ac:dyDescent="0.2">
      <c r="B412" s="120">
        <f t="shared" si="161"/>
        <v>404</v>
      </c>
      <c r="C412" s="12"/>
      <c r="D412" s="4"/>
      <c r="E412" s="13"/>
      <c r="F412" s="4" t="s">
        <v>289</v>
      </c>
      <c r="G412" s="247">
        <f>7900+8526</f>
        <v>16426</v>
      </c>
      <c r="H412" s="21"/>
      <c r="I412" s="313">
        <f t="shared" si="173"/>
        <v>16426</v>
      </c>
    </row>
    <row r="413" spans="2:10" x14ac:dyDescent="0.2">
      <c r="B413" s="120">
        <f t="shared" si="161"/>
        <v>405</v>
      </c>
      <c r="C413" s="12"/>
      <c r="D413" s="4"/>
      <c r="E413" s="13"/>
      <c r="F413" s="4" t="s">
        <v>286</v>
      </c>
      <c r="G413" s="247">
        <v>14000</v>
      </c>
      <c r="H413" s="21"/>
      <c r="I413" s="313">
        <f t="shared" si="173"/>
        <v>14000</v>
      </c>
    </row>
    <row r="414" spans="2:10" x14ac:dyDescent="0.2">
      <c r="B414" s="120">
        <f t="shared" si="161"/>
        <v>406</v>
      </c>
      <c r="C414" s="12"/>
      <c r="D414" s="4"/>
      <c r="E414" s="13"/>
      <c r="F414" s="4" t="s">
        <v>383</v>
      </c>
      <c r="G414" s="247">
        <f>55000-30000+6000</f>
        <v>31000</v>
      </c>
      <c r="H414" s="21"/>
      <c r="I414" s="313">
        <f t="shared" si="173"/>
        <v>31000</v>
      </c>
    </row>
    <row r="415" spans="2:10" x14ac:dyDescent="0.2">
      <c r="B415" s="120">
        <f t="shared" si="161"/>
        <v>407</v>
      </c>
      <c r="C415" s="12"/>
      <c r="D415" s="4"/>
      <c r="E415" s="13"/>
      <c r="F415" s="4" t="s">
        <v>574</v>
      </c>
      <c r="G415" s="255">
        <v>9000</v>
      </c>
      <c r="H415" s="151"/>
      <c r="I415" s="314">
        <f t="shared" si="173"/>
        <v>9000</v>
      </c>
    </row>
    <row r="416" spans="2:10" x14ac:dyDescent="0.2">
      <c r="B416" s="120">
        <f t="shared" si="161"/>
        <v>408</v>
      </c>
      <c r="C416" s="12"/>
      <c r="D416" s="4"/>
      <c r="E416" s="13"/>
      <c r="F416" s="4" t="s">
        <v>636</v>
      </c>
      <c r="G416" s="255">
        <v>15000</v>
      </c>
      <c r="H416" s="151"/>
      <c r="I416" s="314">
        <f t="shared" si="173"/>
        <v>15000</v>
      </c>
      <c r="J416" s="17"/>
    </row>
    <row r="417" spans="2:9" x14ac:dyDescent="0.2">
      <c r="B417" s="229">
        <f t="shared" si="161"/>
        <v>409</v>
      </c>
      <c r="C417" s="12"/>
      <c r="D417" s="4"/>
      <c r="E417" s="13"/>
      <c r="F417" s="4" t="s">
        <v>637</v>
      </c>
      <c r="G417" s="255">
        <v>8565</v>
      </c>
      <c r="H417" s="151"/>
      <c r="I417" s="314">
        <f t="shared" si="173"/>
        <v>8565</v>
      </c>
    </row>
    <row r="418" spans="2:9" x14ac:dyDescent="0.2">
      <c r="B418" s="229">
        <f t="shared" si="161"/>
        <v>410</v>
      </c>
      <c r="C418" s="12"/>
      <c r="D418" s="4"/>
      <c r="E418" s="13"/>
      <c r="F418" s="4" t="s">
        <v>638</v>
      </c>
      <c r="G418" s="255">
        <v>5916</v>
      </c>
      <c r="H418" s="151"/>
      <c r="I418" s="314">
        <f t="shared" si="173"/>
        <v>5916</v>
      </c>
    </row>
    <row r="419" spans="2:9" ht="22.5" x14ac:dyDescent="0.2">
      <c r="B419" s="229">
        <f t="shared" si="161"/>
        <v>411</v>
      </c>
      <c r="C419" s="12"/>
      <c r="D419" s="4"/>
      <c r="E419" s="13"/>
      <c r="F419" s="177" t="s">
        <v>639</v>
      </c>
      <c r="G419" s="255">
        <v>3286</v>
      </c>
      <c r="H419" s="151"/>
      <c r="I419" s="314">
        <f t="shared" si="173"/>
        <v>3286</v>
      </c>
    </row>
    <row r="420" spans="2:9" ht="22.5" x14ac:dyDescent="0.2">
      <c r="B420" s="229">
        <f t="shared" si="161"/>
        <v>412</v>
      </c>
      <c r="C420" s="12"/>
      <c r="D420" s="4"/>
      <c r="E420" s="13"/>
      <c r="F420" s="177" t="s">
        <v>640</v>
      </c>
      <c r="G420" s="255">
        <v>4724</v>
      </c>
      <c r="H420" s="151"/>
      <c r="I420" s="314">
        <f t="shared" si="173"/>
        <v>4724</v>
      </c>
    </row>
    <row r="421" spans="2:9" ht="33.75" x14ac:dyDescent="0.2">
      <c r="B421" s="229">
        <f t="shared" si="161"/>
        <v>413</v>
      </c>
      <c r="C421" s="12"/>
      <c r="D421" s="4"/>
      <c r="E421" s="13"/>
      <c r="F421" s="177" t="s">
        <v>641</v>
      </c>
      <c r="G421" s="255">
        <v>7692</v>
      </c>
      <c r="H421" s="151"/>
      <c r="I421" s="314">
        <f t="shared" si="173"/>
        <v>7692</v>
      </c>
    </row>
    <row r="422" spans="2:9" x14ac:dyDescent="0.2">
      <c r="B422" s="229">
        <f t="shared" si="161"/>
        <v>414</v>
      </c>
      <c r="C422" s="12"/>
      <c r="D422" s="4"/>
      <c r="E422" s="13"/>
      <c r="F422" s="4" t="s">
        <v>642</v>
      </c>
      <c r="G422" s="255">
        <v>21069</v>
      </c>
      <c r="H422" s="151"/>
      <c r="I422" s="314">
        <f t="shared" si="173"/>
        <v>21069</v>
      </c>
    </row>
    <row r="423" spans="2:9" x14ac:dyDescent="0.2">
      <c r="B423" s="229">
        <f t="shared" si="161"/>
        <v>415</v>
      </c>
      <c r="C423" s="12"/>
      <c r="D423" s="4"/>
      <c r="E423" s="13"/>
      <c r="F423" s="4" t="s">
        <v>656</v>
      </c>
      <c r="G423" s="255">
        <v>880</v>
      </c>
      <c r="H423" s="151">
        <v>3500</v>
      </c>
      <c r="I423" s="314">
        <f t="shared" si="173"/>
        <v>4380</v>
      </c>
    </row>
    <row r="424" spans="2:9" x14ac:dyDescent="0.2">
      <c r="B424" s="229">
        <f t="shared" si="161"/>
        <v>416</v>
      </c>
      <c r="C424" s="12"/>
      <c r="D424" s="4"/>
      <c r="E424" s="13"/>
      <c r="F424" s="4" t="s">
        <v>661</v>
      </c>
      <c r="G424" s="255">
        <v>4700</v>
      </c>
      <c r="H424" s="151"/>
      <c r="I424" s="314">
        <f t="shared" si="173"/>
        <v>4700</v>
      </c>
    </row>
    <row r="425" spans="2:9" ht="22.5" x14ac:dyDescent="0.2">
      <c r="B425" s="229">
        <f t="shared" si="161"/>
        <v>417</v>
      </c>
      <c r="C425" s="12"/>
      <c r="D425" s="4"/>
      <c r="E425" s="13"/>
      <c r="F425" s="34" t="s">
        <v>675</v>
      </c>
      <c r="G425" s="255">
        <v>0</v>
      </c>
      <c r="H425" s="151">
        <v>2000</v>
      </c>
      <c r="I425" s="314">
        <f t="shared" si="173"/>
        <v>2000</v>
      </c>
    </row>
    <row r="426" spans="2:9" x14ac:dyDescent="0.2">
      <c r="B426" s="229">
        <f t="shared" si="161"/>
        <v>418</v>
      </c>
      <c r="C426" s="73"/>
      <c r="D426" s="68"/>
      <c r="E426" s="74">
        <v>312012</v>
      </c>
      <c r="F426" s="3" t="s">
        <v>406</v>
      </c>
      <c r="G426" s="258">
        <f>SUM(G427:G434)</f>
        <v>7662633</v>
      </c>
      <c r="H426" s="50">
        <f t="shared" ref="H426" si="175">SUM(H427:H434)</f>
        <v>57548</v>
      </c>
      <c r="I426" s="315">
        <f t="shared" si="173"/>
        <v>7720181</v>
      </c>
    </row>
    <row r="427" spans="2:9" x14ac:dyDescent="0.2">
      <c r="B427" s="229">
        <f t="shared" si="161"/>
        <v>419</v>
      </c>
      <c r="C427" s="12"/>
      <c r="D427" s="4"/>
      <c r="E427" s="13"/>
      <c r="F427" s="4" t="s">
        <v>297</v>
      </c>
      <c r="G427" s="255">
        <f>7366500-54227-5932</f>
        <v>7306341</v>
      </c>
      <c r="H427" s="151">
        <f>61547-1827</f>
        <v>59720</v>
      </c>
      <c r="I427" s="314">
        <f t="shared" si="173"/>
        <v>7366061</v>
      </c>
    </row>
    <row r="428" spans="2:9" x14ac:dyDescent="0.2">
      <c r="B428" s="229">
        <f t="shared" si="161"/>
        <v>420</v>
      </c>
      <c r="C428" s="12"/>
      <c r="D428" s="4"/>
      <c r="E428" s="13"/>
      <c r="F428" s="4" t="s">
        <v>299</v>
      </c>
      <c r="G428" s="255">
        <f>86935-554</f>
        <v>86381</v>
      </c>
      <c r="H428" s="151">
        <f>-717-1455</f>
        <v>-2172</v>
      </c>
      <c r="I428" s="314">
        <f t="shared" si="173"/>
        <v>84209</v>
      </c>
    </row>
    <row r="429" spans="2:9" x14ac:dyDescent="0.2">
      <c r="B429" s="229">
        <f t="shared" si="161"/>
        <v>421</v>
      </c>
      <c r="C429" s="12"/>
      <c r="D429" s="4"/>
      <c r="E429" s="13"/>
      <c r="F429" s="4" t="s">
        <v>291</v>
      </c>
      <c r="G429" s="247">
        <f>98600+1755</f>
        <v>100355</v>
      </c>
      <c r="H429" s="21"/>
      <c r="I429" s="313">
        <f t="shared" si="173"/>
        <v>100355</v>
      </c>
    </row>
    <row r="430" spans="2:9" x14ac:dyDescent="0.2">
      <c r="B430" s="229">
        <f t="shared" si="161"/>
        <v>422</v>
      </c>
      <c r="C430" s="12"/>
      <c r="D430" s="4"/>
      <c r="E430" s="13"/>
      <c r="F430" s="4" t="s">
        <v>288</v>
      </c>
      <c r="G430" s="247">
        <v>52000</v>
      </c>
      <c r="H430" s="21"/>
      <c r="I430" s="313">
        <f t="shared" si="173"/>
        <v>52000</v>
      </c>
    </row>
    <row r="431" spans="2:9" x14ac:dyDescent="0.2">
      <c r="B431" s="229">
        <f t="shared" si="161"/>
        <v>423</v>
      </c>
      <c r="C431" s="12"/>
      <c r="D431" s="4"/>
      <c r="E431" s="13"/>
      <c r="F431" s="4" t="s">
        <v>298</v>
      </c>
      <c r="G431" s="247">
        <f>42515-39+1774</f>
        <v>44250</v>
      </c>
      <c r="H431" s="21"/>
      <c r="I431" s="313">
        <f t="shared" si="173"/>
        <v>44250</v>
      </c>
    </row>
    <row r="432" spans="2:9" x14ac:dyDescent="0.2">
      <c r="B432" s="229">
        <f t="shared" si="161"/>
        <v>424</v>
      </c>
      <c r="C432" s="12"/>
      <c r="D432" s="4"/>
      <c r="E432" s="13"/>
      <c r="F432" s="4" t="s">
        <v>292</v>
      </c>
      <c r="G432" s="247">
        <v>18500</v>
      </c>
      <c r="H432" s="21"/>
      <c r="I432" s="313">
        <f t="shared" si="173"/>
        <v>18500</v>
      </c>
    </row>
    <row r="433" spans="2:9" x14ac:dyDescent="0.2">
      <c r="B433" s="229">
        <f t="shared" si="161"/>
        <v>425</v>
      </c>
      <c r="C433" s="12"/>
      <c r="D433" s="4"/>
      <c r="E433" s="13"/>
      <c r="F433" s="4" t="s">
        <v>290</v>
      </c>
      <c r="G433" s="247">
        <v>24500</v>
      </c>
      <c r="H433" s="21"/>
      <c r="I433" s="313">
        <f t="shared" si="173"/>
        <v>24500</v>
      </c>
    </row>
    <row r="434" spans="2:9" ht="13.5" thickBot="1" x14ac:dyDescent="0.25">
      <c r="B434" s="229">
        <f t="shared" si="161"/>
        <v>426</v>
      </c>
      <c r="C434" s="143"/>
      <c r="D434" s="95"/>
      <c r="E434" s="95"/>
      <c r="F434" s="143" t="s">
        <v>660</v>
      </c>
      <c r="G434" s="303">
        <v>30306</v>
      </c>
      <c r="H434" s="323"/>
      <c r="I434" s="316">
        <f t="shared" si="173"/>
        <v>30306</v>
      </c>
    </row>
    <row r="435" spans="2:9" ht="15.75" thickBot="1" x14ac:dyDescent="0.3">
      <c r="B435" s="229">
        <f t="shared" si="161"/>
        <v>427</v>
      </c>
      <c r="C435" s="65">
        <v>1</v>
      </c>
      <c r="D435" s="65"/>
      <c r="E435" s="65"/>
      <c r="F435" s="218" t="s">
        <v>54</v>
      </c>
      <c r="G435" s="304">
        <f>G436</f>
        <v>5770</v>
      </c>
      <c r="H435" s="319">
        <f t="shared" ref="H435" si="176">H436</f>
        <v>2800</v>
      </c>
      <c r="I435" s="307">
        <f t="shared" si="173"/>
        <v>8570</v>
      </c>
    </row>
    <row r="436" spans="2:9" x14ac:dyDescent="0.2">
      <c r="B436" s="120">
        <f t="shared" si="161"/>
        <v>428</v>
      </c>
      <c r="C436" s="71">
        <v>310</v>
      </c>
      <c r="D436" s="158"/>
      <c r="E436" s="72"/>
      <c r="F436" s="219" t="s">
        <v>229</v>
      </c>
      <c r="G436" s="207">
        <f>G438+G437</f>
        <v>5770</v>
      </c>
      <c r="H436" s="18">
        <f t="shared" ref="H436" si="177">H438+H437</f>
        <v>2800</v>
      </c>
      <c r="I436" s="309">
        <f t="shared" si="173"/>
        <v>8570</v>
      </c>
    </row>
    <row r="437" spans="2:9" x14ac:dyDescent="0.2">
      <c r="B437" s="120">
        <f t="shared" si="161"/>
        <v>429</v>
      </c>
      <c r="C437" s="73"/>
      <c r="D437" s="68">
        <v>311</v>
      </c>
      <c r="E437" s="74"/>
      <c r="F437" s="130" t="s">
        <v>565</v>
      </c>
      <c r="G437" s="208">
        <v>450</v>
      </c>
      <c r="H437" s="19"/>
      <c r="I437" s="297">
        <f t="shared" si="173"/>
        <v>450</v>
      </c>
    </row>
    <row r="438" spans="2:9" ht="13.5" thickBot="1" x14ac:dyDescent="0.25">
      <c r="B438" s="120">
        <f t="shared" si="161"/>
        <v>430</v>
      </c>
      <c r="C438" s="145"/>
      <c r="D438" s="68">
        <v>312</v>
      </c>
      <c r="E438" s="74"/>
      <c r="F438" s="130" t="s">
        <v>194</v>
      </c>
      <c r="G438" s="208">
        <f>4850+470</f>
        <v>5320</v>
      </c>
      <c r="H438" s="19">
        <v>2800</v>
      </c>
      <c r="I438" s="297">
        <f t="shared" si="173"/>
        <v>8120</v>
      </c>
    </row>
    <row r="439" spans="2:9" ht="15.75" thickBot="1" x14ac:dyDescent="0.3">
      <c r="B439" s="120">
        <f t="shared" si="161"/>
        <v>431</v>
      </c>
      <c r="C439" s="75">
        <v>5</v>
      </c>
      <c r="D439" s="157"/>
      <c r="E439" s="76"/>
      <c r="F439" s="218" t="s">
        <v>115</v>
      </c>
      <c r="G439" s="304">
        <f>G440</f>
        <v>274000</v>
      </c>
      <c r="H439" s="319">
        <f t="shared" ref="H439" si="178">H440</f>
        <v>0</v>
      </c>
      <c r="I439" s="307">
        <f t="shared" si="173"/>
        <v>274000</v>
      </c>
    </row>
    <row r="440" spans="2:9" x14ac:dyDescent="0.2">
      <c r="B440" s="120">
        <f t="shared" si="161"/>
        <v>432</v>
      </c>
      <c r="C440" s="71">
        <v>310</v>
      </c>
      <c r="D440" s="158"/>
      <c r="E440" s="72"/>
      <c r="F440" s="219" t="s">
        <v>229</v>
      </c>
      <c r="G440" s="207">
        <f>G442+G441</f>
        <v>274000</v>
      </c>
      <c r="H440" s="18">
        <f t="shared" ref="H440" si="179">H442+H441</f>
        <v>0</v>
      </c>
      <c r="I440" s="309">
        <f t="shared" si="173"/>
        <v>274000</v>
      </c>
    </row>
    <row r="441" spans="2:9" x14ac:dyDescent="0.2">
      <c r="B441" s="120">
        <f t="shared" si="161"/>
        <v>433</v>
      </c>
      <c r="C441" s="73"/>
      <c r="D441" s="68">
        <v>311</v>
      </c>
      <c r="E441" s="74"/>
      <c r="F441" s="130" t="s">
        <v>565</v>
      </c>
      <c r="G441" s="208">
        <f>400+2100</f>
        <v>2500</v>
      </c>
      <c r="H441" s="19"/>
      <c r="I441" s="297">
        <f t="shared" si="173"/>
        <v>2500</v>
      </c>
    </row>
    <row r="442" spans="2:9" x14ac:dyDescent="0.2">
      <c r="B442" s="120">
        <f t="shared" si="161"/>
        <v>434</v>
      </c>
      <c r="C442" s="73"/>
      <c r="D442" s="68">
        <v>312</v>
      </c>
      <c r="E442" s="74"/>
      <c r="F442" s="130" t="s">
        <v>194</v>
      </c>
      <c r="G442" s="208">
        <f>G443</f>
        <v>271500</v>
      </c>
      <c r="H442" s="19">
        <f t="shared" ref="H442" si="180">H443</f>
        <v>0</v>
      </c>
      <c r="I442" s="297">
        <f t="shared" si="173"/>
        <v>271500</v>
      </c>
    </row>
    <row r="443" spans="2:9" ht="13.5" thickBot="1" x14ac:dyDescent="0.25">
      <c r="B443" s="120">
        <f t="shared" si="161"/>
        <v>435</v>
      </c>
      <c r="C443" s="12"/>
      <c r="D443" s="144"/>
      <c r="E443" s="13">
        <v>312001</v>
      </c>
      <c r="F443" s="12" t="s">
        <v>238</v>
      </c>
      <c r="G443" s="247">
        <f>328500-57000</f>
        <v>271500</v>
      </c>
      <c r="H443" s="21"/>
      <c r="I443" s="313">
        <f t="shared" si="173"/>
        <v>271500</v>
      </c>
    </row>
    <row r="444" spans="2:9" ht="15.75" thickBot="1" x14ac:dyDescent="0.3">
      <c r="B444" s="120">
        <f t="shared" si="161"/>
        <v>436</v>
      </c>
      <c r="C444" s="75">
        <v>6</v>
      </c>
      <c r="D444" s="157"/>
      <c r="E444" s="76"/>
      <c r="F444" s="218" t="s">
        <v>12</v>
      </c>
      <c r="G444" s="304">
        <f>G445</f>
        <v>1511</v>
      </c>
      <c r="H444" s="319">
        <f t="shared" ref="H444:H445" si="181">H445</f>
        <v>0</v>
      </c>
      <c r="I444" s="307">
        <f t="shared" si="173"/>
        <v>1511</v>
      </c>
    </row>
    <row r="445" spans="2:9" x14ac:dyDescent="0.2">
      <c r="B445" s="120">
        <f t="shared" si="161"/>
        <v>437</v>
      </c>
      <c r="C445" s="71">
        <v>310</v>
      </c>
      <c r="D445" s="158"/>
      <c r="E445" s="72"/>
      <c r="F445" s="219" t="s">
        <v>229</v>
      </c>
      <c r="G445" s="207">
        <f>G446</f>
        <v>1511</v>
      </c>
      <c r="H445" s="18">
        <f t="shared" si="181"/>
        <v>0</v>
      </c>
      <c r="I445" s="309">
        <f t="shared" si="173"/>
        <v>1511</v>
      </c>
    </row>
    <row r="446" spans="2:9" ht="13.5" thickBot="1" x14ac:dyDescent="0.25">
      <c r="B446" s="120">
        <f t="shared" si="161"/>
        <v>438</v>
      </c>
      <c r="C446" s="73"/>
      <c r="D446" s="68">
        <v>311</v>
      </c>
      <c r="E446" s="74"/>
      <c r="F446" s="130" t="s">
        <v>565</v>
      </c>
      <c r="G446" s="208">
        <v>1511</v>
      </c>
      <c r="H446" s="19"/>
      <c r="I446" s="297">
        <f t="shared" si="173"/>
        <v>1511</v>
      </c>
    </row>
    <row r="447" spans="2:9" ht="15.75" thickBot="1" x14ac:dyDescent="0.3">
      <c r="B447" s="120">
        <f t="shared" si="161"/>
        <v>439</v>
      </c>
      <c r="C447" s="75">
        <v>7</v>
      </c>
      <c r="D447" s="157"/>
      <c r="E447" s="76"/>
      <c r="F447" s="218" t="s">
        <v>13</v>
      </c>
      <c r="G447" s="304">
        <f>G448</f>
        <v>366</v>
      </c>
      <c r="H447" s="319">
        <f t="shared" ref="H447:H448" si="182">H448</f>
        <v>69</v>
      </c>
      <c r="I447" s="307">
        <f t="shared" si="173"/>
        <v>435</v>
      </c>
    </row>
    <row r="448" spans="2:9" x14ac:dyDescent="0.2">
      <c r="B448" s="120">
        <f t="shared" ref="B448:B464" si="183">B447+1</f>
        <v>440</v>
      </c>
      <c r="C448" s="71">
        <v>310</v>
      </c>
      <c r="D448" s="158"/>
      <c r="E448" s="72"/>
      <c r="F448" s="219" t="s">
        <v>229</v>
      </c>
      <c r="G448" s="207">
        <f>G449</f>
        <v>366</v>
      </c>
      <c r="H448" s="18">
        <f t="shared" si="182"/>
        <v>69</v>
      </c>
      <c r="I448" s="309">
        <f t="shared" si="173"/>
        <v>435</v>
      </c>
    </row>
    <row r="449" spans="2:9" ht="13.5" thickBot="1" x14ac:dyDescent="0.25">
      <c r="B449" s="120">
        <f t="shared" si="183"/>
        <v>441</v>
      </c>
      <c r="C449" s="73"/>
      <c r="D449" s="68">
        <v>311</v>
      </c>
      <c r="E449" s="74"/>
      <c r="F449" s="130" t="s">
        <v>565</v>
      </c>
      <c r="G449" s="208">
        <v>366</v>
      </c>
      <c r="H449" s="19">
        <v>69</v>
      </c>
      <c r="I449" s="297">
        <f t="shared" si="173"/>
        <v>435</v>
      </c>
    </row>
    <row r="450" spans="2:9" ht="15.75" thickBot="1" x14ac:dyDescent="0.3">
      <c r="B450" s="120">
        <f t="shared" si="183"/>
        <v>442</v>
      </c>
      <c r="C450" s="75">
        <v>9</v>
      </c>
      <c r="D450" s="157"/>
      <c r="E450" s="76"/>
      <c r="F450" s="218" t="s">
        <v>8</v>
      </c>
      <c r="G450" s="304">
        <f>G451</f>
        <v>166</v>
      </c>
      <c r="H450" s="319">
        <f t="shared" ref="H450" si="184">H451</f>
        <v>14890</v>
      </c>
      <c r="I450" s="307">
        <f t="shared" si="173"/>
        <v>15056</v>
      </c>
    </row>
    <row r="451" spans="2:9" x14ac:dyDescent="0.2">
      <c r="B451" s="120">
        <f t="shared" si="183"/>
        <v>443</v>
      </c>
      <c r="C451" s="71">
        <v>310</v>
      </c>
      <c r="D451" s="158"/>
      <c r="E451" s="72"/>
      <c r="F451" s="219" t="s">
        <v>293</v>
      </c>
      <c r="G451" s="207">
        <f>G452</f>
        <v>166</v>
      </c>
      <c r="H451" s="18">
        <f>H453</f>
        <v>14890</v>
      </c>
      <c r="I451" s="309">
        <f t="shared" si="173"/>
        <v>15056</v>
      </c>
    </row>
    <row r="452" spans="2:9" x14ac:dyDescent="0.2">
      <c r="B452" s="120">
        <f t="shared" si="183"/>
        <v>444</v>
      </c>
      <c r="C452" s="73"/>
      <c r="D452" s="68">
        <v>311</v>
      </c>
      <c r="E452" s="74"/>
      <c r="F452" s="130" t="s">
        <v>565</v>
      </c>
      <c r="G452" s="208">
        <v>166</v>
      </c>
      <c r="H452" s="19"/>
      <c r="I452" s="297">
        <f t="shared" si="173"/>
        <v>166</v>
      </c>
    </row>
    <row r="453" spans="2:9" ht="13.5" thickBot="1" x14ac:dyDescent="0.25">
      <c r="B453" s="120">
        <f t="shared" si="183"/>
        <v>445</v>
      </c>
      <c r="C453" s="287"/>
      <c r="D453" s="288">
        <v>312</v>
      </c>
      <c r="E453" s="290"/>
      <c r="F453" s="289" t="s">
        <v>194</v>
      </c>
      <c r="G453" s="305">
        <v>0</v>
      </c>
      <c r="H453" s="321">
        <v>14890</v>
      </c>
      <c r="I453" s="291">
        <f>H453</f>
        <v>14890</v>
      </c>
    </row>
    <row r="454" spans="2:9" ht="15.75" thickBot="1" x14ac:dyDescent="0.3">
      <c r="B454" s="120">
        <f t="shared" si="183"/>
        <v>446</v>
      </c>
      <c r="C454" s="75">
        <v>10</v>
      </c>
      <c r="D454" s="157"/>
      <c r="E454" s="76"/>
      <c r="F454" s="218" t="s">
        <v>2</v>
      </c>
      <c r="G454" s="304">
        <f>G455</f>
        <v>17111</v>
      </c>
      <c r="H454" s="319">
        <f t="shared" ref="H454" si="185">H455</f>
        <v>22061</v>
      </c>
      <c r="I454" s="307">
        <f t="shared" si="173"/>
        <v>39172</v>
      </c>
    </row>
    <row r="455" spans="2:9" x14ac:dyDescent="0.2">
      <c r="B455" s="120">
        <f t="shared" si="183"/>
        <v>447</v>
      </c>
      <c r="C455" s="71">
        <v>310</v>
      </c>
      <c r="D455" s="158"/>
      <c r="E455" s="72"/>
      <c r="F455" s="219" t="s">
        <v>229</v>
      </c>
      <c r="G455" s="207">
        <f>G456+G457</f>
        <v>17111</v>
      </c>
      <c r="H455" s="18">
        <f>H456+H457</f>
        <v>22061</v>
      </c>
      <c r="I455" s="309">
        <f t="shared" si="173"/>
        <v>39172</v>
      </c>
    </row>
    <row r="456" spans="2:9" x14ac:dyDescent="0.2">
      <c r="B456" s="120">
        <f t="shared" si="183"/>
        <v>448</v>
      </c>
      <c r="C456" s="73"/>
      <c r="D456" s="68">
        <v>311</v>
      </c>
      <c r="E456" s="74"/>
      <c r="F456" s="130" t="s">
        <v>565</v>
      </c>
      <c r="G456" s="208">
        <v>0</v>
      </c>
      <c r="H456" s="19">
        <v>4221</v>
      </c>
      <c r="I456" s="297">
        <f t="shared" si="173"/>
        <v>4221</v>
      </c>
    </row>
    <row r="457" spans="2:9" ht="13.5" thickBot="1" x14ac:dyDescent="0.25">
      <c r="B457" s="120">
        <f t="shared" si="183"/>
        <v>449</v>
      </c>
      <c r="C457" s="287"/>
      <c r="D457" s="288">
        <v>312</v>
      </c>
      <c r="E457" s="290"/>
      <c r="F457" s="289" t="s">
        <v>194</v>
      </c>
      <c r="G457" s="305">
        <v>17111</v>
      </c>
      <c r="H457" s="321">
        <v>17840</v>
      </c>
      <c r="I457" s="291">
        <f>H457+G457</f>
        <v>34951</v>
      </c>
    </row>
    <row r="458" spans="2:9" ht="15.75" thickBot="1" x14ac:dyDescent="0.3">
      <c r="B458" s="120">
        <f t="shared" si="183"/>
        <v>450</v>
      </c>
      <c r="C458" s="75">
        <v>12</v>
      </c>
      <c r="D458" s="157"/>
      <c r="E458" s="76"/>
      <c r="F458" s="218" t="s">
        <v>9</v>
      </c>
      <c r="G458" s="304">
        <f>G459</f>
        <v>715</v>
      </c>
      <c r="H458" s="319">
        <f t="shared" ref="H458:H459" si="186">H459</f>
        <v>500</v>
      </c>
      <c r="I458" s="307">
        <f t="shared" si="173"/>
        <v>1215</v>
      </c>
    </row>
    <row r="459" spans="2:9" x14ac:dyDescent="0.2">
      <c r="B459" s="120">
        <f t="shared" si="183"/>
        <v>451</v>
      </c>
      <c r="C459" s="71">
        <v>310</v>
      </c>
      <c r="D459" s="158"/>
      <c r="E459" s="72"/>
      <c r="F459" s="219" t="s">
        <v>229</v>
      </c>
      <c r="G459" s="207">
        <f>G460</f>
        <v>715</v>
      </c>
      <c r="H459" s="18">
        <f t="shared" si="186"/>
        <v>500</v>
      </c>
      <c r="I459" s="309">
        <f t="shared" si="173"/>
        <v>1215</v>
      </c>
    </row>
    <row r="460" spans="2:9" ht="13.5" thickBot="1" x14ac:dyDescent="0.25">
      <c r="B460" s="120">
        <f t="shared" si="183"/>
        <v>452</v>
      </c>
      <c r="C460" s="73"/>
      <c r="D460" s="68">
        <v>311</v>
      </c>
      <c r="E460" s="74"/>
      <c r="F460" s="130" t="s">
        <v>565</v>
      </c>
      <c r="G460" s="208">
        <v>715</v>
      </c>
      <c r="H460" s="19">
        <v>500</v>
      </c>
      <c r="I460" s="297">
        <f t="shared" si="173"/>
        <v>1215</v>
      </c>
    </row>
    <row r="461" spans="2:9" ht="15.75" thickBot="1" x14ac:dyDescent="0.3">
      <c r="B461" s="120">
        <f t="shared" si="183"/>
        <v>453</v>
      </c>
      <c r="C461" s="75">
        <v>13</v>
      </c>
      <c r="D461" s="157"/>
      <c r="E461" s="76"/>
      <c r="F461" s="218" t="s">
        <v>19</v>
      </c>
      <c r="G461" s="304">
        <f>G462</f>
        <v>327</v>
      </c>
      <c r="H461" s="319">
        <f t="shared" ref="H461:H462" si="187">H462</f>
        <v>149</v>
      </c>
      <c r="I461" s="307">
        <f t="shared" si="173"/>
        <v>476</v>
      </c>
    </row>
    <row r="462" spans="2:9" x14ac:dyDescent="0.2">
      <c r="B462" s="120">
        <f t="shared" si="183"/>
        <v>454</v>
      </c>
      <c r="C462" s="71">
        <v>310</v>
      </c>
      <c r="D462" s="158"/>
      <c r="E462" s="72"/>
      <c r="F462" s="219" t="s">
        <v>229</v>
      </c>
      <c r="G462" s="207">
        <f>G463</f>
        <v>327</v>
      </c>
      <c r="H462" s="18">
        <f t="shared" si="187"/>
        <v>149</v>
      </c>
      <c r="I462" s="309">
        <f t="shared" si="173"/>
        <v>476</v>
      </c>
    </row>
    <row r="463" spans="2:9" x14ac:dyDescent="0.2">
      <c r="B463" s="120">
        <f t="shared" si="183"/>
        <v>455</v>
      </c>
      <c r="C463" s="73"/>
      <c r="D463" s="68">
        <v>311</v>
      </c>
      <c r="E463" s="74"/>
      <c r="F463" s="130" t="s">
        <v>565</v>
      </c>
      <c r="G463" s="208">
        <v>327</v>
      </c>
      <c r="H463" s="19">
        <f>65+84</f>
        <v>149</v>
      </c>
      <c r="I463" s="297">
        <f t="shared" si="173"/>
        <v>476</v>
      </c>
    </row>
    <row r="464" spans="2:9" ht="15.75" thickBot="1" x14ac:dyDescent="0.25">
      <c r="B464" s="120">
        <f t="shared" si="183"/>
        <v>456</v>
      </c>
      <c r="C464" s="124"/>
      <c r="D464" s="125"/>
      <c r="E464" s="126"/>
      <c r="F464" s="220" t="s">
        <v>124</v>
      </c>
      <c r="G464" s="306">
        <f>G404+G22+G6</f>
        <v>42387647</v>
      </c>
      <c r="H464" s="324">
        <f t="shared" ref="H464" si="188">H404+H22+H6</f>
        <v>165922</v>
      </c>
      <c r="I464" s="317">
        <f t="shared" si="173"/>
        <v>42553569</v>
      </c>
    </row>
    <row r="465" spans="2:9" ht="13.5" thickBot="1" x14ac:dyDescent="0.25"/>
    <row r="466" spans="2:9" ht="12.75" customHeight="1" x14ac:dyDescent="0.2">
      <c r="B466" s="424" t="s">
        <v>174</v>
      </c>
      <c r="C466" s="425"/>
      <c r="D466" s="425"/>
      <c r="E466" s="425"/>
      <c r="F466" s="426"/>
      <c r="G466" s="421" t="s">
        <v>665</v>
      </c>
      <c r="H466" s="438" t="s">
        <v>666</v>
      </c>
      <c r="I466" s="441" t="s">
        <v>665</v>
      </c>
    </row>
    <row r="467" spans="2:9" x14ac:dyDescent="0.2">
      <c r="B467" s="427"/>
      <c r="C467" s="428"/>
      <c r="D467" s="428"/>
      <c r="E467" s="428"/>
      <c r="F467" s="429"/>
      <c r="G467" s="422"/>
      <c r="H467" s="439"/>
      <c r="I467" s="442"/>
    </row>
    <row r="468" spans="2:9" x14ac:dyDescent="0.2">
      <c r="B468" s="434" t="s">
        <v>119</v>
      </c>
      <c r="C468" s="436" t="s">
        <v>120</v>
      </c>
      <c r="D468" s="430" t="s">
        <v>121</v>
      </c>
      <c r="E468" s="430" t="s">
        <v>123</v>
      </c>
      <c r="F468" s="432" t="s">
        <v>122</v>
      </c>
      <c r="G468" s="422"/>
      <c r="H468" s="439"/>
      <c r="I468" s="442"/>
    </row>
    <row r="469" spans="2:9" ht="13.5" thickBot="1" x14ac:dyDescent="0.25">
      <c r="B469" s="435"/>
      <c r="C469" s="437"/>
      <c r="D469" s="431"/>
      <c r="E469" s="431"/>
      <c r="F469" s="433"/>
      <c r="G469" s="423"/>
      <c r="H469" s="440"/>
      <c r="I469" s="443"/>
    </row>
    <row r="470" spans="2:9" ht="17.25" thickTop="1" thickBot="1" x14ac:dyDescent="0.3">
      <c r="B470" s="120">
        <f t="shared" ref="B470:B502" si="189">B469+1</f>
        <v>1</v>
      </c>
      <c r="C470" s="64">
        <v>200</v>
      </c>
      <c r="D470" s="64"/>
      <c r="E470" s="64"/>
      <c r="F470" s="8" t="s">
        <v>173</v>
      </c>
      <c r="G470" s="302">
        <f>G471</f>
        <v>937434</v>
      </c>
      <c r="H470" s="330">
        <f t="shared" ref="H470:H471" si="190">H471</f>
        <v>0</v>
      </c>
      <c r="I470" s="122">
        <f>G470+H470</f>
        <v>937434</v>
      </c>
    </row>
    <row r="471" spans="2:9" ht="15.75" thickBot="1" x14ac:dyDescent="0.3">
      <c r="B471" s="120">
        <f t="shared" si="189"/>
        <v>2</v>
      </c>
      <c r="C471" s="65"/>
      <c r="D471" s="65"/>
      <c r="E471" s="65"/>
      <c r="F471" s="9" t="s">
        <v>43</v>
      </c>
      <c r="G471" s="299">
        <f>G472</f>
        <v>937434</v>
      </c>
      <c r="H471" s="319">
        <f t="shared" si="190"/>
        <v>0</v>
      </c>
      <c r="I471" s="307">
        <f t="shared" ref="I471:I502" si="191">G471+H471</f>
        <v>937434</v>
      </c>
    </row>
    <row r="472" spans="2:9" x14ac:dyDescent="0.2">
      <c r="B472" s="120">
        <f t="shared" si="189"/>
        <v>3</v>
      </c>
      <c r="C472" s="66">
        <v>230</v>
      </c>
      <c r="D472" s="66"/>
      <c r="E472" s="66"/>
      <c r="F472" s="5" t="s">
        <v>174</v>
      </c>
      <c r="G472" s="206">
        <f>G473+G475</f>
        <v>937434</v>
      </c>
      <c r="H472" s="294">
        <f t="shared" ref="H472" si="192">H473+H475</f>
        <v>0</v>
      </c>
      <c r="I472" s="308">
        <f t="shared" si="191"/>
        <v>937434</v>
      </c>
    </row>
    <row r="473" spans="2:9" x14ac:dyDescent="0.2">
      <c r="B473" s="120">
        <f t="shared" si="189"/>
        <v>4</v>
      </c>
      <c r="C473" s="67"/>
      <c r="D473" s="67">
        <v>231</v>
      </c>
      <c r="E473" s="67"/>
      <c r="F473" s="2" t="s">
        <v>268</v>
      </c>
      <c r="G473" s="207">
        <f>G474</f>
        <v>550000</v>
      </c>
      <c r="H473" s="18">
        <f t="shared" ref="H473" si="193">H474</f>
        <v>0</v>
      </c>
      <c r="I473" s="309">
        <f t="shared" si="191"/>
        <v>550000</v>
      </c>
    </row>
    <row r="474" spans="2:9" x14ac:dyDescent="0.2">
      <c r="B474" s="120">
        <f t="shared" si="189"/>
        <v>5</v>
      </c>
      <c r="C474" s="68"/>
      <c r="D474" s="68"/>
      <c r="E474" s="68">
        <v>231</v>
      </c>
      <c r="F474" s="3" t="s">
        <v>268</v>
      </c>
      <c r="G474" s="208">
        <f>400000+150000</f>
        <v>550000</v>
      </c>
      <c r="H474" s="19"/>
      <c r="I474" s="297">
        <f t="shared" si="191"/>
        <v>550000</v>
      </c>
    </row>
    <row r="475" spans="2:9" x14ac:dyDescent="0.2">
      <c r="B475" s="120">
        <f t="shared" si="189"/>
        <v>6</v>
      </c>
      <c r="C475" s="67"/>
      <c r="D475" s="67">
        <v>233</v>
      </c>
      <c r="E475" s="67"/>
      <c r="F475" s="2" t="s">
        <v>175</v>
      </c>
      <c r="G475" s="207">
        <f>G476</f>
        <v>387434</v>
      </c>
      <c r="H475" s="18">
        <f t="shared" ref="H475" si="194">H476</f>
        <v>0</v>
      </c>
      <c r="I475" s="309">
        <f t="shared" si="191"/>
        <v>387434</v>
      </c>
    </row>
    <row r="476" spans="2:9" x14ac:dyDescent="0.2">
      <c r="B476" s="120">
        <f t="shared" si="189"/>
        <v>7</v>
      </c>
      <c r="C476" s="68"/>
      <c r="D476" s="68"/>
      <c r="E476" s="68">
        <v>233001</v>
      </c>
      <c r="F476" s="3" t="s">
        <v>176</v>
      </c>
      <c r="G476" s="208">
        <f>200000+187434</f>
        <v>387434</v>
      </c>
      <c r="H476" s="19"/>
      <c r="I476" s="297">
        <f t="shared" si="191"/>
        <v>387434</v>
      </c>
    </row>
    <row r="477" spans="2:9" ht="16.5" thickBot="1" x14ac:dyDescent="0.3">
      <c r="B477" s="120">
        <f t="shared" si="189"/>
        <v>8</v>
      </c>
      <c r="C477" s="64">
        <v>300</v>
      </c>
      <c r="D477" s="64"/>
      <c r="E477" s="64"/>
      <c r="F477" s="8" t="s">
        <v>228</v>
      </c>
      <c r="G477" s="302">
        <f>G478+G499</f>
        <v>7087030</v>
      </c>
      <c r="H477" s="322">
        <f t="shared" ref="H477" si="195">H478+H499</f>
        <v>0</v>
      </c>
      <c r="I477" s="122">
        <f t="shared" si="191"/>
        <v>7087030</v>
      </c>
    </row>
    <row r="478" spans="2:9" ht="15.75" thickBot="1" x14ac:dyDescent="0.3">
      <c r="B478" s="120">
        <f t="shared" si="189"/>
        <v>9</v>
      </c>
      <c r="C478" s="65"/>
      <c r="D478" s="65"/>
      <c r="E478" s="65"/>
      <c r="F478" s="9" t="s">
        <v>43</v>
      </c>
      <c r="G478" s="299">
        <f>G479</f>
        <v>7086064</v>
      </c>
      <c r="H478" s="319">
        <f t="shared" ref="H478" si="196">H479</f>
        <v>0</v>
      </c>
      <c r="I478" s="307">
        <f t="shared" si="191"/>
        <v>7086064</v>
      </c>
    </row>
    <row r="479" spans="2:9" x14ac:dyDescent="0.2">
      <c r="B479" s="120">
        <f t="shared" si="189"/>
        <v>10</v>
      </c>
      <c r="C479" s="66">
        <v>320</v>
      </c>
      <c r="D479" s="66"/>
      <c r="E479" s="66"/>
      <c r="F479" s="5" t="s">
        <v>293</v>
      </c>
      <c r="G479" s="206">
        <f>G482+G480+G481</f>
        <v>7086064</v>
      </c>
      <c r="H479" s="294">
        <f t="shared" ref="H479" si="197">H482+H480+H481</f>
        <v>0</v>
      </c>
      <c r="I479" s="308">
        <f t="shared" si="191"/>
        <v>7086064</v>
      </c>
    </row>
    <row r="480" spans="2:9" s="42" customFormat="1" ht="24" x14ac:dyDescent="0.2">
      <c r="B480" s="229">
        <f t="shared" si="189"/>
        <v>11</v>
      </c>
      <c r="C480" s="230"/>
      <c r="D480" s="230">
        <v>321</v>
      </c>
      <c r="E480" s="230"/>
      <c r="F480" s="231" t="s">
        <v>626</v>
      </c>
      <c r="G480" s="325">
        <v>5354</v>
      </c>
      <c r="H480" s="331"/>
      <c r="I480" s="327">
        <f t="shared" si="191"/>
        <v>5354</v>
      </c>
    </row>
    <row r="481" spans="2:9" x14ac:dyDescent="0.2">
      <c r="B481" s="120">
        <f t="shared" si="189"/>
        <v>12</v>
      </c>
      <c r="C481" s="67"/>
      <c r="D481" s="67">
        <v>321</v>
      </c>
      <c r="E481" s="67"/>
      <c r="F481" s="224" t="s">
        <v>634</v>
      </c>
      <c r="G481" s="325">
        <v>10000</v>
      </c>
      <c r="H481" s="331"/>
      <c r="I481" s="327">
        <f t="shared" si="191"/>
        <v>10000</v>
      </c>
    </row>
    <row r="482" spans="2:9" x14ac:dyDescent="0.2">
      <c r="B482" s="120">
        <f t="shared" si="189"/>
        <v>13</v>
      </c>
      <c r="C482" s="67"/>
      <c r="D482" s="67">
        <v>322</v>
      </c>
      <c r="E482" s="67"/>
      <c r="F482" s="2" t="s">
        <v>194</v>
      </c>
      <c r="G482" s="207">
        <f>G483</f>
        <v>7070710</v>
      </c>
      <c r="H482" s="18">
        <f t="shared" ref="H482" si="198">H483</f>
        <v>0</v>
      </c>
      <c r="I482" s="309">
        <f t="shared" si="191"/>
        <v>7070710</v>
      </c>
    </row>
    <row r="483" spans="2:9" x14ac:dyDescent="0.2">
      <c r="B483" s="120">
        <f t="shared" si="189"/>
        <v>14</v>
      </c>
      <c r="C483" s="68"/>
      <c r="D483" s="68"/>
      <c r="E483" s="68">
        <v>322001</v>
      </c>
      <c r="F483" s="3" t="s">
        <v>294</v>
      </c>
      <c r="G483" s="208">
        <f>SUM(G484:G498)</f>
        <v>7070710</v>
      </c>
      <c r="H483" s="19">
        <f t="shared" ref="H483" si="199">SUM(H484:H498)</f>
        <v>0</v>
      </c>
      <c r="I483" s="297">
        <f t="shared" si="191"/>
        <v>7070710</v>
      </c>
    </row>
    <row r="484" spans="2:9" x14ac:dyDescent="0.2">
      <c r="B484" s="120">
        <f t="shared" si="189"/>
        <v>15</v>
      </c>
      <c r="C484" s="143"/>
      <c r="D484" s="144"/>
      <c r="E484" s="144"/>
      <c r="F484" s="144" t="s">
        <v>443</v>
      </c>
      <c r="G484" s="265">
        <v>821934</v>
      </c>
      <c r="H484" s="192"/>
      <c r="I484" s="328">
        <f t="shared" si="191"/>
        <v>821934</v>
      </c>
    </row>
    <row r="485" spans="2:9" x14ac:dyDescent="0.2">
      <c r="B485" s="120">
        <f t="shared" si="189"/>
        <v>16</v>
      </c>
      <c r="C485" s="145"/>
      <c r="D485" s="144"/>
      <c r="E485" s="144"/>
      <c r="F485" s="144" t="s">
        <v>444</v>
      </c>
      <c r="G485" s="265">
        <v>1116091</v>
      </c>
      <c r="H485" s="192"/>
      <c r="I485" s="328">
        <f t="shared" si="191"/>
        <v>1116091</v>
      </c>
    </row>
    <row r="486" spans="2:9" x14ac:dyDescent="0.2">
      <c r="B486" s="120">
        <f t="shared" si="189"/>
        <v>17</v>
      </c>
      <c r="C486" s="144"/>
      <c r="D486" s="144"/>
      <c r="E486" s="144"/>
      <c r="F486" s="144" t="s">
        <v>449</v>
      </c>
      <c r="G486" s="265">
        <v>823760</v>
      </c>
      <c r="H486" s="192"/>
      <c r="I486" s="328">
        <f t="shared" si="191"/>
        <v>823760</v>
      </c>
    </row>
    <row r="487" spans="2:9" x14ac:dyDescent="0.2">
      <c r="B487" s="120">
        <f t="shared" si="189"/>
        <v>18</v>
      </c>
      <c r="C487" s="144"/>
      <c r="D487" s="144"/>
      <c r="E487" s="144"/>
      <c r="F487" s="144" t="s">
        <v>529</v>
      </c>
      <c r="G487" s="265">
        <v>414720</v>
      </c>
      <c r="H487" s="192"/>
      <c r="I487" s="328">
        <f t="shared" si="191"/>
        <v>414720</v>
      </c>
    </row>
    <row r="488" spans="2:9" x14ac:dyDescent="0.2">
      <c r="B488" s="120">
        <f t="shared" si="189"/>
        <v>19</v>
      </c>
      <c r="C488" s="4"/>
      <c r="D488" s="4"/>
      <c r="E488" s="4"/>
      <c r="F488" s="4" t="s">
        <v>515</v>
      </c>
      <c r="G488" s="247">
        <v>195490</v>
      </c>
      <c r="H488" s="21"/>
      <c r="I488" s="313">
        <f t="shared" si="191"/>
        <v>195490</v>
      </c>
    </row>
    <row r="489" spans="2:9" x14ac:dyDescent="0.2">
      <c r="B489" s="120">
        <f t="shared" si="189"/>
        <v>20</v>
      </c>
      <c r="C489" s="4"/>
      <c r="D489" s="4"/>
      <c r="E489" s="4"/>
      <c r="F489" s="416" t="s">
        <v>575</v>
      </c>
      <c r="G489" s="417">
        <v>11000</v>
      </c>
      <c r="H489" s="418"/>
      <c r="I489" s="419">
        <f t="shared" si="191"/>
        <v>11000</v>
      </c>
    </row>
    <row r="490" spans="2:9" x14ac:dyDescent="0.2">
      <c r="B490" s="120">
        <f t="shared" si="189"/>
        <v>21</v>
      </c>
      <c r="C490" s="4"/>
      <c r="D490" s="4"/>
      <c r="E490" s="4"/>
      <c r="F490" s="416" t="s">
        <v>576</v>
      </c>
      <c r="G490" s="417">
        <v>535296</v>
      </c>
      <c r="H490" s="418"/>
      <c r="I490" s="419">
        <f t="shared" si="191"/>
        <v>535296</v>
      </c>
    </row>
    <row r="491" spans="2:9" x14ac:dyDescent="0.2">
      <c r="B491" s="120">
        <f t="shared" si="189"/>
        <v>22</v>
      </c>
      <c r="C491" s="4"/>
      <c r="D491" s="4"/>
      <c r="E491" s="4"/>
      <c r="F491" s="149" t="s">
        <v>637</v>
      </c>
      <c r="G491" s="417">
        <v>390198</v>
      </c>
      <c r="H491" s="418"/>
      <c r="I491" s="419">
        <f t="shared" si="191"/>
        <v>390198</v>
      </c>
    </row>
    <row r="492" spans="2:9" x14ac:dyDescent="0.2">
      <c r="B492" s="120">
        <f t="shared" si="189"/>
        <v>23</v>
      </c>
      <c r="C492" s="4"/>
      <c r="D492" s="4"/>
      <c r="E492" s="4"/>
      <c r="F492" s="149" t="s">
        <v>638</v>
      </c>
      <c r="G492" s="417">
        <v>98610</v>
      </c>
      <c r="H492" s="418"/>
      <c r="I492" s="419">
        <f t="shared" si="191"/>
        <v>98610</v>
      </c>
    </row>
    <row r="493" spans="2:9" ht="22.5" x14ac:dyDescent="0.2">
      <c r="B493" s="120">
        <f t="shared" si="189"/>
        <v>24</v>
      </c>
      <c r="C493" s="4"/>
      <c r="D493" s="4"/>
      <c r="E493" s="4"/>
      <c r="F493" s="177" t="s">
        <v>643</v>
      </c>
      <c r="G493" s="417">
        <v>547200</v>
      </c>
      <c r="H493" s="418"/>
      <c r="I493" s="419">
        <f t="shared" si="191"/>
        <v>547200</v>
      </c>
    </row>
    <row r="494" spans="2:9" ht="22.5" x14ac:dyDescent="0.2">
      <c r="B494" s="120">
        <f t="shared" si="189"/>
        <v>25</v>
      </c>
      <c r="C494" s="4"/>
      <c r="D494" s="4"/>
      <c r="E494" s="4"/>
      <c r="F494" s="177" t="s">
        <v>639</v>
      </c>
      <c r="G494" s="417">
        <v>115332</v>
      </c>
      <c r="H494" s="418"/>
      <c r="I494" s="419">
        <f t="shared" si="191"/>
        <v>115332</v>
      </c>
    </row>
    <row r="495" spans="2:9" ht="22.5" x14ac:dyDescent="0.2">
      <c r="B495" s="120">
        <f t="shared" si="189"/>
        <v>26</v>
      </c>
      <c r="C495" s="4"/>
      <c r="D495" s="4"/>
      <c r="E495" s="4"/>
      <c r="F495" s="177" t="s">
        <v>640</v>
      </c>
      <c r="G495" s="417">
        <v>170897</v>
      </c>
      <c r="H495" s="418"/>
      <c r="I495" s="419">
        <f t="shared" si="191"/>
        <v>170897</v>
      </c>
    </row>
    <row r="496" spans="2:9" ht="33.75" x14ac:dyDescent="0.2">
      <c r="B496" s="120">
        <f t="shared" si="189"/>
        <v>27</v>
      </c>
      <c r="C496" s="4"/>
      <c r="D496" s="4"/>
      <c r="E496" s="4"/>
      <c r="F496" s="177" t="s">
        <v>641</v>
      </c>
      <c r="G496" s="417">
        <v>264194</v>
      </c>
      <c r="H496" s="418"/>
      <c r="I496" s="419">
        <f t="shared" si="191"/>
        <v>264194</v>
      </c>
    </row>
    <row r="497" spans="2:9" ht="33.75" x14ac:dyDescent="0.2">
      <c r="B497" s="120">
        <f t="shared" si="189"/>
        <v>28</v>
      </c>
      <c r="C497" s="4"/>
      <c r="D497" s="4"/>
      <c r="E497" s="4"/>
      <c r="F497" s="177" t="s">
        <v>644</v>
      </c>
      <c r="G497" s="417">
        <v>759881</v>
      </c>
      <c r="H497" s="418"/>
      <c r="I497" s="419">
        <f t="shared" si="191"/>
        <v>759881</v>
      </c>
    </row>
    <row r="498" spans="2:9" ht="13.5" thickBot="1" x14ac:dyDescent="0.25">
      <c r="B498" s="120">
        <f t="shared" si="189"/>
        <v>29</v>
      </c>
      <c r="C498" s="4"/>
      <c r="D498" s="4"/>
      <c r="E498" s="4"/>
      <c r="F498" s="149" t="s">
        <v>642</v>
      </c>
      <c r="G498" s="417">
        <v>806107</v>
      </c>
      <c r="H498" s="418"/>
      <c r="I498" s="419">
        <f t="shared" si="191"/>
        <v>806107</v>
      </c>
    </row>
    <row r="499" spans="2:9" ht="15.75" thickBot="1" x14ac:dyDescent="0.3">
      <c r="B499" s="120">
        <f t="shared" si="189"/>
        <v>30</v>
      </c>
      <c r="C499" s="75">
        <v>9</v>
      </c>
      <c r="D499" s="157"/>
      <c r="E499" s="76"/>
      <c r="F499" s="9" t="s">
        <v>8</v>
      </c>
      <c r="G499" s="299">
        <f>G500</f>
        <v>966</v>
      </c>
      <c r="H499" s="319">
        <f t="shared" ref="H499:H500" si="200">H500</f>
        <v>0</v>
      </c>
      <c r="I499" s="307">
        <f t="shared" si="191"/>
        <v>966</v>
      </c>
    </row>
    <row r="500" spans="2:9" x14ac:dyDescent="0.2">
      <c r="B500" s="120">
        <f t="shared" si="189"/>
        <v>31</v>
      </c>
      <c r="C500" s="71">
        <v>320</v>
      </c>
      <c r="D500" s="158"/>
      <c r="E500" s="72"/>
      <c r="F500" s="2" t="s">
        <v>293</v>
      </c>
      <c r="G500" s="207">
        <f>G501</f>
        <v>966</v>
      </c>
      <c r="H500" s="18">
        <f t="shared" si="200"/>
        <v>0</v>
      </c>
      <c r="I500" s="309">
        <f t="shared" si="191"/>
        <v>966</v>
      </c>
    </row>
    <row r="501" spans="2:9" x14ac:dyDescent="0.2">
      <c r="B501" s="120">
        <f t="shared" si="189"/>
        <v>32</v>
      </c>
      <c r="C501" s="73"/>
      <c r="D501" s="68">
        <v>321</v>
      </c>
      <c r="E501" s="74"/>
      <c r="F501" s="3" t="s">
        <v>565</v>
      </c>
      <c r="G501" s="208">
        <v>966</v>
      </c>
      <c r="H501" s="19"/>
      <c r="I501" s="297">
        <f t="shared" si="191"/>
        <v>966</v>
      </c>
    </row>
    <row r="502" spans="2:9" ht="15.75" thickBot="1" x14ac:dyDescent="0.25">
      <c r="B502" s="120">
        <f t="shared" si="189"/>
        <v>33</v>
      </c>
      <c r="C502" s="180"/>
      <c r="D502" s="180"/>
      <c r="E502" s="180"/>
      <c r="F502" s="181" t="s">
        <v>44</v>
      </c>
      <c r="G502" s="326">
        <f>G470+G477</f>
        <v>8024464</v>
      </c>
      <c r="H502" s="332">
        <f t="shared" ref="H502" si="201">H470+H477</f>
        <v>0</v>
      </c>
      <c r="I502" s="329">
        <f t="shared" si="191"/>
        <v>8024464</v>
      </c>
    </row>
    <row r="503" spans="2:9" ht="13.5" thickBot="1" x14ac:dyDescent="0.25"/>
    <row r="504" spans="2:9" ht="12.75" customHeight="1" x14ac:dyDescent="0.2">
      <c r="B504" s="424" t="s">
        <v>45</v>
      </c>
      <c r="C504" s="425"/>
      <c r="D504" s="425"/>
      <c r="E504" s="425"/>
      <c r="F504" s="426"/>
      <c r="G504" s="421" t="s">
        <v>665</v>
      </c>
      <c r="H504" s="438" t="s">
        <v>666</v>
      </c>
      <c r="I504" s="441" t="s">
        <v>665</v>
      </c>
    </row>
    <row r="505" spans="2:9" x14ac:dyDescent="0.2">
      <c r="B505" s="427"/>
      <c r="C505" s="428"/>
      <c r="D505" s="428"/>
      <c r="E505" s="428"/>
      <c r="F505" s="429"/>
      <c r="G505" s="422"/>
      <c r="H505" s="439"/>
      <c r="I505" s="442"/>
    </row>
    <row r="506" spans="2:9" x14ac:dyDescent="0.2">
      <c r="B506" s="434" t="s">
        <v>119</v>
      </c>
      <c r="C506" s="436" t="s">
        <v>120</v>
      </c>
      <c r="D506" s="430" t="s">
        <v>121</v>
      </c>
      <c r="E506" s="430" t="s">
        <v>123</v>
      </c>
      <c r="F506" s="432" t="s">
        <v>122</v>
      </c>
      <c r="G506" s="422"/>
      <c r="H506" s="439"/>
      <c r="I506" s="442"/>
    </row>
    <row r="507" spans="2:9" ht="13.5" thickBot="1" x14ac:dyDescent="0.25">
      <c r="B507" s="435"/>
      <c r="C507" s="437"/>
      <c r="D507" s="431"/>
      <c r="E507" s="431"/>
      <c r="F507" s="433"/>
      <c r="G507" s="423"/>
      <c r="H507" s="440"/>
      <c r="I507" s="443"/>
    </row>
    <row r="508" spans="2:9" ht="15.75" thickTop="1" x14ac:dyDescent="0.2">
      <c r="B508" s="127">
        <v>1</v>
      </c>
      <c r="C508" s="1"/>
      <c r="D508" s="1"/>
      <c r="E508" s="1"/>
      <c r="F508" s="1" t="s">
        <v>124</v>
      </c>
      <c r="G508" s="333">
        <f>G464</f>
        <v>42387647</v>
      </c>
      <c r="H508" s="337">
        <f t="shared" ref="H508" si="202">H464</f>
        <v>165922</v>
      </c>
      <c r="I508" s="335">
        <f>G508+H508</f>
        <v>42553569</v>
      </c>
    </row>
    <row r="509" spans="2:9" ht="15.75" thickBot="1" x14ac:dyDescent="0.25">
      <c r="B509" s="127">
        <v>2</v>
      </c>
      <c r="C509" s="1"/>
      <c r="D509" s="1"/>
      <c r="E509" s="1"/>
      <c r="F509" s="1" t="s">
        <v>44</v>
      </c>
      <c r="G509" s="333">
        <f>G502</f>
        <v>8024464</v>
      </c>
      <c r="H509" s="337">
        <f t="shared" ref="H509" si="203">H502</f>
        <v>0</v>
      </c>
      <c r="I509" s="335">
        <f t="shared" ref="I509:I510" si="204">G509+H509</f>
        <v>8024464</v>
      </c>
    </row>
    <row r="510" spans="2:9" ht="16.5" thickTop="1" thickBot="1" x14ac:dyDescent="0.25">
      <c r="B510" s="128">
        <v>3</v>
      </c>
      <c r="C510" s="129"/>
      <c r="D510" s="129"/>
      <c r="E510" s="129"/>
      <c r="F510" s="129" t="s">
        <v>45</v>
      </c>
      <c r="G510" s="334">
        <f>G509+G508</f>
        <v>50412111</v>
      </c>
      <c r="H510" s="338">
        <f t="shared" ref="H510" si="205">H509+H508</f>
        <v>165922</v>
      </c>
      <c r="I510" s="336">
        <f t="shared" si="204"/>
        <v>50578033</v>
      </c>
    </row>
    <row r="511" spans="2:9" x14ac:dyDescent="0.2">
      <c r="H511" s="17"/>
      <c r="I511" s="17"/>
    </row>
    <row r="512" spans="2:9" s="17" customFormat="1" x14ac:dyDescent="0.2">
      <c r="B512" s="16"/>
    </row>
  </sheetData>
  <mergeCells count="28">
    <mergeCell ref="I2:I5"/>
    <mergeCell ref="H466:H469"/>
    <mergeCell ref="I466:I469"/>
    <mergeCell ref="H504:H507"/>
    <mergeCell ref="I504:I507"/>
    <mergeCell ref="B506:B507"/>
    <mergeCell ref="C506:C507"/>
    <mergeCell ref="D506:D507"/>
    <mergeCell ref="E506:E507"/>
    <mergeCell ref="G504:G507"/>
    <mergeCell ref="F506:F507"/>
    <mergeCell ref="B504:F505"/>
    <mergeCell ref="B1:I1"/>
    <mergeCell ref="G466:G469"/>
    <mergeCell ref="B2:F3"/>
    <mergeCell ref="E4:E5"/>
    <mergeCell ref="B466:F467"/>
    <mergeCell ref="G2:G5"/>
    <mergeCell ref="F4:F5"/>
    <mergeCell ref="D468:D469"/>
    <mergeCell ref="E468:E469"/>
    <mergeCell ref="F468:F469"/>
    <mergeCell ref="B468:B469"/>
    <mergeCell ref="C468:C469"/>
    <mergeCell ref="B4:B5"/>
    <mergeCell ref="C4:C5"/>
    <mergeCell ref="D4:D5"/>
    <mergeCell ref="H2:H5"/>
  </mergeCells>
  <phoneticPr fontId="1" type="noConversion"/>
  <pageMargins left="0.23622047244094491" right="0.23622047244094491" top="0.15748031496062992" bottom="0.15748031496062992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3:AQ2018"/>
  <sheetViews>
    <sheetView zoomScale="90" zoomScaleNormal="90" workbookViewId="0"/>
  </sheetViews>
  <sheetFormatPr defaultRowHeight="12.75" x14ac:dyDescent="0.2"/>
  <cols>
    <col min="1" max="1" width="4.7109375" customWidth="1"/>
    <col min="2" max="2" width="3.85546875" customWidth="1"/>
    <col min="3" max="3" width="2.85546875" customWidth="1"/>
    <col min="4" max="4" width="2.5703125" customWidth="1"/>
    <col min="5" max="5" width="3.140625" customWidth="1"/>
    <col min="6" max="6" width="5.28515625" style="15" customWidth="1"/>
    <col min="7" max="7" width="5" customWidth="1"/>
    <col min="8" max="8" width="38.85546875" customWidth="1"/>
    <col min="9" max="9" width="14.140625" style="17" customWidth="1"/>
    <col min="10" max="10" width="11" style="17" customWidth="1"/>
    <col min="11" max="11" width="12.5703125" style="17" customWidth="1"/>
    <col min="12" max="12" width="1.42578125" style="268" customWidth="1"/>
    <col min="13" max="13" width="12.7109375" style="17" customWidth="1"/>
    <col min="14" max="14" width="10.42578125" style="17" customWidth="1"/>
    <col min="15" max="15" width="12.42578125" style="17" customWidth="1"/>
    <col min="16" max="16" width="1.7109375" style="268" customWidth="1"/>
    <col min="17" max="17" width="12.5703125" style="17" customWidth="1"/>
    <col min="18" max="18" width="11" style="53" customWidth="1"/>
    <col min="19" max="19" width="14.28515625" style="53" customWidth="1"/>
    <col min="20" max="20" width="12.140625" style="53" customWidth="1"/>
    <col min="21" max="21" width="9.140625" style="53"/>
    <col min="22" max="22" width="11.140625" style="53" customWidth="1"/>
    <col min="23" max="23" width="9.140625" style="53" customWidth="1"/>
    <col min="24" max="24" width="8" style="53" customWidth="1"/>
    <col min="25" max="39" width="9.140625" style="53"/>
    <col min="40" max="40" width="6" style="53" customWidth="1"/>
    <col min="41" max="43" width="9.140625" style="53"/>
  </cols>
  <sheetData>
    <row r="3" spans="2:40" ht="27.75" thickBot="1" x14ac:dyDescent="0.4">
      <c r="B3" s="455" t="s">
        <v>498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</row>
    <row r="4" spans="2:40" ht="13.5" customHeight="1" thickBot="1" x14ac:dyDescent="0.25">
      <c r="B4" s="452" t="s">
        <v>359</v>
      </c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4"/>
      <c r="P4" s="351"/>
      <c r="Q4" s="457" t="s">
        <v>667</v>
      </c>
      <c r="R4" s="488" t="s">
        <v>668</v>
      </c>
      <c r="S4" s="491" t="s">
        <v>669</v>
      </c>
      <c r="AN4" s="78"/>
    </row>
    <row r="5" spans="2:40" ht="12.75" customHeight="1" thickBot="1" x14ac:dyDescent="0.25">
      <c r="B5" s="466"/>
      <c r="C5" s="460" t="s">
        <v>125</v>
      </c>
      <c r="D5" s="460" t="s">
        <v>126</v>
      </c>
      <c r="E5" s="460"/>
      <c r="F5" s="460" t="s">
        <v>127</v>
      </c>
      <c r="G5" s="470" t="s">
        <v>128</v>
      </c>
      <c r="H5" s="473" t="s">
        <v>129</v>
      </c>
      <c r="I5" s="463" t="s">
        <v>670</v>
      </c>
      <c r="J5" s="495" t="s">
        <v>668</v>
      </c>
      <c r="K5" s="491" t="s">
        <v>671</v>
      </c>
      <c r="L5" s="53"/>
      <c r="M5" s="474" t="s">
        <v>672</v>
      </c>
      <c r="N5" s="488" t="s">
        <v>668</v>
      </c>
      <c r="O5" s="491" t="s">
        <v>671</v>
      </c>
      <c r="P5" s="53"/>
      <c r="Q5" s="458"/>
      <c r="R5" s="489"/>
      <c r="S5" s="492"/>
      <c r="AN5" s="79"/>
    </row>
    <row r="6" spans="2:40" ht="13.5" thickBot="1" x14ac:dyDescent="0.25">
      <c r="B6" s="466"/>
      <c r="C6" s="461"/>
      <c r="D6" s="461"/>
      <c r="E6" s="461"/>
      <c r="F6" s="461"/>
      <c r="G6" s="471"/>
      <c r="H6" s="473"/>
      <c r="I6" s="463"/>
      <c r="J6" s="495"/>
      <c r="K6" s="492"/>
      <c r="L6" s="53"/>
      <c r="M6" s="475"/>
      <c r="N6" s="489"/>
      <c r="O6" s="492"/>
      <c r="P6" s="53"/>
      <c r="Q6" s="458"/>
      <c r="R6" s="489"/>
      <c r="S6" s="492"/>
      <c r="V6" s="80"/>
      <c r="W6" s="80"/>
      <c r="AN6" s="79"/>
    </row>
    <row r="7" spans="2:40" ht="18.75" customHeight="1" thickBot="1" x14ac:dyDescent="0.25">
      <c r="B7" s="466"/>
      <c r="C7" s="461"/>
      <c r="D7" s="461"/>
      <c r="E7" s="461"/>
      <c r="F7" s="461"/>
      <c r="G7" s="471"/>
      <c r="H7" s="473"/>
      <c r="I7" s="463"/>
      <c r="J7" s="495"/>
      <c r="K7" s="492"/>
      <c r="L7" s="53"/>
      <c r="M7" s="475"/>
      <c r="N7" s="489"/>
      <c r="O7" s="492"/>
      <c r="P7" s="53"/>
      <c r="Q7" s="458"/>
      <c r="R7" s="489"/>
      <c r="S7" s="492"/>
      <c r="AN7" s="79"/>
    </row>
    <row r="8" spans="2:40" ht="18.75" customHeight="1" thickBot="1" x14ac:dyDescent="0.25">
      <c r="B8" s="466"/>
      <c r="C8" s="462"/>
      <c r="D8" s="462"/>
      <c r="E8" s="462"/>
      <c r="F8" s="462"/>
      <c r="G8" s="472"/>
      <c r="H8" s="473"/>
      <c r="I8" s="464"/>
      <c r="J8" s="496"/>
      <c r="K8" s="493"/>
      <c r="L8" s="53"/>
      <c r="M8" s="476"/>
      <c r="N8" s="490"/>
      <c r="O8" s="493"/>
      <c r="P8" s="53"/>
      <c r="Q8" s="459"/>
      <c r="R8" s="490"/>
      <c r="S8" s="493"/>
      <c r="AN8" s="79"/>
    </row>
    <row r="9" spans="2:40" ht="18" x14ac:dyDescent="0.2">
      <c r="B9" s="81">
        <v>1</v>
      </c>
      <c r="C9" s="468" t="s">
        <v>42</v>
      </c>
      <c r="D9" s="469"/>
      <c r="E9" s="469"/>
      <c r="F9" s="469"/>
      <c r="G9" s="469"/>
      <c r="H9" s="469"/>
      <c r="I9" s="52">
        <f>I64+I61+I53+I42+I30+I10</f>
        <v>576458</v>
      </c>
      <c r="J9" s="52">
        <f>J64+J61+J53+J42+J30+J10</f>
        <v>-105</v>
      </c>
      <c r="K9" s="359">
        <f>J9+I9</f>
        <v>576353</v>
      </c>
      <c r="L9" s="267"/>
      <c r="M9" s="348">
        <f>M10+M30+M42+M50+M51+M52+M53+M61+M64</f>
        <v>209697</v>
      </c>
      <c r="N9" s="35">
        <f>N10+N30+N42+N50+N51+N52+N53+N61+N64</f>
        <v>-17000</v>
      </c>
      <c r="O9" s="82">
        <f>N9+M9</f>
        <v>192697</v>
      </c>
      <c r="P9" s="352"/>
      <c r="Q9" s="340">
        <f t="shared" ref="Q9:Q40" si="0">I9+M9</f>
        <v>786155</v>
      </c>
      <c r="R9" s="341">
        <f t="shared" ref="R9:R64" si="1">J9+N9</f>
        <v>-17105</v>
      </c>
      <c r="S9" s="82">
        <f t="shared" ref="S9:S64" si="2">K9+O9</f>
        <v>769050</v>
      </c>
      <c r="AN9" s="79"/>
    </row>
    <row r="10" spans="2:40" ht="15" x14ac:dyDescent="0.2">
      <c r="B10" s="83">
        <f>B9+1</f>
        <v>2</v>
      </c>
      <c r="C10" s="243">
        <v>1</v>
      </c>
      <c r="D10" s="465" t="s">
        <v>205</v>
      </c>
      <c r="E10" s="451"/>
      <c r="F10" s="451"/>
      <c r="G10" s="451"/>
      <c r="H10" s="451"/>
      <c r="I10" s="36">
        <f>I24+I21+I18+I11</f>
        <v>156500</v>
      </c>
      <c r="J10" s="36"/>
      <c r="K10" s="84">
        <f t="shared" ref="K10:K64" si="3">J10+I10</f>
        <v>156500</v>
      </c>
      <c r="L10" s="353"/>
      <c r="M10" s="342">
        <v>0</v>
      </c>
      <c r="N10" s="244"/>
      <c r="O10" s="84">
        <f t="shared" ref="O10:O64" si="4">N10+M10</f>
        <v>0</v>
      </c>
      <c r="P10" s="353"/>
      <c r="Q10" s="342">
        <f t="shared" si="0"/>
        <v>156500</v>
      </c>
      <c r="R10" s="36">
        <f t="shared" si="1"/>
        <v>0</v>
      </c>
      <c r="S10" s="84">
        <f t="shared" si="2"/>
        <v>156500</v>
      </c>
      <c r="AN10" s="79"/>
    </row>
    <row r="11" spans="2:40" ht="15" x14ac:dyDescent="0.25">
      <c r="B11" s="83">
        <f>B10+1</f>
        <v>3</v>
      </c>
      <c r="C11" s="242"/>
      <c r="D11" s="242">
        <v>1</v>
      </c>
      <c r="E11" s="450" t="s">
        <v>219</v>
      </c>
      <c r="F11" s="451"/>
      <c r="G11" s="451"/>
      <c r="H11" s="451"/>
      <c r="I11" s="37">
        <f>I12</f>
        <v>21500</v>
      </c>
      <c r="J11" s="37"/>
      <c r="K11" s="85">
        <f t="shared" si="3"/>
        <v>21500</v>
      </c>
      <c r="L11" s="354"/>
      <c r="M11" s="343"/>
      <c r="N11" s="245"/>
      <c r="O11" s="85">
        <f t="shared" si="4"/>
        <v>0</v>
      </c>
      <c r="P11" s="354"/>
      <c r="Q11" s="343">
        <f t="shared" si="0"/>
        <v>21500</v>
      </c>
      <c r="R11" s="37">
        <f t="shared" si="1"/>
        <v>0</v>
      </c>
      <c r="S11" s="85">
        <f t="shared" si="2"/>
        <v>21500</v>
      </c>
      <c r="AN11" s="79"/>
    </row>
    <row r="12" spans="2:40" x14ac:dyDescent="0.2">
      <c r="B12" s="83">
        <f t="shared" ref="B12:B64" si="5">B11+1</f>
        <v>4</v>
      </c>
      <c r="C12" s="7"/>
      <c r="D12" s="7"/>
      <c r="E12" s="7"/>
      <c r="F12" s="25" t="s">
        <v>81</v>
      </c>
      <c r="G12" s="7">
        <v>630</v>
      </c>
      <c r="H12" s="7" t="s">
        <v>132</v>
      </c>
      <c r="I12" s="23">
        <f>SUM(I13:I17)</f>
        <v>21500</v>
      </c>
      <c r="J12" s="23"/>
      <c r="K12" s="86">
        <f t="shared" si="3"/>
        <v>21500</v>
      </c>
      <c r="L12" s="355"/>
      <c r="M12" s="344"/>
      <c r="N12" s="246"/>
      <c r="O12" s="86">
        <f t="shared" si="4"/>
        <v>0</v>
      </c>
      <c r="P12" s="355"/>
      <c r="Q12" s="344">
        <f t="shared" si="0"/>
        <v>21500</v>
      </c>
      <c r="R12" s="23">
        <f t="shared" si="1"/>
        <v>0</v>
      </c>
      <c r="S12" s="86">
        <f t="shared" si="2"/>
        <v>21500</v>
      </c>
      <c r="AN12" s="79"/>
    </row>
    <row r="13" spans="2:40" x14ac:dyDescent="0.2">
      <c r="B13" s="83">
        <f t="shared" si="5"/>
        <v>5</v>
      </c>
      <c r="C13" s="3"/>
      <c r="D13" s="3"/>
      <c r="E13" s="3"/>
      <c r="F13" s="26" t="s">
        <v>81</v>
      </c>
      <c r="G13" s="3">
        <v>631</v>
      </c>
      <c r="H13" s="3" t="s">
        <v>138</v>
      </c>
      <c r="I13" s="19">
        <v>4500</v>
      </c>
      <c r="J13" s="19"/>
      <c r="K13" s="87">
        <f t="shared" si="3"/>
        <v>4500</v>
      </c>
      <c r="L13" s="356"/>
      <c r="M13" s="345"/>
      <c r="N13" s="208"/>
      <c r="O13" s="87">
        <f t="shared" si="4"/>
        <v>0</v>
      </c>
      <c r="P13" s="356"/>
      <c r="Q13" s="345">
        <f t="shared" si="0"/>
        <v>4500</v>
      </c>
      <c r="R13" s="19">
        <f t="shared" si="1"/>
        <v>0</v>
      </c>
      <c r="S13" s="87">
        <f t="shared" si="2"/>
        <v>4500</v>
      </c>
      <c r="AN13" s="60"/>
    </row>
    <row r="14" spans="2:40" x14ac:dyDescent="0.2">
      <c r="B14" s="83">
        <f t="shared" si="5"/>
        <v>6</v>
      </c>
      <c r="C14" s="3"/>
      <c r="D14" s="3"/>
      <c r="E14" s="3"/>
      <c r="F14" s="26" t="s">
        <v>81</v>
      </c>
      <c r="G14" s="3">
        <v>633</v>
      </c>
      <c r="H14" s="3" t="s">
        <v>136</v>
      </c>
      <c r="I14" s="19">
        <f>8000+2000</f>
        <v>10000</v>
      </c>
      <c r="J14" s="19"/>
      <c r="K14" s="87">
        <f t="shared" si="3"/>
        <v>10000</v>
      </c>
      <c r="L14" s="356"/>
      <c r="M14" s="345"/>
      <c r="N14" s="208"/>
      <c r="O14" s="87">
        <f t="shared" si="4"/>
        <v>0</v>
      </c>
      <c r="P14" s="356"/>
      <c r="Q14" s="345">
        <f t="shared" si="0"/>
        <v>10000</v>
      </c>
      <c r="R14" s="19">
        <f t="shared" si="1"/>
        <v>0</v>
      </c>
      <c r="S14" s="87">
        <f t="shared" si="2"/>
        <v>10000</v>
      </c>
    </row>
    <row r="15" spans="2:40" x14ac:dyDescent="0.2">
      <c r="B15" s="83">
        <f t="shared" si="5"/>
        <v>7</v>
      </c>
      <c r="C15" s="3"/>
      <c r="D15" s="3"/>
      <c r="E15" s="3"/>
      <c r="F15" s="26" t="s">
        <v>81</v>
      </c>
      <c r="G15" s="3">
        <v>634</v>
      </c>
      <c r="H15" s="3" t="s">
        <v>143</v>
      </c>
      <c r="I15" s="19">
        <f>500+550</f>
        <v>1050</v>
      </c>
      <c r="J15" s="19"/>
      <c r="K15" s="87">
        <f t="shared" si="3"/>
        <v>1050</v>
      </c>
      <c r="L15" s="356"/>
      <c r="M15" s="345"/>
      <c r="N15" s="208"/>
      <c r="O15" s="87">
        <f t="shared" si="4"/>
        <v>0</v>
      </c>
      <c r="P15" s="356"/>
      <c r="Q15" s="345">
        <f t="shared" si="0"/>
        <v>1050</v>
      </c>
      <c r="R15" s="19">
        <f t="shared" si="1"/>
        <v>0</v>
      </c>
      <c r="S15" s="87">
        <f t="shared" si="2"/>
        <v>1050</v>
      </c>
    </row>
    <row r="16" spans="2:40" x14ac:dyDescent="0.2">
      <c r="B16" s="83">
        <f t="shared" si="5"/>
        <v>8</v>
      </c>
      <c r="C16" s="3"/>
      <c r="D16" s="3"/>
      <c r="E16" s="3"/>
      <c r="F16" s="26" t="s">
        <v>81</v>
      </c>
      <c r="G16" s="3">
        <v>636</v>
      </c>
      <c r="H16" s="3" t="s">
        <v>137</v>
      </c>
      <c r="I16" s="19">
        <v>500</v>
      </c>
      <c r="J16" s="19"/>
      <c r="K16" s="87">
        <f t="shared" si="3"/>
        <v>500</v>
      </c>
      <c r="L16" s="356"/>
      <c r="M16" s="345"/>
      <c r="N16" s="208"/>
      <c r="O16" s="87">
        <f t="shared" si="4"/>
        <v>0</v>
      </c>
      <c r="P16" s="356"/>
      <c r="Q16" s="345">
        <f t="shared" si="0"/>
        <v>500</v>
      </c>
      <c r="R16" s="19">
        <f t="shared" si="1"/>
        <v>0</v>
      </c>
      <c r="S16" s="87">
        <f t="shared" si="2"/>
        <v>500</v>
      </c>
    </row>
    <row r="17" spans="2:19" x14ac:dyDescent="0.2">
      <c r="B17" s="83">
        <f t="shared" si="5"/>
        <v>9</v>
      </c>
      <c r="C17" s="3"/>
      <c r="D17" s="3"/>
      <c r="E17" s="3"/>
      <c r="F17" s="26" t="s">
        <v>81</v>
      </c>
      <c r="G17" s="3">
        <v>637</v>
      </c>
      <c r="H17" s="3" t="s">
        <v>133</v>
      </c>
      <c r="I17" s="19">
        <f>6000-550</f>
        <v>5450</v>
      </c>
      <c r="J17" s="19"/>
      <c r="K17" s="87">
        <f t="shared" si="3"/>
        <v>5450</v>
      </c>
      <c r="L17" s="356"/>
      <c r="M17" s="345"/>
      <c r="N17" s="208"/>
      <c r="O17" s="87">
        <f t="shared" si="4"/>
        <v>0</v>
      </c>
      <c r="P17" s="356"/>
      <c r="Q17" s="345">
        <f t="shared" si="0"/>
        <v>5450</v>
      </c>
      <c r="R17" s="19">
        <f t="shared" si="1"/>
        <v>0</v>
      </c>
      <c r="S17" s="87">
        <f t="shared" si="2"/>
        <v>5450</v>
      </c>
    </row>
    <row r="18" spans="2:19" ht="15" x14ac:dyDescent="0.25">
      <c r="B18" s="83">
        <f t="shared" si="5"/>
        <v>10</v>
      </c>
      <c r="C18" s="242"/>
      <c r="D18" s="242">
        <v>2</v>
      </c>
      <c r="E18" s="467" t="s">
        <v>246</v>
      </c>
      <c r="F18" s="445"/>
      <c r="G18" s="445"/>
      <c r="H18" s="446"/>
      <c r="I18" s="37">
        <f>I19</f>
        <v>2000</v>
      </c>
      <c r="J18" s="37"/>
      <c r="K18" s="85">
        <f t="shared" si="3"/>
        <v>2000</v>
      </c>
      <c r="L18" s="354"/>
      <c r="M18" s="343">
        <v>0</v>
      </c>
      <c r="N18" s="245"/>
      <c r="O18" s="85">
        <f t="shared" si="4"/>
        <v>0</v>
      </c>
      <c r="P18" s="354"/>
      <c r="Q18" s="343">
        <f t="shared" si="0"/>
        <v>2000</v>
      </c>
      <c r="R18" s="37">
        <f t="shared" si="1"/>
        <v>0</v>
      </c>
      <c r="S18" s="85">
        <f t="shared" si="2"/>
        <v>2000</v>
      </c>
    </row>
    <row r="19" spans="2:19" x14ac:dyDescent="0.2">
      <c r="B19" s="83">
        <f t="shared" si="5"/>
        <v>11</v>
      </c>
      <c r="C19" s="7"/>
      <c r="D19" s="7"/>
      <c r="E19" s="7"/>
      <c r="F19" s="25" t="s">
        <v>81</v>
      </c>
      <c r="G19" s="7">
        <v>630</v>
      </c>
      <c r="H19" s="7" t="s">
        <v>132</v>
      </c>
      <c r="I19" s="23">
        <f>I20</f>
        <v>2000</v>
      </c>
      <c r="J19" s="23"/>
      <c r="K19" s="86">
        <f t="shared" si="3"/>
        <v>2000</v>
      </c>
      <c r="L19" s="355"/>
      <c r="M19" s="344"/>
      <c r="N19" s="246"/>
      <c r="O19" s="86">
        <f t="shared" si="4"/>
        <v>0</v>
      </c>
      <c r="P19" s="355"/>
      <c r="Q19" s="344">
        <f t="shared" si="0"/>
        <v>2000</v>
      </c>
      <c r="R19" s="23">
        <f t="shared" si="1"/>
        <v>0</v>
      </c>
      <c r="S19" s="86">
        <f t="shared" si="2"/>
        <v>2000</v>
      </c>
    </row>
    <row r="20" spans="2:19" x14ac:dyDescent="0.2">
      <c r="B20" s="83">
        <f t="shared" si="5"/>
        <v>12</v>
      </c>
      <c r="C20" s="3"/>
      <c r="D20" s="3"/>
      <c r="E20" s="3"/>
      <c r="F20" s="26" t="s">
        <v>81</v>
      </c>
      <c r="G20" s="3">
        <v>633</v>
      </c>
      <c r="H20" s="3" t="s">
        <v>136</v>
      </c>
      <c r="I20" s="19">
        <v>2000</v>
      </c>
      <c r="J20" s="19"/>
      <c r="K20" s="87">
        <f t="shared" si="3"/>
        <v>2000</v>
      </c>
      <c r="L20" s="356"/>
      <c r="M20" s="345"/>
      <c r="N20" s="208"/>
      <c r="O20" s="87">
        <f t="shared" si="4"/>
        <v>0</v>
      </c>
      <c r="P20" s="356"/>
      <c r="Q20" s="345">
        <f t="shared" si="0"/>
        <v>2000</v>
      </c>
      <c r="R20" s="19">
        <f t="shared" si="1"/>
        <v>0</v>
      </c>
      <c r="S20" s="87">
        <f t="shared" si="2"/>
        <v>2000</v>
      </c>
    </row>
    <row r="21" spans="2:19" ht="15" x14ac:dyDescent="0.25">
      <c r="B21" s="83">
        <f t="shared" si="5"/>
        <v>13</v>
      </c>
      <c r="C21" s="242"/>
      <c r="D21" s="242">
        <v>3</v>
      </c>
      <c r="E21" s="467" t="s">
        <v>247</v>
      </c>
      <c r="F21" s="445"/>
      <c r="G21" s="445"/>
      <c r="H21" s="446"/>
      <c r="I21" s="37">
        <f>I22</f>
        <v>1000</v>
      </c>
      <c r="J21" s="37"/>
      <c r="K21" s="85">
        <f t="shared" si="3"/>
        <v>1000</v>
      </c>
      <c r="L21" s="354"/>
      <c r="M21" s="343">
        <v>0</v>
      </c>
      <c r="N21" s="245"/>
      <c r="O21" s="85">
        <f t="shared" si="4"/>
        <v>0</v>
      </c>
      <c r="P21" s="354"/>
      <c r="Q21" s="343">
        <f t="shared" si="0"/>
        <v>1000</v>
      </c>
      <c r="R21" s="37">
        <f t="shared" si="1"/>
        <v>0</v>
      </c>
      <c r="S21" s="85">
        <f t="shared" si="2"/>
        <v>1000</v>
      </c>
    </row>
    <row r="22" spans="2:19" x14ac:dyDescent="0.2">
      <c r="B22" s="83">
        <f t="shared" si="5"/>
        <v>14</v>
      </c>
      <c r="C22" s="7"/>
      <c r="D22" s="7"/>
      <c r="E22" s="7"/>
      <c r="F22" s="25" t="s">
        <v>81</v>
      </c>
      <c r="G22" s="7">
        <v>630</v>
      </c>
      <c r="H22" s="7" t="s">
        <v>132</v>
      </c>
      <c r="I22" s="23">
        <f>I23</f>
        <v>1000</v>
      </c>
      <c r="J22" s="23"/>
      <c r="K22" s="86">
        <f t="shared" si="3"/>
        <v>1000</v>
      </c>
      <c r="L22" s="355"/>
      <c r="M22" s="344"/>
      <c r="N22" s="246"/>
      <c r="O22" s="86">
        <f t="shared" si="4"/>
        <v>0</v>
      </c>
      <c r="P22" s="355"/>
      <c r="Q22" s="344">
        <f t="shared" si="0"/>
        <v>1000</v>
      </c>
      <c r="R22" s="23">
        <f t="shared" si="1"/>
        <v>0</v>
      </c>
      <c r="S22" s="86">
        <f t="shared" si="2"/>
        <v>1000</v>
      </c>
    </row>
    <row r="23" spans="2:19" x14ac:dyDescent="0.2">
      <c r="B23" s="83">
        <f t="shared" si="5"/>
        <v>15</v>
      </c>
      <c r="C23" s="3"/>
      <c r="D23" s="3"/>
      <c r="E23" s="3"/>
      <c r="F23" s="26" t="s">
        <v>81</v>
      </c>
      <c r="G23" s="3">
        <v>633</v>
      </c>
      <c r="H23" s="3" t="s">
        <v>136</v>
      </c>
      <c r="I23" s="19">
        <v>1000</v>
      </c>
      <c r="J23" s="19"/>
      <c r="K23" s="87">
        <f t="shared" si="3"/>
        <v>1000</v>
      </c>
      <c r="L23" s="356"/>
      <c r="M23" s="345"/>
      <c r="N23" s="208"/>
      <c r="O23" s="87">
        <f t="shared" si="4"/>
        <v>0</v>
      </c>
      <c r="P23" s="356"/>
      <c r="Q23" s="345">
        <f t="shared" si="0"/>
        <v>1000</v>
      </c>
      <c r="R23" s="19">
        <f t="shared" si="1"/>
        <v>0</v>
      </c>
      <c r="S23" s="87">
        <f t="shared" si="2"/>
        <v>1000</v>
      </c>
    </row>
    <row r="24" spans="2:19" ht="15" x14ac:dyDescent="0.25">
      <c r="B24" s="83">
        <f t="shared" si="5"/>
        <v>16</v>
      </c>
      <c r="C24" s="242"/>
      <c r="D24" s="242">
        <v>4</v>
      </c>
      <c r="E24" s="467" t="s">
        <v>204</v>
      </c>
      <c r="F24" s="445"/>
      <c r="G24" s="445"/>
      <c r="H24" s="446"/>
      <c r="I24" s="37">
        <f>I25+I26</f>
        <v>132000</v>
      </c>
      <c r="J24" s="37"/>
      <c r="K24" s="85">
        <f t="shared" si="3"/>
        <v>132000</v>
      </c>
      <c r="L24" s="354"/>
      <c r="M24" s="343">
        <v>0</v>
      </c>
      <c r="N24" s="245"/>
      <c r="O24" s="85">
        <f t="shared" si="4"/>
        <v>0</v>
      </c>
      <c r="P24" s="354"/>
      <c r="Q24" s="343">
        <f t="shared" si="0"/>
        <v>132000</v>
      </c>
      <c r="R24" s="37">
        <f t="shared" si="1"/>
        <v>0</v>
      </c>
      <c r="S24" s="85">
        <f t="shared" si="2"/>
        <v>132000</v>
      </c>
    </row>
    <row r="25" spans="2:19" x14ac:dyDescent="0.2">
      <c r="B25" s="83">
        <f t="shared" si="5"/>
        <v>17</v>
      </c>
      <c r="C25" s="7"/>
      <c r="D25" s="7"/>
      <c r="E25" s="7"/>
      <c r="F25" s="25" t="s">
        <v>81</v>
      </c>
      <c r="G25" s="7">
        <v>620</v>
      </c>
      <c r="H25" s="7" t="s">
        <v>135</v>
      </c>
      <c r="I25" s="23">
        <f>39600-9000</f>
        <v>30600</v>
      </c>
      <c r="J25" s="23"/>
      <c r="K25" s="86">
        <f t="shared" si="3"/>
        <v>30600</v>
      </c>
      <c r="L25" s="355"/>
      <c r="M25" s="344"/>
      <c r="N25" s="246"/>
      <c r="O25" s="86">
        <f t="shared" si="4"/>
        <v>0</v>
      </c>
      <c r="P25" s="355"/>
      <c r="Q25" s="344">
        <f t="shared" si="0"/>
        <v>30600</v>
      </c>
      <c r="R25" s="23">
        <f t="shared" si="1"/>
        <v>0</v>
      </c>
      <c r="S25" s="86">
        <f t="shared" si="2"/>
        <v>30600</v>
      </c>
    </row>
    <row r="26" spans="2:19" x14ac:dyDescent="0.2">
      <c r="B26" s="83">
        <f t="shared" si="5"/>
        <v>18</v>
      </c>
      <c r="C26" s="7"/>
      <c r="D26" s="7"/>
      <c r="E26" s="7"/>
      <c r="F26" s="25" t="s">
        <v>81</v>
      </c>
      <c r="G26" s="7">
        <v>630</v>
      </c>
      <c r="H26" s="7" t="s">
        <v>132</v>
      </c>
      <c r="I26" s="23">
        <f>SUM(I27:I29)</f>
        <v>101400</v>
      </c>
      <c r="J26" s="23"/>
      <c r="K26" s="86">
        <f t="shared" si="3"/>
        <v>101400</v>
      </c>
      <c r="L26" s="355"/>
      <c r="M26" s="344"/>
      <c r="N26" s="246"/>
      <c r="O26" s="86">
        <f t="shared" si="4"/>
        <v>0</v>
      </c>
      <c r="P26" s="355"/>
      <c r="Q26" s="344">
        <f t="shared" si="0"/>
        <v>101400</v>
      </c>
      <c r="R26" s="23">
        <f t="shared" si="1"/>
        <v>0</v>
      </c>
      <c r="S26" s="86">
        <f t="shared" si="2"/>
        <v>101400</v>
      </c>
    </row>
    <row r="27" spans="2:19" x14ac:dyDescent="0.2">
      <c r="B27" s="83">
        <f t="shared" si="5"/>
        <v>19</v>
      </c>
      <c r="C27" s="3"/>
      <c r="D27" s="3"/>
      <c r="E27" s="3"/>
      <c r="F27" s="26" t="s">
        <v>81</v>
      </c>
      <c r="G27" s="3">
        <v>632</v>
      </c>
      <c r="H27" s="3" t="s">
        <v>145</v>
      </c>
      <c r="I27" s="19">
        <v>10600</v>
      </c>
      <c r="J27" s="19"/>
      <c r="K27" s="87">
        <f t="shared" si="3"/>
        <v>10600</v>
      </c>
      <c r="L27" s="356"/>
      <c r="M27" s="345"/>
      <c r="N27" s="208"/>
      <c r="O27" s="87">
        <f t="shared" si="4"/>
        <v>0</v>
      </c>
      <c r="P27" s="356"/>
      <c r="Q27" s="345">
        <f t="shared" si="0"/>
        <v>10600</v>
      </c>
      <c r="R27" s="19">
        <f t="shared" si="1"/>
        <v>0</v>
      </c>
      <c r="S27" s="87">
        <f t="shared" si="2"/>
        <v>10600</v>
      </c>
    </row>
    <row r="28" spans="2:19" x14ac:dyDescent="0.2">
      <c r="B28" s="83">
        <f t="shared" si="5"/>
        <v>20</v>
      </c>
      <c r="C28" s="3"/>
      <c r="D28" s="3"/>
      <c r="E28" s="3"/>
      <c r="F28" s="26" t="s">
        <v>81</v>
      </c>
      <c r="G28" s="3">
        <v>633</v>
      </c>
      <c r="H28" s="3" t="s">
        <v>136</v>
      </c>
      <c r="I28" s="19">
        <v>3000</v>
      </c>
      <c r="J28" s="19"/>
      <c r="K28" s="87">
        <f t="shared" si="3"/>
        <v>3000</v>
      </c>
      <c r="L28" s="356"/>
      <c r="M28" s="345"/>
      <c r="N28" s="208"/>
      <c r="O28" s="87">
        <f t="shared" si="4"/>
        <v>0</v>
      </c>
      <c r="P28" s="356"/>
      <c r="Q28" s="345">
        <f t="shared" si="0"/>
        <v>3000</v>
      </c>
      <c r="R28" s="19">
        <f t="shared" si="1"/>
        <v>0</v>
      </c>
      <c r="S28" s="87">
        <f t="shared" si="2"/>
        <v>3000</v>
      </c>
    </row>
    <row r="29" spans="2:19" x14ac:dyDescent="0.2">
      <c r="B29" s="83">
        <f t="shared" si="5"/>
        <v>21</v>
      </c>
      <c r="C29" s="3"/>
      <c r="D29" s="3"/>
      <c r="E29" s="3"/>
      <c r="F29" s="26" t="s">
        <v>81</v>
      </c>
      <c r="G29" s="3">
        <v>637</v>
      </c>
      <c r="H29" s="3" t="s">
        <v>133</v>
      </c>
      <c r="I29" s="19">
        <f>113500-13000-3200-8000-1500</f>
        <v>87800</v>
      </c>
      <c r="J29" s="19"/>
      <c r="K29" s="87">
        <f t="shared" si="3"/>
        <v>87800</v>
      </c>
      <c r="L29" s="356"/>
      <c r="M29" s="345"/>
      <c r="N29" s="208"/>
      <c r="O29" s="87">
        <f t="shared" si="4"/>
        <v>0</v>
      </c>
      <c r="P29" s="356"/>
      <c r="Q29" s="345">
        <f t="shared" si="0"/>
        <v>87800</v>
      </c>
      <c r="R29" s="19">
        <f t="shared" si="1"/>
        <v>0</v>
      </c>
      <c r="S29" s="87">
        <f t="shared" si="2"/>
        <v>87800</v>
      </c>
    </row>
    <row r="30" spans="2:19" ht="15" x14ac:dyDescent="0.2">
      <c r="B30" s="83">
        <f t="shared" si="5"/>
        <v>22</v>
      </c>
      <c r="C30" s="243">
        <v>2</v>
      </c>
      <c r="D30" s="444" t="s">
        <v>218</v>
      </c>
      <c r="E30" s="445"/>
      <c r="F30" s="445"/>
      <c r="G30" s="445"/>
      <c r="H30" s="446"/>
      <c r="I30" s="36">
        <f>I31+I32+I37</f>
        <v>165300</v>
      </c>
      <c r="J30" s="36"/>
      <c r="K30" s="84">
        <f t="shared" si="3"/>
        <v>165300</v>
      </c>
      <c r="L30" s="353"/>
      <c r="M30" s="342">
        <f>M37</f>
        <v>105000</v>
      </c>
      <c r="N30" s="244">
        <f>N37</f>
        <v>-17000</v>
      </c>
      <c r="O30" s="84">
        <f t="shared" si="4"/>
        <v>88000</v>
      </c>
      <c r="P30" s="353"/>
      <c r="Q30" s="342">
        <f t="shared" si="0"/>
        <v>270300</v>
      </c>
      <c r="R30" s="36">
        <f t="shared" si="1"/>
        <v>-17000</v>
      </c>
      <c r="S30" s="84">
        <f t="shared" si="2"/>
        <v>253300</v>
      </c>
    </row>
    <row r="31" spans="2:19" x14ac:dyDescent="0.2">
      <c r="B31" s="83">
        <f t="shared" si="5"/>
        <v>23</v>
      </c>
      <c r="C31" s="7"/>
      <c r="D31" s="7"/>
      <c r="E31" s="7"/>
      <c r="F31" s="25" t="s">
        <v>217</v>
      </c>
      <c r="G31" s="7">
        <v>620</v>
      </c>
      <c r="H31" s="7" t="s">
        <v>135</v>
      </c>
      <c r="I31" s="23">
        <f>4500</f>
        <v>4500</v>
      </c>
      <c r="J31" s="23"/>
      <c r="K31" s="86">
        <f t="shared" si="3"/>
        <v>4500</v>
      </c>
      <c r="L31" s="355"/>
      <c r="M31" s="344"/>
      <c r="N31" s="246"/>
      <c r="O31" s="86">
        <f t="shared" si="4"/>
        <v>0</v>
      </c>
      <c r="P31" s="355"/>
      <c r="Q31" s="344">
        <f t="shared" si="0"/>
        <v>4500</v>
      </c>
      <c r="R31" s="23">
        <f t="shared" si="1"/>
        <v>0</v>
      </c>
      <c r="S31" s="86">
        <f t="shared" si="2"/>
        <v>4500</v>
      </c>
    </row>
    <row r="32" spans="2:19" x14ac:dyDescent="0.2">
      <c r="B32" s="83">
        <f t="shared" si="5"/>
        <v>24</v>
      </c>
      <c r="C32" s="7"/>
      <c r="D32" s="7"/>
      <c r="E32" s="7"/>
      <c r="F32" s="25" t="s">
        <v>217</v>
      </c>
      <c r="G32" s="7">
        <v>630</v>
      </c>
      <c r="H32" s="7" t="s">
        <v>132</v>
      </c>
      <c r="I32" s="23">
        <f>SUM(I33:I36)</f>
        <v>160800</v>
      </c>
      <c r="J32" s="23"/>
      <c r="K32" s="86">
        <f t="shared" si="3"/>
        <v>160800</v>
      </c>
      <c r="L32" s="355"/>
      <c r="M32" s="344"/>
      <c r="N32" s="246"/>
      <c r="O32" s="86">
        <f t="shared" si="4"/>
        <v>0</v>
      </c>
      <c r="P32" s="355"/>
      <c r="Q32" s="344">
        <f t="shared" si="0"/>
        <v>160800</v>
      </c>
      <c r="R32" s="23">
        <f t="shared" si="1"/>
        <v>0</v>
      </c>
      <c r="S32" s="86">
        <f t="shared" si="2"/>
        <v>160800</v>
      </c>
    </row>
    <row r="33" spans="2:43" x14ac:dyDescent="0.2">
      <c r="B33" s="83">
        <f t="shared" si="5"/>
        <v>25</v>
      </c>
      <c r="C33" s="3"/>
      <c r="D33" s="3"/>
      <c r="E33" s="3"/>
      <c r="F33" s="26" t="s">
        <v>217</v>
      </c>
      <c r="G33" s="3">
        <v>631</v>
      </c>
      <c r="H33" s="3" t="s">
        <v>138</v>
      </c>
      <c r="I33" s="19">
        <v>500</v>
      </c>
      <c r="J33" s="19"/>
      <c r="K33" s="87">
        <f t="shared" si="3"/>
        <v>500</v>
      </c>
      <c r="L33" s="356"/>
      <c r="M33" s="345"/>
      <c r="N33" s="208"/>
      <c r="O33" s="87">
        <f t="shared" si="4"/>
        <v>0</v>
      </c>
      <c r="P33" s="356"/>
      <c r="Q33" s="345">
        <f t="shared" si="0"/>
        <v>500</v>
      </c>
      <c r="R33" s="19">
        <f t="shared" si="1"/>
        <v>0</v>
      </c>
      <c r="S33" s="87">
        <f t="shared" si="2"/>
        <v>500</v>
      </c>
    </row>
    <row r="34" spans="2:43" x14ac:dyDescent="0.2">
      <c r="B34" s="83">
        <f t="shared" si="5"/>
        <v>26</v>
      </c>
      <c r="C34" s="3"/>
      <c r="D34" s="3"/>
      <c r="E34" s="3"/>
      <c r="F34" s="26" t="s">
        <v>217</v>
      </c>
      <c r="G34" s="3">
        <v>633</v>
      </c>
      <c r="H34" s="3" t="s">
        <v>136</v>
      </c>
      <c r="I34" s="19">
        <v>3500</v>
      </c>
      <c r="J34" s="19"/>
      <c r="K34" s="87">
        <f t="shared" si="3"/>
        <v>3500</v>
      </c>
      <c r="L34" s="356"/>
      <c r="M34" s="345"/>
      <c r="N34" s="208"/>
      <c r="O34" s="87">
        <f t="shared" si="4"/>
        <v>0</v>
      </c>
      <c r="P34" s="356"/>
      <c r="Q34" s="345">
        <f t="shared" si="0"/>
        <v>3500</v>
      </c>
      <c r="R34" s="19">
        <f t="shared" si="1"/>
        <v>0</v>
      </c>
      <c r="S34" s="87">
        <f t="shared" si="2"/>
        <v>3500</v>
      </c>
    </row>
    <row r="35" spans="2:43" x14ac:dyDescent="0.2">
      <c r="B35" s="83">
        <f t="shared" si="5"/>
        <v>27</v>
      </c>
      <c r="C35" s="3"/>
      <c r="D35" s="3"/>
      <c r="E35" s="3"/>
      <c r="F35" s="26" t="s">
        <v>217</v>
      </c>
      <c r="G35" s="3">
        <v>635</v>
      </c>
      <c r="H35" s="3" t="s">
        <v>144</v>
      </c>
      <c r="I35" s="19">
        <v>3000</v>
      </c>
      <c r="J35" s="19"/>
      <c r="K35" s="87">
        <f t="shared" si="3"/>
        <v>3000</v>
      </c>
      <c r="L35" s="356"/>
      <c r="M35" s="345"/>
      <c r="N35" s="208"/>
      <c r="O35" s="87">
        <f t="shared" si="4"/>
        <v>0</v>
      </c>
      <c r="P35" s="356"/>
      <c r="Q35" s="345">
        <f t="shared" si="0"/>
        <v>3000</v>
      </c>
      <c r="R35" s="19">
        <f t="shared" si="1"/>
        <v>0</v>
      </c>
      <c r="S35" s="87">
        <f t="shared" si="2"/>
        <v>3000</v>
      </c>
    </row>
    <row r="36" spans="2:43" x14ac:dyDescent="0.2">
      <c r="B36" s="83">
        <f t="shared" si="5"/>
        <v>28</v>
      </c>
      <c r="C36" s="3"/>
      <c r="D36" s="3"/>
      <c r="E36" s="3"/>
      <c r="F36" s="26" t="s">
        <v>217</v>
      </c>
      <c r="G36" s="3">
        <v>637</v>
      </c>
      <c r="H36" s="3" t="s">
        <v>133</v>
      </c>
      <c r="I36" s="19">
        <f>153800</f>
        <v>153800</v>
      </c>
      <c r="J36" s="19"/>
      <c r="K36" s="87">
        <f t="shared" si="3"/>
        <v>153800</v>
      </c>
      <c r="L36" s="356"/>
      <c r="M36" s="345"/>
      <c r="N36" s="208"/>
      <c r="O36" s="87">
        <f t="shared" si="4"/>
        <v>0</v>
      </c>
      <c r="P36" s="356"/>
      <c r="Q36" s="345">
        <f t="shared" si="0"/>
        <v>153800</v>
      </c>
      <c r="R36" s="19">
        <f t="shared" si="1"/>
        <v>0</v>
      </c>
      <c r="S36" s="87">
        <f t="shared" si="2"/>
        <v>153800</v>
      </c>
    </row>
    <row r="37" spans="2:43" x14ac:dyDescent="0.2">
      <c r="B37" s="83">
        <f t="shared" si="5"/>
        <v>29</v>
      </c>
      <c r="C37" s="7"/>
      <c r="D37" s="7"/>
      <c r="E37" s="7"/>
      <c r="F37" s="25" t="s">
        <v>217</v>
      </c>
      <c r="G37" s="7">
        <v>710</v>
      </c>
      <c r="H37" s="7" t="s">
        <v>187</v>
      </c>
      <c r="I37" s="23"/>
      <c r="J37" s="23"/>
      <c r="K37" s="86">
        <f t="shared" si="3"/>
        <v>0</v>
      </c>
      <c r="L37" s="355"/>
      <c r="M37" s="344">
        <f>M38+M40</f>
        <v>105000</v>
      </c>
      <c r="N37" s="246">
        <f>N38</f>
        <v>-17000</v>
      </c>
      <c r="O37" s="86">
        <f t="shared" si="4"/>
        <v>88000</v>
      </c>
      <c r="P37" s="355"/>
      <c r="Q37" s="344">
        <f t="shared" si="0"/>
        <v>105000</v>
      </c>
      <c r="R37" s="23">
        <f t="shared" si="1"/>
        <v>-17000</v>
      </c>
      <c r="S37" s="86">
        <f t="shared" si="2"/>
        <v>88000</v>
      </c>
    </row>
    <row r="38" spans="2:43" x14ac:dyDescent="0.2">
      <c r="B38" s="83">
        <f t="shared" si="5"/>
        <v>30</v>
      </c>
      <c r="C38" s="3"/>
      <c r="D38" s="3"/>
      <c r="E38" s="3"/>
      <c r="F38" s="26" t="s">
        <v>217</v>
      </c>
      <c r="G38" s="3">
        <v>711</v>
      </c>
      <c r="H38" s="3" t="s">
        <v>224</v>
      </c>
      <c r="I38" s="19"/>
      <c r="J38" s="19"/>
      <c r="K38" s="87">
        <f t="shared" si="3"/>
        <v>0</v>
      </c>
      <c r="L38" s="356"/>
      <c r="M38" s="345">
        <f>M39</f>
        <v>30000</v>
      </c>
      <c r="N38" s="208">
        <f>N39</f>
        <v>-17000</v>
      </c>
      <c r="O38" s="87">
        <f t="shared" si="4"/>
        <v>13000</v>
      </c>
      <c r="P38" s="356"/>
      <c r="Q38" s="345">
        <f t="shared" si="0"/>
        <v>30000</v>
      </c>
      <c r="R38" s="19">
        <f t="shared" si="1"/>
        <v>-17000</v>
      </c>
      <c r="S38" s="87">
        <f t="shared" si="2"/>
        <v>13000</v>
      </c>
    </row>
    <row r="39" spans="2:43" s="33" customFormat="1" ht="12" x14ac:dyDescent="0.2">
      <c r="B39" s="83">
        <f t="shared" si="5"/>
        <v>31</v>
      </c>
      <c r="C39" s="4"/>
      <c r="D39" s="4"/>
      <c r="E39" s="4"/>
      <c r="F39" s="31"/>
      <c r="G39" s="4"/>
      <c r="H39" s="4" t="s">
        <v>362</v>
      </c>
      <c r="I39" s="21"/>
      <c r="J39" s="21"/>
      <c r="K39" s="88">
        <f t="shared" si="3"/>
        <v>0</v>
      </c>
      <c r="L39" s="357"/>
      <c r="M39" s="346">
        <v>30000</v>
      </c>
      <c r="N39" s="247">
        <v>-17000</v>
      </c>
      <c r="O39" s="88">
        <f t="shared" si="4"/>
        <v>13000</v>
      </c>
      <c r="P39" s="357"/>
      <c r="Q39" s="346">
        <f t="shared" si="0"/>
        <v>30000</v>
      </c>
      <c r="R39" s="21">
        <f t="shared" si="1"/>
        <v>-17000</v>
      </c>
      <c r="S39" s="88">
        <f t="shared" si="2"/>
        <v>13000</v>
      </c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</row>
    <row r="40" spans="2:43" x14ac:dyDescent="0.2">
      <c r="B40" s="83">
        <f t="shared" si="5"/>
        <v>32</v>
      </c>
      <c r="C40" s="3"/>
      <c r="D40" s="3"/>
      <c r="E40" s="3"/>
      <c r="F40" s="26" t="s">
        <v>217</v>
      </c>
      <c r="G40" s="3">
        <v>716</v>
      </c>
      <c r="H40" s="3" t="s">
        <v>231</v>
      </c>
      <c r="I40" s="19"/>
      <c r="J40" s="19"/>
      <c r="K40" s="87">
        <f t="shared" si="3"/>
        <v>0</v>
      </c>
      <c r="L40" s="356"/>
      <c r="M40" s="345">
        <f>M41</f>
        <v>75000</v>
      </c>
      <c r="N40" s="208"/>
      <c r="O40" s="87">
        <f t="shared" si="4"/>
        <v>75000</v>
      </c>
      <c r="P40" s="356"/>
      <c r="Q40" s="345">
        <f t="shared" si="0"/>
        <v>75000</v>
      </c>
      <c r="R40" s="19">
        <f t="shared" si="1"/>
        <v>0</v>
      </c>
      <c r="S40" s="87">
        <f t="shared" si="2"/>
        <v>75000</v>
      </c>
    </row>
    <row r="41" spans="2:43" s="33" customFormat="1" ht="12" x14ac:dyDescent="0.2">
      <c r="B41" s="83">
        <f t="shared" si="5"/>
        <v>33</v>
      </c>
      <c r="C41" s="4"/>
      <c r="D41" s="12"/>
      <c r="E41" s="4"/>
      <c r="F41" s="31"/>
      <c r="G41" s="4"/>
      <c r="H41" s="13" t="s">
        <v>363</v>
      </c>
      <c r="I41" s="21"/>
      <c r="J41" s="21"/>
      <c r="K41" s="88">
        <f t="shared" si="3"/>
        <v>0</v>
      </c>
      <c r="L41" s="357"/>
      <c r="M41" s="346">
        <v>75000</v>
      </c>
      <c r="N41" s="247"/>
      <c r="O41" s="88">
        <f t="shared" si="4"/>
        <v>75000</v>
      </c>
      <c r="P41" s="357"/>
      <c r="Q41" s="346">
        <f t="shared" ref="Q41:Q64" si="6">I41+M41</f>
        <v>75000</v>
      </c>
      <c r="R41" s="21">
        <f t="shared" si="1"/>
        <v>0</v>
      </c>
      <c r="S41" s="88">
        <f t="shared" si="2"/>
        <v>75000</v>
      </c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</row>
    <row r="42" spans="2:43" ht="15" x14ac:dyDescent="0.2">
      <c r="B42" s="83">
        <f t="shared" si="5"/>
        <v>34</v>
      </c>
      <c r="C42" s="243">
        <v>3</v>
      </c>
      <c r="D42" s="444" t="s">
        <v>147</v>
      </c>
      <c r="E42" s="445"/>
      <c r="F42" s="445"/>
      <c r="G42" s="445"/>
      <c r="H42" s="446"/>
      <c r="I42" s="36">
        <f>I43</f>
        <v>111552</v>
      </c>
      <c r="J42" s="36">
        <f>J43</f>
        <v>-105</v>
      </c>
      <c r="K42" s="84">
        <f t="shared" si="3"/>
        <v>111447</v>
      </c>
      <c r="L42" s="353"/>
      <c r="M42" s="342">
        <f>M45</f>
        <v>104697</v>
      </c>
      <c r="N42" s="244"/>
      <c r="O42" s="84">
        <f t="shared" si="4"/>
        <v>104697</v>
      </c>
      <c r="P42" s="353"/>
      <c r="Q42" s="342">
        <f t="shared" si="6"/>
        <v>216249</v>
      </c>
      <c r="R42" s="36">
        <f t="shared" si="1"/>
        <v>-105</v>
      </c>
      <c r="S42" s="84">
        <f t="shared" si="2"/>
        <v>216144</v>
      </c>
    </row>
    <row r="43" spans="2:43" x14ac:dyDescent="0.2">
      <c r="B43" s="83">
        <f t="shared" si="5"/>
        <v>35</v>
      </c>
      <c r="C43" s="7"/>
      <c r="D43" s="7"/>
      <c r="E43" s="7"/>
      <c r="F43" s="25" t="s">
        <v>81</v>
      </c>
      <c r="G43" s="7">
        <v>630</v>
      </c>
      <c r="H43" s="7" t="s">
        <v>132</v>
      </c>
      <c r="I43" s="23">
        <f>I44</f>
        <v>111552</v>
      </c>
      <c r="J43" s="23">
        <f>J44</f>
        <v>-105</v>
      </c>
      <c r="K43" s="86">
        <f t="shared" si="3"/>
        <v>111447</v>
      </c>
      <c r="L43" s="355"/>
      <c r="M43" s="344"/>
      <c r="N43" s="246"/>
      <c r="O43" s="86">
        <f t="shared" si="4"/>
        <v>0</v>
      </c>
      <c r="P43" s="355"/>
      <c r="Q43" s="344">
        <f t="shared" si="6"/>
        <v>111552</v>
      </c>
      <c r="R43" s="23">
        <f t="shared" si="1"/>
        <v>-105</v>
      </c>
      <c r="S43" s="86">
        <f t="shared" si="2"/>
        <v>111447</v>
      </c>
    </row>
    <row r="44" spans="2:43" x14ac:dyDescent="0.2">
      <c r="B44" s="83">
        <f t="shared" si="5"/>
        <v>36</v>
      </c>
      <c r="C44" s="3"/>
      <c r="D44" s="3"/>
      <c r="E44" s="3"/>
      <c r="F44" s="26" t="s">
        <v>81</v>
      </c>
      <c r="G44" s="3">
        <v>637</v>
      </c>
      <c r="H44" s="3" t="s">
        <v>133</v>
      </c>
      <c r="I44" s="19">
        <f>90500-29950+51252-250</f>
        <v>111552</v>
      </c>
      <c r="J44" s="19">
        <v>-105</v>
      </c>
      <c r="K44" s="87">
        <f t="shared" si="3"/>
        <v>111447</v>
      </c>
      <c r="L44" s="356"/>
      <c r="M44" s="345"/>
      <c r="N44" s="208"/>
      <c r="O44" s="87">
        <f t="shared" si="4"/>
        <v>0</v>
      </c>
      <c r="P44" s="356"/>
      <c r="Q44" s="345">
        <f t="shared" si="6"/>
        <v>111552</v>
      </c>
      <c r="R44" s="19">
        <f t="shared" si="1"/>
        <v>-105</v>
      </c>
      <c r="S44" s="87">
        <f t="shared" si="2"/>
        <v>111447</v>
      </c>
    </row>
    <row r="45" spans="2:43" x14ac:dyDescent="0.2">
      <c r="B45" s="83">
        <f t="shared" si="5"/>
        <v>37</v>
      </c>
      <c r="C45" s="7"/>
      <c r="D45" s="7"/>
      <c r="E45" s="7"/>
      <c r="F45" s="25" t="s">
        <v>81</v>
      </c>
      <c r="G45" s="7">
        <v>710</v>
      </c>
      <c r="H45" s="7" t="s">
        <v>187</v>
      </c>
      <c r="I45" s="23"/>
      <c r="J45" s="23"/>
      <c r="K45" s="86">
        <f t="shared" si="3"/>
        <v>0</v>
      </c>
      <c r="L45" s="355"/>
      <c r="M45" s="344">
        <f>M46+M48</f>
        <v>104697</v>
      </c>
      <c r="N45" s="246"/>
      <c r="O45" s="86">
        <f t="shared" si="4"/>
        <v>104697</v>
      </c>
      <c r="P45" s="355"/>
      <c r="Q45" s="344">
        <f t="shared" si="6"/>
        <v>104697</v>
      </c>
      <c r="R45" s="23">
        <f t="shared" si="1"/>
        <v>0</v>
      </c>
      <c r="S45" s="86">
        <f t="shared" si="2"/>
        <v>104697</v>
      </c>
    </row>
    <row r="46" spans="2:43" x14ac:dyDescent="0.2">
      <c r="B46" s="83">
        <f t="shared" si="5"/>
        <v>38</v>
      </c>
      <c r="C46" s="3"/>
      <c r="D46" s="3"/>
      <c r="E46" s="3"/>
      <c r="F46" s="26" t="s">
        <v>81</v>
      </c>
      <c r="G46" s="3">
        <v>716</v>
      </c>
      <c r="H46" s="3" t="s">
        <v>231</v>
      </c>
      <c r="I46" s="19"/>
      <c r="J46" s="19"/>
      <c r="K46" s="87">
        <f t="shared" si="3"/>
        <v>0</v>
      </c>
      <c r="L46" s="356"/>
      <c r="M46" s="345">
        <f>M47</f>
        <v>50690</v>
      </c>
      <c r="N46" s="208"/>
      <c r="O46" s="87">
        <f t="shared" si="4"/>
        <v>50690</v>
      </c>
      <c r="P46" s="356"/>
      <c r="Q46" s="345">
        <f t="shared" si="6"/>
        <v>50690</v>
      </c>
      <c r="R46" s="19">
        <f t="shared" si="1"/>
        <v>0</v>
      </c>
      <c r="S46" s="87">
        <f t="shared" si="2"/>
        <v>50690</v>
      </c>
    </row>
    <row r="47" spans="2:43" s="33" customFormat="1" ht="12" x14ac:dyDescent="0.2">
      <c r="B47" s="83">
        <f t="shared" si="5"/>
        <v>39</v>
      </c>
      <c r="C47" s="4"/>
      <c r="D47" s="4"/>
      <c r="E47" s="4"/>
      <c r="F47" s="31"/>
      <c r="G47" s="4"/>
      <c r="H47" s="4" t="s">
        <v>364</v>
      </c>
      <c r="I47" s="21"/>
      <c r="J47" s="21"/>
      <c r="K47" s="88">
        <f t="shared" si="3"/>
        <v>0</v>
      </c>
      <c r="L47" s="357"/>
      <c r="M47" s="346">
        <f>150000-24000+24000-19720-79590</f>
        <v>50690</v>
      </c>
      <c r="N47" s="247"/>
      <c r="O47" s="88">
        <f t="shared" si="4"/>
        <v>50690</v>
      </c>
      <c r="P47" s="357"/>
      <c r="Q47" s="346">
        <f t="shared" si="6"/>
        <v>50690</v>
      </c>
      <c r="R47" s="21">
        <f t="shared" si="1"/>
        <v>0</v>
      </c>
      <c r="S47" s="88">
        <f t="shared" si="2"/>
        <v>50690</v>
      </c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</row>
    <row r="48" spans="2:43" x14ac:dyDescent="0.2">
      <c r="B48" s="83">
        <f t="shared" si="5"/>
        <v>40</v>
      </c>
      <c r="C48" s="3"/>
      <c r="D48" s="3"/>
      <c r="E48" s="3"/>
      <c r="F48" s="26" t="s">
        <v>81</v>
      </c>
      <c r="G48" s="3">
        <v>717</v>
      </c>
      <c r="H48" s="3" t="s">
        <v>197</v>
      </c>
      <c r="I48" s="19"/>
      <c r="J48" s="19"/>
      <c r="K48" s="87">
        <f t="shared" si="3"/>
        <v>0</v>
      </c>
      <c r="L48" s="356"/>
      <c r="M48" s="345">
        <f>SUM(M49:M49)</f>
        <v>54007</v>
      </c>
      <c r="N48" s="208"/>
      <c r="O48" s="87">
        <f t="shared" si="4"/>
        <v>54007</v>
      </c>
      <c r="P48" s="356"/>
      <c r="Q48" s="345">
        <f t="shared" si="6"/>
        <v>54007</v>
      </c>
      <c r="R48" s="19">
        <f t="shared" si="1"/>
        <v>0</v>
      </c>
      <c r="S48" s="87">
        <f t="shared" si="2"/>
        <v>54007</v>
      </c>
    </row>
    <row r="49" spans="2:19" x14ac:dyDescent="0.2">
      <c r="B49" s="83">
        <f t="shared" si="5"/>
        <v>41</v>
      </c>
      <c r="C49" s="4"/>
      <c r="D49" s="4"/>
      <c r="E49" s="4"/>
      <c r="F49" s="27"/>
      <c r="G49" s="4"/>
      <c r="H49" s="4" t="s">
        <v>86</v>
      </c>
      <c r="I49" s="21"/>
      <c r="J49" s="21"/>
      <c r="K49" s="88">
        <f t="shared" si="3"/>
        <v>0</v>
      </c>
      <c r="L49" s="357"/>
      <c r="M49" s="346">
        <f>248910-12850-50000+7986-140039</f>
        <v>54007</v>
      </c>
      <c r="N49" s="247"/>
      <c r="O49" s="88">
        <f t="shared" si="4"/>
        <v>54007</v>
      </c>
      <c r="P49" s="357"/>
      <c r="Q49" s="346">
        <f t="shared" si="6"/>
        <v>54007</v>
      </c>
      <c r="R49" s="21">
        <f t="shared" si="1"/>
        <v>0</v>
      </c>
      <c r="S49" s="88">
        <f t="shared" si="2"/>
        <v>54007</v>
      </c>
    </row>
    <row r="50" spans="2:19" ht="15" x14ac:dyDescent="0.2">
      <c r="B50" s="83">
        <f t="shared" si="5"/>
        <v>42</v>
      </c>
      <c r="C50" s="243">
        <v>4</v>
      </c>
      <c r="D50" s="444" t="s">
        <v>352</v>
      </c>
      <c r="E50" s="445"/>
      <c r="F50" s="445"/>
      <c r="G50" s="445"/>
      <c r="H50" s="446"/>
      <c r="I50" s="36">
        <v>0</v>
      </c>
      <c r="J50" s="36"/>
      <c r="K50" s="84">
        <f t="shared" si="3"/>
        <v>0</v>
      </c>
      <c r="L50" s="353"/>
      <c r="M50" s="342">
        <v>0</v>
      </c>
      <c r="N50" s="244"/>
      <c r="O50" s="84">
        <f t="shared" si="4"/>
        <v>0</v>
      </c>
      <c r="P50" s="353"/>
      <c r="Q50" s="342">
        <f t="shared" si="6"/>
        <v>0</v>
      </c>
      <c r="R50" s="36">
        <f t="shared" si="1"/>
        <v>0</v>
      </c>
      <c r="S50" s="84">
        <f t="shared" si="2"/>
        <v>0</v>
      </c>
    </row>
    <row r="51" spans="2:19" ht="15" x14ac:dyDescent="0.2">
      <c r="B51" s="83">
        <f t="shared" si="5"/>
        <v>43</v>
      </c>
      <c r="C51" s="243">
        <v>5</v>
      </c>
      <c r="D51" s="444" t="s">
        <v>353</v>
      </c>
      <c r="E51" s="445"/>
      <c r="F51" s="445"/>
      <c r="G51" s="445"/>
      <c r="H51" s="446"/>
      <c r="I51" s="36">
        <v>0</v>
      </c>
      <c r="J51" s="36"/>
      <c r="K51" s="84">
        <f t="shared" si="3"/>
        <v>0</v>
      </c>
      <c r="L51" s="353"/>
      <c r="M51" s="342">
        <v>0</v>
      </c>
      <c r="N51" s="244"/>
      <c r="O51" s="84">
        <f t="shared" si="4"/>
        <v>0</v>
      </c>
      <c r="P51" s="353"/>
      <c r="Q51" s="342">
        <f t="shared" si="6"/>
        <v>0</v>
      </c>
      <c r="R51" s="36">
        <f t="shared" si="1"/>
        <v>0</v>
      </c>
      <c r="S51" s="84">
        <f t="shared" si="2"/>
        <v>0</v>
      </c>
    </row>
    <row r="52" spans="2:19" ht="15" x14ac:dyDescent="0.2">
      <c r="B52" s="83">
        <f t="shared" si="5"/>
        <v>44</v>
      </c>
      <c r="C52" s="243">
        <v>6</v>
      </c>
      <c r="D52" s="444" t="s">
        <v>354</v>
      </c>
      <c r="E52" s="445"/>
      <c r="F52" s="445"/>
      <c r="G52" s="445"/>
      <c r="H52" s="446"/>
      <c r="I52" s="36">
        <v>0</v>
      </c>
      <c r="J52" s="36"/>
      <c r="K52" s="84">
        <f t="shared" si="3"/>
        <v>0</v>
      </c>
      <c r="L52" s="353"/>
      <c r="M52" s="342">
        <v>0</v>
      </c>
      <c r="N52" s="244"/>
      <c r="O52" s="84">
        <f t="shared" si="4"/>
        <v>0</v>
      </c>
      <c r="P52" s="353"/>
      <c r="Q52" s="342">
        <f t="shared" si="6"/>
        <v>0</v>
      </c>
      <c r="R52" s="36">
        <f t="shared" si="1"/>
        <v>0</v>
      </c>
      <c r="S52" s="84">
        <f t="shared" si="2"/>
        <v>0</v>
      </c>
    </row>
    <row r="53" spans="2:19" ht="15" x14ac:dyDescent="0.2">
      <c r="B53" s="83">
        <f t="shared" si="5"/>
        <v>45</v>
      </c>
      <c r="C53" s="243">
        <v>7</v>
      </c>
      <c r="D53" s="444" t="s">
        <v>263</v>
      </c>
      <c r="E53" s="445"/>
      <c r="F53" s="445"/>
      <c r="G53" s="445"/>
      <c r="H53" s="446"/>
      <c r="I53" s="36">
        <f>I54+I55+I59</f>
        <v>97300</v>
      </c>
      <c r="J53" s="36"/>
      <c r="K53" s="84">
        <f t="shared" si="3"/>
        <v>97300</v>
      </c>
      <c r="L53" s="353"/>
      <c r="M53" s="342">
        <v>0</v>
      </c>
      <c r="N53" s="244"/>
      <c r="O53" s="84">
        <f t="shared" si="4"/>
        <v>0</v>
      </c>
      <c r="P53" s="353"/>
      <c r="Q53" s="342">
        <f t="shared" si="6"/>
        <v>97300</v>
      </c>
      <c r="R53" s="36">
        <f t="shared" si="1"/>
        <v>0</v>
      </c>
      <c r="S53" s="84">
        <f t="shared" si="2"/>
        <v>97300</v>
      </c>
    </row>
    <row r="54" spans="2:19" x14ac:dyDescent="0.2">
      <c r="B54" s="83">
        <f t="shared" si="5"/>
        <v>46</v>
      </c>
      <c r="C54" s="7"/>
      <c r="D54" s="7"/>
      <c r="E54" s="7"/>
      <c r="F54" s="25" t="s">
        <v>81</v>
      </c>
      <c r="G54" s="7">
        <v>620</v>
      </c>
      <c r="H54" s="7" t="s">
        <v>135</v>
      </c>
      <c r="I54" s="23">
        <f>10200+500</f>
        <v>10700</v>
      </c>
      <c r="J54" s="23"/>
      <c r="K54" s="86">
        <f t="shared" si="3"/>
        <v>10700</v>
      </c>
      <c r="L54" s="355"/>
      <c r="M54" s="344"/>
      <c r="N54" s="246"/>
      <c r="O54" s="86">
        <f t="shared" si="4"/>
        <v>0</v>
      </c>
      <c r="P54" s="355"/>
      <c r="Q54" s="344">
        <f t="shared" si="6"/>
        <v>10700</v>
      </c>
      <c r="R54" s="23">
        <f t="shared" si="1"/>
        <v>0</v>
      </c>
      <c r="S54" s="86">
        <f t="shared" si="2"/>
        <v>10700</v>
      </c>
    </row>
    <row r="55" spans="2:19" x14ac:dyDescent="0.2">
      <c r="B55" s="83">
        <f t="shared" si="5"/>
        <v>47</v>
      </c>
      <c r="C55" s="7"/>
      <c r="D55" s="7"/>
      <c r="E55" s="7"/>
      <c r="F55" s="25" t="s">
        <v>81</v>
      </c>
      <c r="G55" s="7">
        <v>630</v>
      </c>
      <c r="H55" s="7" t="s">
        <v>132</v>
      </c>
      <c r="I55" s="23">
        <f>SUM(I56:I58)</f>
        <v>76700</v>
      </c>
      <c r="J55" s="23"/>
      <c r="K55" s="86">
        <f t="shared" si="3"/>
        <v>76700</v>
      </c>
      <c r="L55" s="355"/>
      <c r="M55" s="344"/>
      <c r="N55" s="246"/>
      <c r="O55" s="86">
        <f t="shared" si="4"/>
        <v>0</v>
      </c>
      <c r="P55" s="355"/>
      <c r="Q55" s="344">
        <f t="shared" si="6"/>
        <v>76700</v>
      </c>
      <c r="R55" s="23">
        <f t="shared" si="1"/>
        <v>0</v>
      </c>
      <c r="S55" s="86">
        <f t="shared" si="2"/>
        <v>76700</v>
      </c>
    </row>
    <row r="56" spans="2:19" x14ac:dyDescent="0.2">
      <c r="B56" s="83">
        <f t="shared" si="5"/>
        <v>48</v>
      </c>
      <c r="C56" s="3"/>
      <c r="D56" s="3"/>
      <c r="E56" s="3"/>
      <c r="F56" s="26" t="s">
        <v>81</v>
      </c>
      <c r="G56" s="3">
        <v>632</v>
      </c>
      <c r="H56" s="3" t="s">
        <v>145</v>
      </c>
      <c r="I56" s="19">
        <f>20000+10000</f>
        <v>30000</v>
      </c>
      <c r="J56" s="19"/>
      <c r="K56" s="87">
        <f t="shared" si="3"/>
        <v>30000</v>
      </c>
      <c r="L56" s="356"/>
      <c r="M56" s="345"/>
      <c r="N56" s="208"/>
      <c r="O56" s="87">
        <f t="shared" si="4"/>
        <v>0</v>
      </c>
      <c r="P56" s="356"/>
      <c r="Q56" s="345">
        <f t="shared" si="6"/>
        <v>30000</v>
      </c>
      <c r="R56" s="19">
        <f t="shared" si="1"/>
        <v>0</v>
      </c>
      <c r="S56" s="87">
        <f t="shared" si="2"/>
        <v>30000</v>
      </c>
    </row>
    <row r="57" spans="2:19" x14ac:dyDescent="0.2">
      <c r="B57" s="83">
        <f t="shared" si="5"/>
        <v>49</v>
      </c>
      <c r="C57" s="3"/>
      <c r="D57" s="3"/>
      <c r="E57" s="3"/>
      <c r="F57" s="26" t="s">
        <v>81</v>
      </c>
      <c r="G57" s="3">
        <v>633</v>
      </c>
      <c r="H57" s="3" t="s">
        <v>136</v>
      </c>
      <c r="I57" s="19">
        <v>5500</v>
      </c>
      <c r="J57" s="19"/>
      <c r="K57" s="87">
        <f t="shared" si="3"/>
        <v>5500</v>
      </c>
      <c r="L57" s="356"/>
      <c r="M57" s="345"/>
      <c r="N57" s="208"/>
      <c r="O57" s="87">
        <f t="shared" si="4"/>
        <v>0</v>
      </c>
      <c r="P57" s="356"/>
      <c r="Q57" s="345">
        <f t="shared" si="6"/>
        <v>5500</v>
      </c>
      <c r="R57" s="19">
        <f t="shared" si="1"/>
        <v>0</v>
      </c>
      <c r="S57" s="87">
        <f t="shared" si="2"/>
        <v>5500</v>
      </c>
    </row>
    <row r="58" spans="2:19" x14ac:dyDescent="0.2">
      <c r="B58" s="83">
        <f t="shared" si="5"/>
        <v>50</v>
      </c>
      <c r="C58" s="3"/>
      <c r="D58" s="3"/>
      <c r="E58" s="3"/>
      <c r="F58" s="26" t="s">
        <v>81</v>
      </c>
      <c r="G58" s="3">
        <v>637</v>
      </c>
      <c r="H58" s="3" t="s">
        <v>133</v>
      </c>
      <c r="I58" s="19">
        <f>40000+1200</f>
        <v>41200</v>
      </c>
      <c r="J58" s="19"/>
      <c r="K58" s="87">
        <f t="shared" si="3"/>
        <v>41200</v>
      </c>
      <c r="L58" s="356"/>
      <c r="M58" s="345"/>
      <c r="N58" s="208"/>
      <c r="O58" s="87">
        <f t="shared" si="4"/>
        <v>0</v>
      </c>
      <c r="P58" s="356"/>
      <c r="Q58" s="345">
        <f t="shared" si="6"/>
        <v>41200</v>
      </c>
      <c r="R58" s="19">
        <f t="shared" si="1"/>
        <v>0</v>
      </c>
      <c r="S58" s="87">
        <f t="shared" si="2"/>
        <v>41200</v>
      </c>
    </row>
    <row r="59" spans="2:19" x14ac:dyDescent="0.2">
      <c r="B59" s="83">
        <f t="shared" si="5"/>
        <v>51</v>
      </c>
      <c r="C59" s="7"/>
      <c r="D59" s="7"/>
      <c r="E59" s="7"/>
      <c r="F59" s="25" t="s">
        <v>262</v>
      </c>
      <c r="G59" s="7">
        <v>630</v>
      </c>
      <c r="H59" s="7" t="s">
        <v>132</v>
      </c>
      <c r="I59" s="23">
        <f>I60</f>
        <v>9900</v>
      </c>
      <c r="J59" s="23"/>
      <c r="K59" s="86">
        <f t="shared" si="3"/>
        <v>9900</v>
      </c>
      <c r="L59" s="355"/>
      <c r="M59" s="344"/>
      <c r="N59" s="246"/>
      <c r="O59" s="86">
        <f t="shared" si="4"/>
        <v>0</v>
      </c>
      <c r="P59" s="355"/>
      <c r="Q59" s="344">
        <f t="shared" si="6"/>
        <v>9900</v>
      </c>
      <c r="R59" s="23">
        <f t="shared" si="1"/>
        <v>0</v>
      </c>
      <c r="S59" s="86">
        <f t="shared" si="2"/>
        <v>9900</v>
      </c>
    </row>
    <row r="60" spans="2:19" x14ac:dyDescent="0.2">
      <c r="B60" s="83">
        <f t="shared" si="5"/>
        <v>52</v>
      </c>
      <c r="C60" s="3"/>
      <c r="D60" s="3"/>
      <c r="E60" s="3"/>
      <c r="F60" s="26" t="s">
        <v>262</v>
      </c>
      <c r="G60" s="3">
        <v>637</v>
      </c>
      <c r="H60" s="3" t="s">
        <v>133</v>
      </c>
      <c r="I60" s="19">
        <v>9900</v>
      </c>
      <c r="J60" s="19"/>
      <c r="K60" s="87">
        <f t="shared" si="3"/>
        <v>9900</v>
      </c>
      <c r="L60" s="356"/>
      <c r="M60" s="345"/>
      <c r="N60" s="208"/>
      <c r="O60" s="87">
        <f t="shared" si="4"/>
        <v>0</v>
      </c>
      <c r="P60" s="356"/>
      <c r="Q60" s="345">
        <f t="shared" si="6"/>
        <v>9900</v>
      </c>
      <c r="R60" s="19">
        <f t="shared" si="1"/>
        <v>0</v>
      </c>
      <c r="S60" s="87">
        <f t="shared" si="2"/>
        <v>9900</v>
      </c>
    </row>
    <row r="61" spans="2:19" ht="15" x14ac:dyDescent="0.2">
      <c r="B61" s="83">
        <f t="shared" si="5"/>
        <v>53</v>
      </c>
      <c r="C61" s="243">
        <v>8</v>
      </c>
      <c r="D61" s="444" t="s">
        <v>295</v>
      </c>
      <c r="E61" s="445"/>
      <c r="F61" s="445"/>
      <c r="G61" s="445"/>
      <c r="H61" s="446"/>
      <c r="I61" s="36">
        <f>I62</f>
        <v>15500</v>
      </c>
      <c r="J61" s="36"/>
      <c r="K61" s="84">
        <f t="shared" si="3"/>
        <v>15500</v>
      </c>
      <c r="L61" s="353"/>
      <c r="M61" s="342">
        <v>0</v>
      </c>
      <c r="N61" s="244"/>
      <c r="O61" s="84">
        <f t="shared" si="4"/>
        <v>0</v>
      </c>
      <c r="P61" s="353"/>
      <c r="Q61" s="342">
        <f t="shared" si="6"/>
        <v>15500</v>
      </c>
      <c r="R61" s="36">
        <f t="shared" si="1"/>
        <v>0</v>
      </c>
      <c r="S61" s="84">
        <f t="shared" si="2"/>
        <v>15500</v>
      </c>
    </row>
    <row r="62" spans="2:19" x14ac:dyDescent="0.2">
      <c r="B62" s="83">
        <f t="shared" si="5"/>
        <v>54</v>
      </c>
      <c r="C62" s="7"/>
      <c r="D62" s="7"/>
      <c r="E62" s="7"/>
      <c r="F62" s="25" t="s">
        <v>155</v>
      </c>
      <c r="G62" s="7">
        <v>640</v>
      </c>
      <c r="H62" s="7" t="s">
        <v>140</v>
      </c>
      <c r="I62" s="23">
        <f>I63</f>
        <v>15500</v>
      </c>
      <c r="J62" s="23"/>
      <c r="K62" s="86">
        <f t="shared" si="3"/>
        <v>15500</v>
      </c>
      <c r="L62" s="355"/>
      <c r="M62" s="344"/>
      <c r="N62" s="246"/>
      <c r="O62" s="86">
        <f t="shared" si="4"/>
        <v>0</v>
      </c>
      <c r="P62" s="355"/>
      <c r="Q62" s="344">
        <f t="shared" si="6"/>
        <v>15500</v>
      </c>
      <c r="R62" s="23">
        <f t="shared" si="1"/>
        <v>0</v>
      </c>
      <c r="S62" s="86">
        <f t="shared" si="2"/>
        <v>15500</v>
      </c>
    </row>
    <row r="63" spans="2:19" x14ac:dyDescent="0.2">
      <c r="B63" s="83">
        <f t="shared" si="5"/>
        <v>55</v>
      </c>
      <c r="C63" s="3"/>
      <c r="D63" s="3"/>
      <c r="E63" s="3"/>
      <c r="F63" s="26" t="s">
        <v>155</v>
      </c>
      <c r="G63" s="3">
        <v>642</v>
      </c>
      <c r="H63" s="3" t="s">
        <v>141</v>
      </c>
      <c r="I63" s="19">
        <v>15500</v>
      </c>
      <c r="J63" s="19"/>
      <c r="K63" s="87">
        <f t="shared" si="3"/>
        <v>15500</v>
      </c>
      <c r="L63" s="356"/>
      <c r="M63" s="345"/>
      <c r="N63" s="208"/>
      <c r="O63" s="87">
        <f t="shared" si="4"/>
        <v>0</v>
      </c>
      <c r="P63" s="356"/>
      <c r="Q63" s="345">
        <f t="shared" si="6"/>
        <v>15500</v>
      </c>
      <c r="R63" s="19">
        <f t="shared" si="1"/>
        <v>0</v>
      </c>
      <c r="S63" s="87">
        <f t="shared" si="2"/>
        <v>15500</v>
      </c>
    </row>
    <row r="64" spans="2:19" ht="15.75" thickBot="1" x14ac:dyDescent="0.25">
      <c r="B64" s="89">
        <f t="shared" si="5"/>
        <v>56</v>
      </c>
      <c r="C64" s="162">
        <v>9</v>
      </c>
      <c r="D64" s="447" t="s">
        <v>191</v>
      </c>
      <c r="E64" s="448"/>
      <c r="F64" s="448"/>
      <c r="G64" s="448"/>
      <c r="H64" s="449"/>
      <c r="I64" s="163">
        <v>30306</v>
      </c>
      <c r="J64" s="163"/>
      <c r="K64" s="164">
        <f t="shared" si="3"/>
        <v>30306</v>
      </c>
      <c r="L64" s="358"/>
      <c r="M64" s="347">
        <v>0</v>
      </c>
      <c r="N64" s="248"/>
      <c r="O64" s="164">
        <f t="shared" si="4"/>
        <v>0</v>
      </c>
      <c r="P64" s="358"/>
      <c r="Q64" s="347">
        <f t="shared" si="6"/>
        <v>30306</v>
      </c>
      <c r="R64" s="163">
        <f t="shared" si="1"/>
        <v>0</v>
      </c>
      <c r="S64" s="164">
        <f t="shared" si="2"/>
        <v>30306</v>
      </c>
    </row>
    <row r="67" spans="2:19" ht="27.75" thickBot="1" x14ac:dyDescent="0.4">
      <c r="B67" s="455" t="s">
        <v>23</v>
      </c>
      <c r="C67" s="456"/>
      <c r="D67" s="456"/>
      <c r="E67" s="456"/>
      <c r="F67" s="456"/>
      <c r="G67" s="456"/>
      <c r="H67" s="456"/>
      <c r="I67" s="456"/>
      <c r="J67" s="456"/>
      <c r="K67" s="456"/>
      <c r="L67" s="456"/>
      <c r="M67" s="456"/>
      <c r="N67" s="456"/>
      <c r="O67" s="456"/>
      <c r="P67" s="456"/>
      <c r="Q67" s="456"/>
    </row>
    <row r="68" spans="2:19" ht="13.5" customHeight="1" thickBot="1" x14ac:dyDescent="0.25">
      <c r="B68" s="452" t="s">
        <v>359</v>
      </c>
      <c r="C68" s="453"/>
      <c r="D68" s="453"/>
      <c r="E68" s="453"/>
      <c r="F68" s="453"/>
      <c r="G68" s="453"/>
      <c r="H68" s="453"/>
      <c r="I68" s="453"/>
      <c r="J68" s="453"/>
      <c r="K68" s="453"/>
      <c r="L68" s="453"/>
      <c r="M68" s="453"/>
      <c r="N68" s="453"/>
      <c r="O68" s="454"/>
      <c r="P68" s="339"/>
      <c r="Q68" s="457" t="s">
        <v>667</v>
      </c>
      <c r="R68" s="488" t="s">
        <v>668</v>
      </c>
      <c r="S68" s="491" t="s">
        <v>669</v>
      </c>
    </row>
    <row r="69" spans="2:19" ht="12.75" customHeight="1" thickBot="1" x14ac:dyDescent="0.25">
      <c r="B69" s="466"/>
      <c r="C69" s="460" t="s">
        <v>125</v>
      </c>
      <c r="D69" s="460" t="s">
        <v>126</v>
      </c>
      <c r="E69" s="460"/>
      <c r="F69" s="460" t="s">
        <v>127</v>
      </c>
      <c r="G69" s="470" t="s">
        <v>128</v>
      </c>
      <c r="H69" s="473" t="s">
        <v>129</v>
      </c>
      <c r="I69" s="487" t="s">
        <v>670</v>
      </c>
      <c r="J69" s="494" t="s">
        <v>668</v>
      </c>
      <c r="K69" s="491" t="s">
        <v>671</v>
      </c>
      <c r="L69" s="53"/>
      <c r="M69" s="474" t="s">
        <v>672</v>
      </c>
      <c r="N69" s="488" t="s">
        <v>668</v>
      </c>
      <c r="O69" s="491" t="s">
        <v>671</v>
      </c>
      <c r="P69" s="53"/>
      <c r="Q69" s="458"/>
      <c r="R69" s="489"/>
      <c r="S69" s="492"/>
    </row>
    <row r="70" spans="2:19" ht="13.5" thickBot="1" x14ac:dyDescent="0.25">
      <c r="B70" s="466"/>
      <c r="C70" s="461"/>
      <c r="D70" s="461"/>
      <c r="E70" s="461"/>
      <c r="F70" s="461"/>
      <c r="G70" s="471"/>
      <c r="H70" s="473"/>
      <c r="I70" s="463"/>
      <c r="J70" s="495"/>
      <c r="K70" s="492"/>
      <c r="L70" s="53"/>
      <c r="M70" s="475"/>
      <c r="N70" s="489"/>
      <c r="O70" s="492"/>
      <c r="P70" s="53"/>
      <c r="Q70" s="458"/>
      <c r="R70" s="489"/>
      <c r="S70" s="492"/>
    </row>
    <row r="71" spans="2:19" ht="13.5" thickBot="1" x14ac:dyDescent="0.25">
      <c r="B71" s="466"/>
      <c r="C71" s="461"/>
      <c r="D71" s="461"/>
      <c r="E71" s="461"/>
      <c r="F71" s="461"/>
      <c r="G71" s="471"/>
      <c r="H71" s="473"/>
      <c r="I71" s="463"/>
      <c r="J71" s="495"/>
      <c r="K71" s="492"/>
      <c r="L71" s="53"/>
      <c r="M71" s="475"/>
      <c r="N71" s="489"/>
      <c r="O71" s="492"/>
      <c r="P71" s="53"/>
      <c r="Q71" s="458"/>
      <c r="R71" s="489"/>
      <c r="S71" s="492"/>
    </row>
    <row r="72" spans="2:19" ht="13.5" thickBot="1" x14ac:dyDescent="0.25">
      <c r="B72" s="466"/>
      <c r="C72" s="462"/>
      <c r="D72" s="462"/>
      <c r="E72" s="462"/>
      <c r="F72" s="462"/>
      <c r="G72" s="472"/>
      <c r="H72" s="473"/>
      <c r="I72" s="464"/>
      <c r="J72" s="496"/>
      <c r="K72" s="493"/>
      <c r="L72" s="53"/>
      <c r="M72" s="476"/>
      <c r="N72" s="490"/>
      <c r="O72" s="493"/>
      <c r="P72" s="53"/>
      <c r="Q72" s="459"/>
      <c r="R72" s="490"/>
      <c r="S72" s="493"/>
    </row>
    <row r="73" spans="2:19" ht="16.5" thickTop="1" x14ac:dyDescent="0.2">
      <c r="B73" s="83">
        <v>1</v>
      </c>
      <c r="C73" s="477" t="s">
        <v>23</v>
      </c>
      <c r="D73" s="478"/>
      <c r="E73" s="478"/>
      <c r="F73" s="478"/>
      <c r="G73" s="478"/>
      <c r="H73" s="479"/>
      <c r="I73" s="35">
        <f>I84+I74</f>
        <v>131120</v>
      </c>
      <c r="J73" s="35">
        <f>J84+J74</f>
        <v>0</v>
      </c>
      <c r="K73" s="93">
        <f>J73+I73</f>
        <v>131120</v>
      </c>
      <c r="L73" s="360"/>
      <c r="M73" s="348">
        <f>M84+M74</f>
        <v>0</v>
      </c>
      <c r="N73" s="35">
        <f>N84+N74</f>
        <v>0</v>
      </c>
      <c r="O73" s="93">
        <f>N73+M73</f>
        <v>0</v>
      </c>
      <c r="P73" s="360"/>
      <c r="Q73" s="348">
        <f t="shared" ref="Q73:Q89" si="7">I73+M73</f>
        <v>131120</v>
      </c>
      <c r="R73" s="35">
        <f t="shared" ref="R73:R89" si="8">J73+N73</f>
        <v>0</v>
      </c>
      <c r="S73" s="93">
        <f t="shared" ref="S73:S89" si="9">K73+O73</f>
        <v>131120</v>
      </c>
    </row>
    <row r="74" spans="2:19" ht="15" x14ac:dyDescent="0.2">
      <c r="B74" s="83">
        <f>B73+1</f>
        <v>2</v>
      </c>
      <c r="C74" s="239">
        <v>1</v>
      </c>
      <c r="D74" s="444" t="s">
        <v>210</v>
      </c>
      <c r="E74" s="480"/>
      <c r="F74" s="480"/>
      <c r="G74" s="480"/>
      <c r="H74" s="481"/>
      <c r="I74" s="36">
        <f>I75+I77+I81+I83+I79</f>
        <v>99600</v>
      </c>
      <c r="J74" s="36"/>
      <c r="K74" s="84">
        <f t="shared" ref="K74:K89" si="10">J74+I74</f>
        <v>99600</v>
      </c>
      <c r="L74" s="353"/>
      <c r="M74" s="342">
        <v>0</v>
      </c>
      <c r="N74" s="244"/>
      <c r="O74" s="84">
        <f t="shared" ref="O74:O89" si="11">N74+M74</f>
        <v>0</v>
      </c>
      <c r="P74" s="353"/>
      <c r="Q74" s="342">
        <f t="shared" si="7"/>
        <v>99600</v>
      </c>
      <c r="R74" s="36">
        <f t="shared" si="8"/>
        <v>0</v>
      </c>
      <c r="S74" s="84">
        <f t="shared" si="9"/>
        <v>99600</v>
      </c>
    </row>
    <row r="75" spans="2:19" x14ac:dyDescent="0.2">
      <c r="B75" s="83">
        <f>B74+1</f>
        <v>3</v>
      </c>
      <c r="C75" s="7"/>
      <c r="D75" s="7"/>
      <c r="E75" s="7"/>
      <c r="F75" s="25" t="s">
        <v>81</v>
      </c>
      <c r="G75" s="7">
        <v>630</v>
      </c>
      <c r="H75" s="7" t="s">
        <v>132</v>
      </c>
      <c r="I75" s="23">
        <f>I76</f>
        <v>22000</v>
      </c>
      <c r="J75" s="23"/>
      <c r="K75" s="86">
        <f t="shared" si="10"/>
        <v>22000</v>
      </c>
      <c r="L75" s="355"/>
      <c r="M75" s="344"/>
      <c r="N75" s="246"/>
      <c r="O75" s="86">
        <f t="shared" si="11"/>
        <v>0</v>
      </c>
      <c r="P75" s="355"/>
      <c r="Q75" s="344">
        <f t="shared" si="7"/>
        <v>22000</v>
      </c>
      <c r="R75" s="23">
        <f t="shared" si="8"/>
        <v>0</v>
      </c>
      <c r="S75" s="86">
        <f t="shared" si="9"/>
        <v>22000</v>
      </c>
    </row>
    <row r="76" spans="2:19" x14ac:dyDescent="0.2">
      <c r="B76" s="83">
        <f t="shared" ref="B76:B89" si="12">B75+1</f>
        <v>4</v>
      </c>
      <c r="C76" s="3"/>
      <c r="D76" s="3"/>
      <c r="E76" s="3"/>
      <c r="F76" s="26" t="s">
        <v>81</v>
      </c>
      <c r="G76" s="3">
        <v>637</v>
      </c>
      <c r="H76" s="3" t="s">
        <v>133</v>
      </c>
      <c r="I76" s="19">
        <v>22000</v>
      </c>
      <c r="J76" s="19"/>
      <c r="K76" s="87">
        <f t="shared" si="10"/>
        <v>22000</v>
      </c>
      <c r="L76" s="356"/>
      <c r="M76" s="345"/>
      <c r="N76" s="208"/>
      <c r="O76" s="87">
        <f t="shared" si="11"/>
        <v>0</v>
      </c>
      <c r="P76" s="356"/>
      <c r="Q76" s="345">
        <f t="shared" si="7"/>
        <v>22000</v>
      </c>
      <c r="R76" s="19">
        <f t="shared" si="8"/>
        <v>0</v>
      </c>
      <c r="S76" s="87">
        <f t="shared" si="9"/>
        <v>22000</v>
      </c>
    </row>
    <row r="77" spans="2:19" x14ac:dyDescent="0.2">
      <c r="B77" s="83">
        <f t="shared" si="12"/>
        <v>5</v>
      </c>
      <c r="C77" s="7"/>
      <c r="D77" s="7"/>
      <c r="E77" s="7"/>
      <c r="F77" s="25" t="s">
        <v>259</v>
      </c>
      <c r="G77" s="7">
        <v>630</v>
      </c>
      <c r="H77" s="7" t="s">
        <v>132</v>
      </c>
      <c r="I77" s="23">
        <f>I78</f>
        <v>10000</v>
      </c>
      <c r="J77" s="23"/>
      <c r="K77" s="86">
        <f t="shared" si="10"/>
        <v>10000</v>
      </c>
      <c r="L77" s="355"/>
      <c r="M77" s="344"/>
      <c r="N77" s="246"/>
      <c r="O77" s="86">
        <f t="shared" si="11"/>
        <v>0</v>
      </c>
      <c r="P77" s="355"/>
      <c r="Q77" s="344">
        <f t="shared" si="7"/>
        <v>10000</v>
      </c>
      <c r="R77" s="23">
        <f t="shared" si="8"/>
        <v>0</v>
      </c>
      <c r="S77" s="86">
        <f t="shared" si="9"/>
        <v>10000</v>
      </c>
    </row>
    <row r="78" spans="2:19" x14ac:dyDescent="0.2">
      <c r="B78" s="83">
        <f t="shared" si="12"/>
        <v>6</v>
      </c>
      <c r="C78" s="3"/>
      <c r="D78" s="3"/>
      <c r="E78" s="3"/>
      <c r="F78" s="26" t="s">
        <v>259</v>
      </c>
      <c r="G78" s="3">
        <v>637</v>
      </c>
      <c r="H78" s="3" t="s">
        <v>133</v>
      </c>
      <c r="I78" s="19">
        <f>8500+1500</f>
        <v>10000</v>
      </c>
      <c r="J78" s="19"/>
      <c r="K78" s="87">
        <f t="shared" si="10"/>
        <v>10000</v>
      </c>
      <c r="L78" s="356"/>
      <c r="M78" s="345"/>
      <c r="N78" s="208"/>
      <c r="O78" s="87">
        <f t="shared" si="11"/>
        <v>0</v>
      </c>
      <c r="P78" s="356"/>
      <c r="Q78" s="345">
        <f t="shared" si="7"/>
        <v>10000</v>
      </c>
      <c r="R78" s="19">
        <f t="shared" si="8"/>
        <v>0</v>
      </c>
      <c r="S78" s="87">
        <f t="shared" si="9"/>
        <v>10000</v>
      </c>
    </row>
    <row r="79" spans="2:19" x14ac:dyDescent="0.2">
      <c r="B79" s="83">
        <f t="shared" si="12"/>
        <v>7</v>
      </c>
      <c r="C79" s="7"/>
      <c r="D79" s="7"/>
      <c r="E79" s="7"/>
      <c r="F79" s="25" t="s">
        <v>440</v>
      </c>
      <c r="G79" s="7">
        <v>630</v>
      </c>
      <c r="H79" s="7" t="s">
        <v>132</v>
      </c>
      <c r="I79" s="23">
        <f>I80</f>
        <v>19000</v>
      </c>
      <c r="J79" s="23"/>
      <c r="K79" s="86">
        <f t="shared" si="10"/>
        <v>19000</v>
      </c>
      <c r="L79" s="355"/>
      <c r="M79" s="344"/>
      <c r="N79" s="246"/>
      <c r="O79" s="86">
        <f t="shared" si="11"/>
        <v>0</v>
      </c>
      <c r="P79" s="355"/>
      <c r="Q79" s="344">
        <f t="shared" si="7"/>
        <v>19000</v>
      </c>
      <c r="R79" s="23">
        <f t="shared" si="8"/>
        <v>0</v>
      </c>
      <c r="S79" s="86">
        <f t="shared" si="9"/>
        <v>19000</v>
      </c>
    </row>
    <row r="80" spans="2:19" x14ac:dyDescent="0.2">
      <c r="B80" s="83">
        <f t="shared" si="12"/>
        <v>8</v>
      </c>
      <c r="C80" s="3"/>
      <c r="D80" s="3"/>
      <c r="E80" s="3"/>
      <c r="F80" s="26" t="s">
        <v>440</v>
      </c>
      <c r="G80" s="3">
        <v>637</v>
      </c>
      <c r="H80" s="3" t="s">
        <v>441</v>
      </c>
      <c r="I80" s="19">
        <f>6000+13000</f>
        <v>19000</v>
      </c>
      <c r="J80" s="19"/>
      <c r="K80" s="87">
        <f t="shared" si="10"/>
        <v>19000</v>
      </c>
      <c r="L80" s="356"/>
      <c r="M80" s="345"/>
      <c r="N80" s="208"/>
      <c r="O80" s="87">
        <f t="shared" si="11"/>
        <v>0</v>
      </c>
      <c r="P80" s="356"/>
      <c r="Q80" s="345">
        <f t="shared" si="7"/>
        <v>19000</v>
      </c>
      <c r="R80" s="19">
        <f t="shared" si="8"/>
        <v>0</v>
      </c>
      <c r="S80" s="87">
        <f t="shared" si="9"/>
        <v>19000</v>
      </c>
    </row>
    <row r="81" spans="2:19" x14ac:dyDescent="0.2">
      <c r="B81" s="83">
        <f t="shared" si="12"/>
        <v>9</v>
      </c>
      <c r="C81" s="7"/>
      <c r="D81" s="7"/>
      <c r="E81" s="7"/>
      <c r="F81" s="25" t="s">
        <v>233</v>
      </c>
      <c r="G81" s="7">
        <v>630</v>
      </c>
      <c r="H81" s="7" t="s">
        <v>132</v>
      </c>
      <c r="I81" s="23">
        <f>I82</f>
        <v>23000</v>
      </c>
      <c r="J81" s="23"/>
      <c r="K81" s="86">
        <f t="shared" si="10"/>
        <v>23000</v>
      </c>
      <c r="L81" s="355"/>
      <c r="M81" s="344"/>
      <c r="N81" s="246"/>
      <c r="O81" s="86">
        <f t="shared" si="11"/>
        <v>0</v>
      </c>
      <c r="P81" s="355"/>
      <c r="Q81" s="344">
        <f t="shared" si="7"/>
        <v>23000</v>
      </c>
      <c r="R81" s="23">
        <f t="shared" si="8"/>
        <v>0</v>
      </c>
      <c r="S81" s="86">
        <f t="shared" si="9"/>
        <v>23000</v>
      </c>
    </row>
    <row r="82" spans="2:19" x14ac:dyDescent="0.2">
      <c r="B82" s="83">
        <f t="shared" si="12"/>
        <v>10</v>
      </c>
      <c r="C82" s="3"/>
      <c r="D82" s="3"/>
      <c r="E82" s="3"/>
      <c r="F82" s="26" t="s">
        <v>233</v>
      </c>
      <c r="G82" s="3">
        <v>637</v>
      </c>
      <c r="H82" s="3" t="s">
        <v>133</v>
      </c>
      <c r="I82" s="19">
        <f>25000-2000</f>
        <v>23000</v>
      </c>
      <c r="J82" s="19"/>
      <c r="K82" s="87">
        <f t="shared" si="10"/>
        <v>23000</v>
      </c>
      <c r="L82" s="356"/>
      <c r="M82" s="345"/>
      <c r="N82" s="208"/>
      <c r="O82" s="87">
        <f t="shared" si="11"/>
        <v>0</v>
      </c>
      <c r="P82" s="356"/>
      <c r="Q82" s="345">
        <f t="shared" si="7"/>
        <v>23000</v>
      </c>
      <c r="R82" s="19">
        <f t="shared" si="8"/>
        <v>0</v>
      </c>
      <c r="S82" s="87">
        <f t="shared" si="9"/>
        <v>23000</v>
      </c>
    </row>
    <row r="83" spans="2:19" x14ac:dyDescent="0.2">
      <c r="B83" s="83">
        <f t="shared" si="12"/>
        <v>11</v>
      </c>
      <c r="C83" s="3"/>
      <c r="D83" s="130"/>
      <c r="E83" s="3"/>
      <c r="F83" s="30" t="s">
        <v>82</v>
      </c>
      <c r="G83" s="2"/>
      <c r="H83" s="131" t="s">
        <v>434</v>
      </c>
      <c r="I83" s="18">
        <v>25600</v>
      </c>
      <c r="J83" s="18"/>
      <c r="K83" s="114">
        <f t="shared" si="10"/>
        <v>25600</v>
      </c>
      <c r="L83" s="355"/>
      <c r="M83" s="349"/>
      <c r="N83" s="207"/>
      <c r="O83" s="114">
        <f t="shared" si="11"/>
        <v>0</v>
      </c>
      <c r="P83" s="355"/>
      <c r="Q83" s="349">
        <f t="shared" si="7"/>
        <v>25600</v>
      </c>
      <c r="R83" s="18">
        <f t="shared" si="8"/>
        <v>0</v>
      </c>
      <c r="S83" s="114">
        <f t="shared" si="9"/>
        <v>25600</v>
      </c>
    </row>
    <row r="84" spans="2:19" ht="15" x14ac:dyDescent="0.2">
      <c r="B84" s="83">
        <f t="shared" si="12"/>
        <v>12</v>
      </c>
      <c r="C84" s="239">
        <v>2</v>
      </c>
      <c r="D84" s="444" t="s">
        <v>260</v>
      </c>
      <c r="E84" s="480"/>
      <c r="F84" s="480"/>
      <c r="G84" s="480"/>
      <c r="H84" s="481"/>
      <c r="I84" s="36">
        <f>I85+I87</f>
        <v>31520</v>
      </c>
      <c r="J84" s="36"/>
      <c r="K84" s="84">
        <f t="shared" si="10"/>
        <v>31520</v>
      </c>
      <c r="L84" s="353"/>
      <c r="M84" s="342">
        <v>0</v>
      </c>
      <c r="N84" s="244"/>
      <c r="O84" s="84">
        <f t="shared" si="11"/>
        <v>0</v>
      </c>
      <c r="P84" s="353"/>
      <c r="Q84" s="342">
        <f t="shared" si="7"/>
        <v>31520</v>
      </c>
      <c r="R84" s="36">
        <f t="shared" si="8"/>
        <v>0</v>
      </c>
      <c r="S84" s="84">
        <f t="shared" si="9"/>
        <v>31520</v>
      </c>
    </row>
    <row r="85" spans="2:19" x14ac:dyDescent="0.2">
      <c r="B85" s="83">
        <f t="shared" si="12"/>
        <v>13</v>
      </c>
      <c r="C85" s="7"/>
      <c r="D85" s="7"/>
      <c r="E85" s="7"/>
      <c r="F85" s="25" t="s">
        <v>259</v>
      </c>
      <c r="G85" s="7">
        <v>630</v>
      </c>
      <c r="H85" s="7" t="s">
        <v>132</v>
      </c>
      <c r="I85" s="23">
        <f>I86</f>
        <v>8000</v>
      </c>
      <c r="J85" s="23"/>
      <c r="K85" s="86">
        <f t="shared" si="10"/>
        <v>8000</v>
      </c>
      <c r="L85" s="355"/>
      <c r="M85" s="344"/>
      <c r="N85" s="246"/>
      <c r="O85" s="86">
        <f t="shared" si="11"/>
        <v>0</v>
      </c>
      <c r="P85" s="355"/>
      <c r="Q85" s="344">
        <f t="shared" si="7"/>
        <v>8000</v>
      </c>
      <c r="R85" s="23">
        <f t="shared" si="8"/>
        <v>0</v>
      </c>
      <c r="S85" s="86">
        <f t="shared" si="9"/>
        <v>8000</v>
      </c>
    </row>
    <row r="86" spans="2:19" x14ac:dyDescent="0.2">
      <c r="B86" s="83">
        <f t="shared" si="12"/>
        <v>14</v>
      </c>
      <c r="C86" s="3"/>
      <c r="D86" s="3"/>
      <c r="E86" s="3"/>
      <c r="F86" s="26" t="s">
        <v>259</v>
      </c>
      <c r="G86" s="3">
        <v>637</v>
      </c>
      <c r="H86" s="3" t="s">
        <v>133</v>
      </c>
      <c r="I86" s="19">
        <v>8000</v>
      </c>
      <c r="J86" s="19"/>
      <c r="K86" s="87">
        <f t="shared" si="10"/>
        <v>8000</v>
      </c>
      <c r="L86" s="356"/>
      <c r="M86" s="345"/>
      <c r="N86" s="208"/>
      <c r="O86" s="87">
        <f t="shared" si="11"/>
        <v>0</v>
      </c>
      <c r="P86" s="356"/>
      <c r="Q86" s="345">
        <f t="shared" si="7"/>
        <v>8000</v>
      </c>
      <c r="R86" s="19">
        <f t="shared" si="8"/>
        <v>0</v>
      </c>
      <c r="S86" s="87">
        <f t="shared" si="9"/>
        <v>8000</v>
      </c>
    </row>
    <row r="87" spans="2:19" x14ac:dyDescent="0.2">
      <c r="B87" s="83">
        <f t="shared" si="12"/>
        <v>15</v>
      </c>
      <c r="C87" s="7"/>
      <c r="D87" s="7"/>
      <c r="E87" s="7"/>
      <c r="F87" s="25" t="s">
        <v>259</v>
      </c>
      <c r="G87" s="7">
        <v>640</v>
      </c>
      <c r="H87" s="7" t="s">
        <v>140</v>
      </c>
      <c r="I87" s="23">
        <f>I88</f>
        <v>23520</v>
      </c>
      <c r="J87" s="23"/>
      <c r="K87" s="86">
        <f t="shared" si="10"/>
        <v>23520</v>
      </c>
      <c r="L87" s="355"/>
      <c r="M87" s="344"/>
      <c r="N87" s="246"/>
      <c r="O87" s="86">
        <f t="shared" si="11"/>
        <v>0</v>
      </c>
      <c r="P87" s="355"/>
      <c r="Q87" s="344">
        <f t="shared" si="7"/>
        <v>23520</v>
      </c>
      <c r="R87" s="23">
        <f t="shared" si="8"/>
        <v>0</v>
      </c>
      <c r="S87" s="86">
        <f t="shared" si="9"/>
        <v>23520</v>
      </c>
    </row>
    <row r="88" spans="2:19" x14ac:dyDescent="0.2">
      <c r="B88" s="83">
        <f t="shared" si="12"/>
        <v>16</v>
      </c>
      <c r="C88" s="3"/>
      <c r="D88" s="3"/>
      <c r="E88" s="3"/>
      <c r="F88" s="26" t="s">
        <v>259</v>
      </c>
      <c r="G88" s="3">
        <v>642</v>
      </c>
      <c r="H88" s="3" t="s">
        <v>141</v>
      </c>
      <c r="I88" s="19">
        <f>I89</f>
        <v>23520</v>
      </c>
      <c r="J88" s="19"/>
      <c r="K88" s="87">
        <f t="shared" si="10"/>
        <v>23520</v>
      </c>
      <c r="L88" s="356"/>
      <c r="M88" s="345"/>
      <c r="N88" s="208"/>
      <c r="O88" s="87">
        <f t="shared" si="11"/>
        <v>0</v>
      </c>
      <c r="P88" s="356"/>
      <c r="Q88" s="345">
        <f t="shared" si="7"/>
        <v>23520</v>
      </c>
      <c r="R88" s="19">
        <f t="shared" si="8"/>
        <v>0</v>
      </c>
      <c r="S88" s="87">
        <f t="shared" si="9"/>
        <v>23520</v>
      </c>
    </row>
    <row r="89" spans="2:19" ht="13.5" thickBot="1" x14ac:dyDescent="0.25">
      <c r="B89" s="89">
        <f t="shared" si="12"/>
        <v>17</v>
      </c>
      <c r="C89" s="95"/>
      <c r="D89" s="95"/>
      <c r="E89" s="95"/>
      <c r="F89" s="96"/>
      <c r="G89" s="95"/>
      <c r="H89" s="95" t="s">
        <v>323</v>
      </c>
      <c r="I89" s="98">
        <v>23520</v>
      </c>
      <c r="J89" s="98"/>
      <c r="K89" s="99">
        <f t="shared" si="10"/>
        <v>23520</v>
      </c>
      <c r="L89" s="361"/>
      <c r="M89" s="350"/>
      <c r="N89" s="250"/>
      <c r="O89" s="99">
        <f t="shared" si="11"/>
        <v>0</v>
      </c>
      <c r="P89" s="361"/>
      <c r="Q89" s="350">
        <f t="shared" si="7"/>
        <v>23520</v>
      </c>
      <c r="R89" s="98">
        <f t="shared" si="8"/>
        <v>0</v>
      </c>
      <c r="S89" s="99">
        <f t="shared" si="9"/>
        <v>23520</v>
      </c>
    </row>
    <row r="108" spans="2:19" ht="27.75" thickBot="1" x14ac:dyDescent="0.4">
      <c r="B108" s="455" t="s">
        <v>24</v>
      </c>
      <c r="C108" s="456"/>
      <c r="D108" s="456"/>
      <c r="E108" s="456"/>
      <c r="F108" s="456"/>
      <c r="G108" s="456"/>
      <c r="H108" s="456"/>
      <c r="I108" s="456"/>
      <c r="J108" s="456"/>
      <c r="K108" s="456"/>
      <c r="L108" s="456"/>
      <c r="M108" s="456"/>
      <c r="N108" s="456"/>
      <c r="O108" s="456"/>
      <c r="P108" s="456"/>
      <c r="Q108" s="456"/>
    </row>
    <row r="109" spans="2:19" ht="13.5" customHeight="1" thickBot="1" x14ac:dyDescent="0.25">
      <c r="B109" s="452" t="s">
        <v>359</v>
      </c>
      <c r="C109" s="453"/>
      <c r="D109" s="453"/>
      <c r="E109" s="453"/>
      <c r="F109" s="453"/>
      <c r="G109" s="453"/>
      <c r="H109" s="453"/>
      <c r="I109" s="453"/>
      <c r="J109" s="453"/>
      <c r="K109" s="453"/>
      <c r="L109" s="453"/>
      <c r="M109" s="453"/>
      <c r="N109" s="453"/>
      <c r="O109" s="454"/>
      <c r="P109" s="339"/>
      <c r="Q109" s="457" t="s">
        <v>667</v>
      </c>
      <c r="R109" s="488" t="s">
        <v>668</v>
      </c>
      <c r="S109" s="491" t="s">
        <v>669</v>
      </c>
    </row>
    <row r="110" spans="2:19" ht="13.5" customHeight="1" thickBot="1" x14ac:dyDescent="0.25">
      <c r="B110" s="466"/>
      <c r="C110" s="460" t="s">
        <v>125</v>
      </c>
      <c r="D110" s="460" t="s">
        <v>126</v>
      </c>
      <c r="E110" s="460"/>
      <c r="F110" s="460" t="s">
        <v>127</v>
      </c>
      <c r="G110" s="470" t="s">
        <v>128</v>
      </c>
      <c r="H110" s="473" t="s">
        <v>129</v>
      </c>
      <c r="I110" s="463" t="s">
        <v>670</v>
      </c>
      <c r="J110" s="495" t="s">
        <v>668</v>
      </c>
      <c r="K110" s="491" t="s">
        <v>671</v>
      </c>
      <c r="L110" s="53"/>
      <c r="M110" s="474" t="s">
        <v>672</v>
      </c>
      <c r="N110" s="488" t="s">
        <v>668</v>
      </c>
      <c r="O110" s="491" t="s">
        <v>671</v>
      </c>
      <c r="P110" s="53"/>
      <c r="Q110" s="458"/>
      <c r="R110" s="489"/>
      <c r="S110" s="492"/>
    </row>
    <row r="111" spans="2:19" ht="13.5" thickBot="1" x14ac:dyDescent="0.25">
      <c r="B111" s="466"/>
      <c r="C111" s="461"/>
      <c r="D111" s="461"/>
      <c r="E111" s="461"/>
      <c r="F111" s="461"/>
      <c r="G111" s="471"/>
      <c r="H111" s="473"/>
      <c r="I111" s="463"/>
      <c r="J111" s="495"/>
      <c r="K111" s="492"/>
      <c r="L111" s="53"/>
      <c r="M111" s="475"/>
      <c r="N111" s="489"/>
      <c r="O111" s="492"/>
      <c r="P111" s="53"/>
      <c r="Q111" s="458"/>
      <c r="R111" s="489"/>
      <c r="S111" s="492"/>
    </row>
    <row r="112" spans="2:19" ht="13.5" thickBot="1" x14ac:dyDescent="0.25">
      <c r="B112" s="466"/>
      <c r="C112" s="461"/>
      <c r="D112" s="461"/>
      <c r="E112" s="461"/>
      <c r="F112" s="461"/>
      <c r="G112" s="471"/>
      <c r="H112" s="473"/>
      <c r="I112" s="463"/>
      <c r="J112" s="495"/>
      <c r="K112" s="492"/>
      <c r="L112" s="53"/>
      <c r="M112" s="475"/>
      <c r="N112" s="489"/>
      <c r="O112" s="492"/>
      <c r="P112" s="53"/>
      <c r="Q112" s="458"/>
      <c r="R112" s="489"/>
      <c r="S112" s="492"/>
    </row>
    <row r="113" spans="2:19" ht="13.5" thickBot="1" x14ac:dyDescent="0.25">
      <c r="B113" s="466"/>
      <c r="C113" s="462"/>
      <c r="D113" s="462"/>
      <c r="E113" s="462"/>
      <c r="F113" s="462"/>
      <c r="G113" s="472"/>
      <c r="H113" s="473"/>
      <c r="I113" s="464"/>
      <c r="J113" s="496"/>
      <c r="K113" s="493"/>
      <c r="L113" s="53"/>
      <c r="M113" s="476"/>
      <c r="N113" s="490"/>
      <c r="O113" s="493"/>
      <c r="P113" s="53"/>
      <c r="Q113" s="459"/>
      <c r="R113" s="490"/>
      <c r="S113" s="493"/>
    </row>
    <row r="114" spans="2:19" ht="16.5" thickTop="1" x14ac:dyDescent="0.2">
      <c r="B114" s="83">
        <v>1</v>
      </c>
      <c r="C114" s="477" t="s">
        <v>24</v>
      </c>
      <c r="D114" s="482"/>
      <c r="E114" s="482"/>
      <c r="F114" s="482"/>
      <c r="G114" s="482"/>
      <c r="H114" s="483"/>
      <c r="I114" s="35">
        <f>I199+I186+I181+I162+I138+I134+I118+I115</f>
        <v>4406968</v>
      </c>
      <c r="J114" s="35">
        <f>J199+J186+J181+J162+J138+J134+J118+J115</f>
        <v>0</v>
      </c>
      <c r="K114" s="93">
        <f>J114+I114</f>
        <v>4406968</v>
      </c>
      <c r="L114" s="360"/>
      <c r="M114" s="348">
        <f>M115+M118+M134+M138+M162+M181+M186+M199</f>
        <v>828453</v>
      </c>
      <c r="N114" s="35">
        <f>N115+N118+N134+N138+N162+N181+N186+N199</f>
        <v>23000</v>
      </c>
      <c r="O114" s="93">
        <f>N114+M114</f>
        <v>851453</v>
      </c>
      <c r="P114" s="360"/>
      <c r="Q114" s="348">
        <f t="shared" ref="Q114:Q176" si="13">I114+M114</f>
        <v>5235421</v>
      </c>
      <c r="R114" s="35">
        <f t="shared" ref="R114:R176" si="14">J114+N114</f>
        <v>23000</v>
      </c>
      <c r="S114" s="93">
        <f t="shared" ref="S114:S176" si="15">K114+O114</f>
        <v>5258421</v>
      </c>
    </row>
    <row r="115" spans="2:19" ht="15" x14ac:dyDescent="0.2">
      <c r="B115" s="83">
        <f>B114+1</f>
        <v>2</v>
      </c>
      <c r="C115" s="239">
        <v>1</v>
      </c>
      <c r="D115" s="444" t="s">
        <v>154</v>
      </c>
      <c r="E115" s="445"/>
      <c r="F115" s="445"/>
      <c r="G115" s="445"/>
      <c r="H115" s="446"/>
      <c r="I115" s="36">
        <f>I116</f>
        <v>176960</v>
      </c>
      <c r="J115" s="36"/>
      <c r="K115" s="84">
        <f t="shared" ref="K115:K177" si="16">J115+I115</f>
        <v>176960</v>
      </c>
      <c r="L115" s="353"/>
      <c r="M115" s="342">
        <f>M116</f>
        <v>0</v>
      </c>
      <c r="N115" s="244"/>
      <c r="O115" s="84">
        <f t="shared" ref="O115:O177" si="17">N115+M115</f>
        <v>0</v>
      </c>
      <c r="P115" s="353"/>
      <c r="Q115" s="342">
        <f t="shared" si="13"/>
        <v>176960</v>
      </c>
      <c r="R115" s="36">
        <f t="shared" si="14"/>
        <v>0</v>
      </c>
      <c r="S115" s="84">
        <f t="shared" si="15"/>
        <v>176960</v>
      </c>
    </row>
    <row r="116" spans="2:19" x14ac:dyDescent="0.2">
      <c r="B116" s="83">
        <f>B115+1</f>
        <v>3</v>
      </c>
      <c r="C116" s="7"/>
      <c r="D116" s="7"/>
      <c r="E116" s="7"/>
      <c r="F116" s="25" t="s">
        <v>81</v>
      </c>
      <c r="G116" s="7">
        <v>630</v>
      </c>
      <c r="H116" s="7" t="s">
        <v>132</v>
      </c>
      <c r="I116" s="23">
        <f>I117</f>
        <v>176960</v>
      </c>
      <c r="J116" s="23"/>
      <c r="K116" s="86">
        <f t="shared" si="16"/>
        <v>176960</v>
      </c>
      <c r="L116" s="355"/>
      <c r="M116" s="344"/>
      <c r="N116" s="246"/>
      <c r="O116" s="86">
        <f t="shared" si="17"/>
        <v>0</v>
      </c>
      <c r="P116" s="355"/>
      <c r="Q116" s="344">
        <f t="shared" si="13"/>
        <v>176960</v>
      </c>
      <c r="R116" s="23">
        <f t="shared" si="14"/>
        <v>0</v>
      </c>
      <c r="S116" s="86">
        <f t="shared" si="15"/>
        <v>176960</v>
      </c>
    </row>
    <row r="117" spans="2:19" x14ac:dyDescent="0.2">
      <c r="B117" s="83">
        <f t="shared" ref="B117:B179" si="18">B116+1</f>
        <v>4</v>
      </c>
      <c r="C117" s="3"/>
      <c r="D117" s="3"/>
      <c r="E117" s="3"/>
      <c r="F117" s="26" t="s">
        <v>81</v>
      </c>
      <c r="G117" s="3">
        <v>637</v>
      </c>
      <c r="H117" s="3" t="s">
        <v>133</v>
      </c>
      <c r="I117" s="19">
        <f>131400-1000-8440+55000</f>
        <v>176960</v>
      </c>
      <c r="J117" s="19"/>
      <c r="K117" s="87">
        <f t="shared" si="16"/>
        <v>176960</v>
      </c>
      <c r="L117" s="356"/>
      <c r="M117" s="345"/>
      <c r="N117" s="208"/>
      <c r="O117" s="87">
        <f t="shared" si="17"/>
        <v>0</v>
      </c>
      <c r="P117" s="356"/>
      <c r="Q117" s="345">
        <f t="shared" si="13"/>
        <v>176960</v>
      </c>
      <c r="R117" s="19">
        <f t="shared" si="14"/>
        <v>0</v>
      </c>
      <c r="S117" s="87">
        <f t="shared" si="15"/>
        <v>176960</v>
      </c>
    </row>
    <row r="118" spans="2:19" ht="15" x14ac:dyDescent="0.2">
      <c r="B118" s="83">
        <f t="shared" si="18"/>
        <v>5</v>
      </c>
      <c r="C118" s="239">
        <v>2</v>
      </c>
      <c r="D118" s="444" t="s">
        <v>153</v>
      </c>
      <c r="E118" s="445"/>
      <c r="F118" s="445"/>
      <c r="G118" s="445"/>
      <c r="H118" s="446"/>
      <c r="I118" s="36">
        <f>I119+I122+I128</f>
        <v>87250</v>
      </c>
      <c r="J118" s="36"/>
      <c r="K118" s="84">
        <f t="shared" si="16"/>
        <v>87250</v>
      </c>
      <c r="L118" s="353"/>
      <c r="M118" s="342">
        <f>M119+M122+M128</f>
        <v>426474</v>
      </c>
      <c r="N118" s="342">
        <f>N119+N122+N128</f>
        <v>23000</v>
      </c>
      <c r="O118" s="84">
        <f t="shared" si="17"/>
        <v>449474</v>
      </c>
      <c r="P118" s="353"/>
      <c r="Q118" s="342">
        <f t="shared" si="13"/>
        <v>513724</v>
      </c>
      <c r="R118" s="36">
        <f t="shared" si="14"/>
        <v>23000</v>
      </c>
      <c r="S118" s="84">
        <f t="shared" si="15"/>
        <v>536724</v>
      </c>
    </row>
    <row r="119" spans="2:19" ht="15" x14ac:dyDescent="0.25">
      <c r="B119" s="83">
        <f t="shared" si="18"/>
        <v>6</v>
      </c>
      <c r="C119" s="240"/>
      <c r="D119" s="240">
        <v>1</v>
      </c>
      <c r="E119" s="467" t="s">
        <v>159</v>
      </c>
      <c r="F119" s="445"/>
      <c r="G119" s="445"/>
      <c r="H119" s="446"/>
      <c r="I119" s="37">
        <f>I120</f>
        <v>2500</v>
      </c>
      <c r="J119" s="37"/>
      <c r="K119" s="85">
        <f t="shared" si="16"/>
        <v>2500</v>
      </c>
      <c r="L119" s="354"/>
      <c r="M119" s="343">
        <v>0</v>
      </c>
      <c r="N119" s="245"/>
      <c r="O119" s="85">
        <f t="shared" si="17"/>
        <v>0</v>
      </c>
      <c r="P119" s="354"/>
      <c r="Q119" s="343">
        <f t="shared" si="13"/>
        <v>2500</v>
      </c>
      <c r="R119" s="37">
        <f t="shared" si="14"/>
        <v>0</v>
      </c>
      <c r="S119" s="85">
        <f t="shared" si="15"/>
        <v>2500</v>
      </c>
    </row>
    <row r="120" spans="2:19" x14ac:dyDescent="0.2">
      <c r="B120" s="83">
        <f t="shared" si="18"/>
        <v>7</v>
      </c>
      <c r="C120" s="7"/>
      <c r="D120" s="7"/>
      <c r="E120" s="7"/>
      <c r="F120" s="25" t="s">
        <v>81</v>
      </c>
      <c r="G120" s="7">
        <v>630</v>
      </c>
      <c r="H120" s="7" t="s">
        <v>132</v>
      </c>
      <c r="I120" s="23">
        <f>I121</f>
        <v>2500</v>
      </c>
      <c r="J120" s="23"/>
      <c r="K120" s="86">
        <f t="shared" si="16"/>
        <v>2500</v>
      </c>
      <c r="L120" s="355"/>
      <c r="M120" s="344"/>
      <c r="N120" s="246"/>
      <c r="O120" s="86">
        <f t="shared" si="17"/>
        <v>0</v>
      </c>
      <c r="P120" s="355"/>
      <c r="Q120" s="344">
        <f t="shared" si="13"/>
        <v>2500</v>
      </c>
      <c r="R120" s="23">
        <f t="shared" si="14"/>
        <v>0</v>
      </c>
      <c r="S120" s="86">
        <f t="shared" si="15"/>
        <v>2500</v>
      </c>
    </row>
    <row r="121" spans="2:19" x14ac:dyDescent="0.2">
      <c r="B121" s="83">
        <f t="shared" si="18"/>
        <v>8</v>
      </c>
      <c r="C121" s="3"/>
      <c r="D121" s="3"/>
      <c r="E121" s="3"/>
      <c r="F121" s="26" t="s">
        <v>81</v>
      </c>
      <c r="G121" s="3">
        <v>637</v>
      </c>
      <c r="H121" s="3" t="s">
        <v>133</v>
      </c>
      <c r="I121" s="19">
        <v>2500</v>
      </c>
      <c r="J121" s="19"/>
      <c r="K121" s="87">
        <f t="shared" si="16"/>
        <v>2500</v>
      </c>
      <c r="L121" s="356"/>
      <c r="M121" s="345"/>
      <c r="N121" s="208"/>
      <c r="O121" s="87">
        <f t="shared" si="17"/>
        <v>0</v>
      </c>
      <c r="P121" s="356"/>
      <c r="Q121" s="345">
        <f t="shared" si="13"/>
        <v>2500</v>
      </c>
      <c r="R121" s="19">
        <f t="shared" si="14"/>
        <v>0</v>
      </c>
      <c r="S121" s="87">
        <f t="shared" si="15"/>
        <v>2500</v>
      </c>
    </row>
    <row r="122" spans="2:19" ht="15" x14ac:dyDescent="0.25">
      <c r="B122" s="83">
        <f t="shared" si="18"/>
        <v>9</v>
      </c>
      <c r="C122" s="240"/>
      <c r="D122" s="240">
        <v>2</v>
      </c>
      <c r="E122" s="467" t="s">
        <v>152</v>
      </c>
      <c r="F122" s="445"/>
      <c r="G122" s="445"/>
      <c r="H122" s="446"/>
      <c r="I122" s="37">
        <f>I123</f>
        <v>19750</v>
      </c>
      <c r="J122" s="37"/>
      <c r="K122" s="85">
        <f t="shared" si="16"/>
        <v>19750</v>
      </c>
      <c r="L122" s="354"/>
      <c r="M122" s="343">
        <f>M126</f>
        <v>208170</v>
      </c>
      <c r="N122" s="245"/>
      <c r="O122" s="85">
        <f t="shared" si="17"/>
        <v>208170</v>
      </c>
      <c r="P122" s="354"/>
      <c r="Q122" s="343">
        <f t="shared" si="13"/>
        <v>227920</v>
      </c>
      <c r="R122" s="37">
        <f t="shared" si="14"/>
        <v>0</v>
      </c>
      <c r="S122" s="85">
        <f t="shared" si="15"/>
        <v>227920</v>
      </c>
    </row>
    <row r="123" spans="2:19" x14ac:dyDescent="0.2">
      <c r="B123" s="83">
        <f t="shared" si="18"/>
        <v>10</v>
      </c>
      <c r="C123" s="7"/>
      <c r="D123" s="7"/>
      <c r="E123" s="7"/>
      <c r="F123" s="25" t="s">
        <v>81</v>
      </c>
      <c r="G123" s="7">
        <v>630</v>
      </c>
      <c r="H123" s="7" t="s">
        <v>132</v>
      </c>
      <c r="I123" s="23">
        <f>I124+I125</f>
        <v>19750</v>
      </c>
      <c r="J123" s="23"/>
      <c r="K123" s="86">
        <f t="shared" si="16"/>
        <v>19750</v>
      </c>
      <c r="L123" s="355"/>
      <c r="M123" s="344"/>
      <c r="N123" s="246"/>
      <c r="O123" s="86">
        <f t="shared" si="17"/>
        <v>0</v>
      </c>
      <c r="P123" s="355"/>
      <c r="Q123" s="344">
        <f t="shared" si="13"/>
        <v>19750</v>
      </c>
      <c r="R123" s="23">
        <f t="shared" si="14"/>
        <v>0</v>
      </c>
      <c r="S123" s="86">
        <f t="shared" si="15"/>
        <v>19750</v>
      </c>
    </row>
    <row r="124" spans="2:19" x14ac:dyDescent="0.2">
      <c r="B124" s="83">
        <f t="shared" si="18"/>
        <v>11</v>
      </c>
      <c r="C124" s="3"/>
      <c r="D124" s="3"/>
      <c r="E124" s="3"/>
      <c r="F124" s="26" t="s">
        <v>81</v>
      </c>
      <c r="G124" s="3">
        <v>636</v>
      </c>
      <c r="H124" s="3" t="s">
        <v>137</v>
      </c>
      <c r="I124" s="19">
        <v>9410</v>
      </c>
      <c r="J124" s="19"/>
      <c r="K124" s="87">
        <f t="shared" si="16"/>
        <v>9410</v>
      </c>
      <c r="L124" s="356"/>
      <c r="M124" s="345"/>
      <c r="N124" s="208"/>
      <c r="O124" s="87">
        <f t="shared" si="17"/>
        <v>0</v>
      </c>
      <c r="P124" s="356"/>
      <c r="Q124" s="345">
        <f t="shared" si="13"/>
        <v>9410</v>
      </c>
      <c r="R124" s="19">
        <f t="shared" si="14"/>
        <v>0</v>
      </c>
      <c r="S124" s="87">
        <f t="shared" si="15"/>
        <v>9410</v>
      </c>
    </row>
    <row r="125" spans="2:19" x14ac:dyDescent="0.2">
      <c r="B125" s="83">
        <f t="shared" si="18"/>
        <v>12</v>
      </c>
      <c r="C125" s="3"/>
      <c r="D125" s="3"/>
      <c r="E125" s="3"/>
      <c r="F125" s="26" t="s">
        <v>81</v>
      </c>
      <c r="G125" s="3">
        <v>637</v>
      </c>
      <c r="H125" s="3" t="s">
        <v>133</v>
      </c>
      <c r="I125" s="19">
        <f>10000+340</f>
        <v>10340</v>
      </c>
      <c r="J125" s="19"/>
      <c r="K125" s="87">
        <f t="shared" si="16"/>
        <v>10340</v>
      </c>
      <c r="L125" s="356"/>
      <c r="M125" s="345"/>
      <c r="N125" s="208"/>
      <c r="O125" s="87">
        <f t="shared" si="17"/>
        <v>0</v>
      </c>
      <c r="P125" s="356"/>
      <c r="Q125" s="345">
        <f t="shared" si="13"/>
        <v>10340</v>
      </c>
      <c r="R125" s="19">
        <f t="shared" si="14"/>
        <v>0</v>
      </c>
      <c r="S125" s="87">
        <f t="shared" si="15"/>
        <v>10340</v>
      </c>
    </row>
    <row r="126" spans="2:19" x14ac:dyDescent="0.2">
      <c r="B126" s="83">
        <f t="shared" si="18"/>
        <v>13</v>
      </c>
      <c r="C126" s="7"/>
      <c r="D126" s="7"/>
      <c r="E126" s="7"/>
      <c r="F126" s="25" t="s">
        <v>81</v>
      </c>
      <c r="G126" s="7">
        <v>710</v>
      </c>
      <c r="H126" s="7" t="s">
        <v>187</v>
      </c>
      <c r="I126" s="23"/>
      <c r="J126" s="23"/>
      <c r="K126" s="86">
        <f t="shared" si="16"/>
        <v>0</v>
      </c>
      <c r="L126" s="355"/>
      <c r="M126" s="344">
        <f>M127</f>
        <v>208170</v>
      </c>
      <c r="N126" s="246"/>
      <c r="O126" s="86">
        <f t="shared" si="17"/>
        <v>208170</v>
      </c>
      <c r="P126" s="355"/>
      <c r="Q126" s="344">
        <f t="shared" si="13"/>
        <v>208170</v>
      </c>
      <c r="R126" s="23">
        <f t="shared" si="14"/>
        <v>0</v>
      </c>
      <c r="S126" s="86">
        <f t="shared" si="15"/>
        <v>208170</v>
      </c>
    </row>
    <row r="127" spans="2:19" x14ac:dyDescent="0.2">
      <c r="B127" s="83">
        <f t="shared" si="18"/>
        <v>14</v>
      </c>
      <c r="C127" s="3"/>
      <c r="D127" s="3"/>
      <c r="E127" s="3"/>
      <c r="F127" s="26" t="s">
        <v>81</v>
      </c>
      <c r="G127" s="3">
        <v>712</v>
      </c>
      <c r="H127" s="3" t="s">
        <v>65</v>
      </c>
      <c r="I127" s="19"/>
      <c r="J127" s="19"/>
      <c r="K127" s="87">
        <f t="shared" si="16"/>
        <v>0</v>
      </c>
      <c r="L127" s="356"/>
      <c r="M127" s="345">
        <f>100+17200+300+190570</f>
        <v>208170</v>
      </c>
      <c r="N127" s="208"/>
      <c r="O127" s="87">
        <f t="shared" si="17"/>
        <v>208170</v>
      </c>
      <c r="P127" s="356"/>
      <c r="Q127" s="345">
        <f t="shared" si="13"/>
        <v>208170</v>
      </c>
      <c r="R127" s="19">
        <f t="shared" si="14"/>
        <v>0</v>
      </c>
      <c r="S127" s="87">
        <f t="shared" si="15"/>
        <v>208170</v>
      </c>
    </row>
    <row r="128" spans="2:19" ht="15" x14ac:dyDescent="0.25">
      <c r="B128" s="83">
        <f t="shared" si="18"/>
        <v>15</v>
      </c>
      <c r="C128" s="240"/>
      <c r="D128" s="240">
        <v>3</v>
      </c>
      <c r="E128" s="467" t="s">
        <v>222</v>
      </c>
      <c r="F128" s="445"/>
      <c r="G128" s="445"/>
      <c r="H128" s="446"/>
      <c r="I128" s="37">
        <f>I129</f>
        <v>65000</v>
      </c>
      <c r="J128" s="37"/>
      <c r="K128" s="85">
        <f t="shared" si="16"/>
        <v>65000</v>
      </c>
      <c r="L128" s="354"/>
      <c r="M128" s="343">
        <f>M132</f>
        <v>218304</v>
      </c>
      <c r="N128" s="245">
        <f>N132</f>
        <v>23000</v>
      </c>
      <c r="O128" s="85">
        <f t="shared" si="17"/>
        <v>241304</v>
      </c>
      <c r="P128" s="354"/>
      <c r="Q128" s="343">
        <f t="shared" si="13"/>
        <v>283304</v>
      </c>
      <c r="R128" s="37">
        <f t="shared" si="14"/>
        <v>23000</v>
      </c>
      <c r="S128" s="85">
        <f t="shared" si="15"/>
        <v>306304</v>
      </c>
    </row>
    <row r="129" spans="2:19" x14ac:dyDescent="0.2">
      <c r="B129" s="83">
        <f t="shared" si="18"/>
        <v>16</v>
      </c>
      <c r="C129" s="7"/>
      <c r="D129" s="7"/>
      <c r="E129" s="7"/>
      <c r="F129" s="25" t="s">
        <v>81</v>
      </c>
      <c r="G129" s="7">
        <v>630</v>
      </c>
      <c r="H129" s="7" t="s">
        <v>132</v>
      </c>
      <c r="I129" s="23">
        <f>I130+I131</f>
        <v>65000</v>
      </c>
      <c r="J129" s="23"/>
      <c r="K129" s="86">
        <f t="shared" si="16"/>
        <v>65000</v>
      </c>
      <c r="L129" s="355"/>
      <c r="M129" s="344"/>
      <c r="N129" s="246"/>
      <c r="O129" s="86">
        <f t="shared" si="17"/>
        <v>0</v>
      </c>
      <c r="P129" s="355"/>
      <c r="Q129" s="344">
        <f t="shared" si="13"/>
        <v>65000</v>
      </c>
      <c r="R129" s="23">
        <f t="shared" si="14"/>
        <v>0</v>
      </c>
      <c r="S129" s="86">
        <f t="shared" si="15"/>
        <v>65000</v>
      </c>
    </row>
    <row r="130" spans="2:19" x14ac:dyDescent="0.2">
      <c r="B130" s="83">
        <f t="shared" si="18"/>
        <v>17</v>
      </c>
      <c r="C130" s="3"/>
      <c r="D130" s="3"/>
      <c r="E130" s="3"/>
      <c r="F130" s="26" t="s">
        <v>81</v>
      </c>
      <c r="G130" s="3">
        <v>636</v>
      </c>
      <c r="H130" s="3" t="s">
        <v>137</v>
      </c>
      <c r="I130" s="19">
        <v>49000</v>
      </c>
      <c r="J130" s="19"/>
      <c r="K130" s="87">
        <f t="shared" si="16"/>
        <v>49000</v>
      </c>
      <c r="L130" s="356"/>
      <c r="M130" s="345"/>
      <c r="N130" s="208"/>
      <c r="O130" s="87">
        <f t="shared" si="17"/>
        <v>0</v>
      </c>
      <c r="P130" s="356"/>
      <c r="Q130" s="345">
        <f t="shared" si="13"/>
        <v>49000</v>
      </c>
      <c r="R130" s="19">
        <f t="shared" si="14"/>
        <v>0</v>
      </c>
      <c r="S130" s="87">
        <f t="shared" si="15"/>
        <v>49000</v>
      </c>
    </row>
    <row r="131" spans="2:19" x14ac:dyDescent="0.2">
      <c r="B131" s="83">
        <f t="shared" si="18"/>
        <v>18</v>
      </c>
      <c r="C131" s="3"/>
      <c r="D131" s="3"/>
      <c r="E131" s="3"/>
      <c r="F131" s="26" t="s">
        <v>81</v>
      </c>
      <c r="G131" s="3">
        <v>637</v>
      </c>
      <c r="H131" s="3" t="s">
        <v>133</v>
      </c>
      <c r="I131" s="19">
        <f>11000+5000</f>
        <v>16000</v>
      </c>
      <c r="J131" s="19"/>
      <c r="K131" s="87">
        <f t="shared" si="16"/>
        <v>16000</v>
      </c>
      <c r="L131" s="356"/>
      <c r="M131" s="345"/>
      <c r="N131" s="208"/>
      <c r="O131" s="87">
        <f t="shared" si="17"/>
        <v>0</v>
      </c>
      <c r="P131" s="356"/>
      <c r="Q131" s="345">
        <f t="shared" si="13"/>
        <v>16000</v>
      </c>
      <c r="R131" s="19">
        <f t="shared" si="14"/>
        <v>0</v>
      </c>
      <c r="S131" s="87">
        <f t="shared" si="15"/>
        <v>16000</v>
      </c>
    </row>
    <row r="132" spans="2:19" x14ac:dyDescent="0.2">
      <c r="B132" s="83">
        <f t="shared" si="18"/>
        <v>19</v>
      </c>
      <c r="C132" s="7"/>
      <c r="D132" s="7"/>
      <c r="E132" s="7"/>
      <c r="F132" s="25" t="s">
        <v>81</v>
      </c>
      <c r="G132" s="7">
        <v>710</v>
      </c>
      <c r="H132" s="7" t="s">
        <v>187</v>
      </c>
      <c r="I132" s="23"/>
      <c r="J132" s="23"/>
      <c r="K132" s="86">
        <f t="shared" si="16"/>
        <v>0</v>
      </c>
      <c r="L132" s="355"/>
      <c r="M132" s="344">
        <f>M133</f>
        <v>218304</v>
      </c>
      <c r="N132" s="246">
        <f>N133</f>
        <v>23000</v>
      </c>
      <c r="O132" s="86">
        <f t="shared" si="17"/>
        <v>241304</v>
      </c>
      <c r="P132" s="355"/>
      <c r="Q132" s="344">
        <f t="shared" si="13"/>
        <v>218304</v>
      </c>
      <c r="R132" s="23">
        <f t="shared" si="14"/>
        <v>23000</v>
      </c>
      <c r="S132" s="86">
        <f t="shared" si="15"/>
        <v>241304</v>
      </c>
    </row>
    <row r="133" spans="2:19" x14ac:dyDescent="0.2">
      <c r="B133" s="83">
        <f t="shared" si="18"/>
        <v>20</v>
      </c>
      <c r="C133" s="3"/>
      <c r="D133" s="3"/>
      <c r="E133" s="3"/>
      <c r="F133" s="26" t="s">
        <v>81</v>
      </c>
      <c r="G133" s="3">
        <v>711</v>
      </c>
      <c r="H133" s="3" t="s">
        <v>224</v>
      </c>
      <c r="I133" s="19"/>
      <c r="J133" s="19"/>
      <c r="K133" s="87">
        <f t="shared" si="16"/>
        <v>0</v>
      </c>
      <c r="L133" s="356"/>
      <c r="M133" s="367">
        <f>307000-17200-4000-12700+205519-47000-37745-5000-190570+20000</f>
        <v>218304</v>
      </c>
      <c r="N133" s="251">
        <v>23000</v>
      </c>
      <c r="O133" s="175">
        <f t="shared" si="17"/>
        <v>241304</v>
      </c>
      <c r="P133" s="356"/>
      <c r="Q133" s="345">
        <f t="shared" si="13"/>
        <v>218304</v>
      </c>
      <c r="R133" s="19">
        <f t="shared" si="14"/>
        <v>23000</v>
      </c>
      <c r="S133" s="87">
        <f t="shared" si="15"/>
        <v>241304</v>
      </c>
    </row>
    <row r="134" spans="2:19" ht="15" x14ac:dyDescent="0.2">
      <c r="B134" s="83">
        <f t="shared" si="18"/>
        <v>21</v>
      </c>
      <c r="C134" s="239">
        <v>3</v>
      </c>
      <c r="D134" s="444" t="s">
        <v>160</v>
      </c>
      <c r="E134" s="445"/>
      <c r="F134" s="445"/>
      <c r="G134" s="445"/>
      <c r="H134" s="446"/>
      <c r="I134" s="36">
        <f>I135</f>
        <v>8000</v>
      </c>
      <c r="J134" s="36"/>
      <c r="K134" s="84">
        <f t="shared" si="16"/>
        <v>8000</v>
      </c>
      <c r="L134" s="353"/>
      <c r="M134" s="342">
        <v>0</v>
      </c>
      <c r="N134" s="244"/>
      <c r="O134" s="84">
        <f t="shared" si="17"/>
        <v>0</v>
      </c>
      <c r="P134" s="353"/>
      <c r="Q134" s="342">
        <f t="shared" si="13"/>
        <v>8000</v>
      </c>
      <c r="R134" s="36">
        <f t="shared" si="14"/>
        <v>0</v>
      </c>
      <c r="S134" s="84">
        <f t="shared" si="15"/>
        <v>8000</v>
      </c>
    </row>
    <row r="135" spans="2:19" x14ac:dyDescent="0.2">
      <c r="B135" s="83">
        <f t="shared" si="18"/>
        <v>22</v>
      </c>
      <c r="C135" s="7"/>
      <c r="D135" s="7"/>
      <c r="E135" s="7"/>
      <c r="F135" s="25" t="s">
        <v>81</v>
      </c>
      <c r="G135" s="7">
        <v>630</v>
      </c>
      <c r="H135" s="7" t="s">
        <v>132</v>
      </c>
      <c r="I135" s="23">
        <f>I136+I137</f>
        <v>8000</v>
      </c>
      <c r="J135" s="23"/>
      <c r="K135" s="86">
        <f t="shared" si="16"/>
        <v>8000</v>
      </c>
      <c r="L135" s="355"/>
      <c r="M135" s="344"/>
      <c r="N135" s="246"/>
      <c r="O135" s="86">
        <f t="shared" si="17"/>
        <v>0</v>
      </c>
      <c r="P135" s="355"/>
      <c r="Q135" s="344">
        <f t="shared" si="13"/>
        <v>8000</v>
      </c>
      <c r="R135" s="23">
        <f t="shared" si="14"/>
        <v>0</v>
      </c>
      <c r="S135" s="86">
        <f t="shared" si="15"/>
        <v>8000</v>
      </c>
    </row>
    <row r="136" spans="2:19" x14ac:dyDescent="0.2">
      <c r="B136" s="83">
        <f t="shared" si="18"/>
        <v>23</v>
      </c>
      <c r="C136" s="3"/>
      <c r="D136" s="3"/>
      <c r="E136" s="3"/>
      <c r="F136" s="26" t="s">
        <v>81</v>
      </c>
      <c r="G136" s="3">
        <v>633</v>
      </c>
      <c r="H136" s="3" t="s">
        <v>136</v>
      </c>
      <c r="I136" s="19">
        <f>1000+1000</f>
        <v>2000</v>
      </c>
      <c r="J136" s="19"/>
      <c r="K136" s="87">
        <f t="shared" si="16"/>
        <v>2000</v>
      </c>
      <c r="L136" s="356"/>
      <c r="M136" s="345"/>
      <c r="N136" s="208"/>
      <c r="O136" s="87">
        <f t="shared" si="17"/>
        <v>0</v>
      </c>
      <c r="P136" s="356"/>
      <c r="Q136" s="345">
        <f t="shared" si="13"/>
        <v>2000</v>
      </c>
      <c r="R136" s="19">
        <f t="shared" si="14"/>
        <v>0</v>
      </c>
      <c r="S136" s="87">
        <f t="shared" si="15"/>
        <v>2000</v>
      </c>
    </row>
    <row r="137" spans="2:19" x14ac:dyDescent="0.2">
      <c r="B137" s="83">
        <f t="shared" si="18"/>
        <v>24</v>
      </c>
      <c r="C137" s="3"/>
      <c r="D137" s="3"/>
      <c r="E137" s="3"/>
      <c r="F137" s="26" t="s">
        <v>81</v>
      </c>
      <c r="G137" s="3">
        <v>637</v>
      </c>
      <c r="H137" s="3" t="s">
        <v>133</v>
      </c>
      <c r="I137" s="19">
        <f>7000-1000</f>
        <v>6000</v>
      </c>
      <c r="J137" s="19"/>
      <c r="K137" s="87">
        <f t="shared" si="16"/>
        <v>6000</v>
      </c>
      <c r="L137" s="356"/>
      <c r="M137" s="345"/>
      <c r="N137" s="208"/>
      <c r="O137" s="87">
        <f t="shared" si="17"/>
        <v>0</v>
      </c>
      <c r="P137" s="356"/>
      <c r="Q137" s="345">
        <f t="shared" si="13"/>
        <v>6000</v>
      </c>
      <c r="R137" s="19">
        <f t="shared" si="14"/>
        <v>0</v>
      </c>
      <c r="S137" s="87">
        <f t="shared" si="15"/>
        <v>6000</v>
      </c>
    </row>
    <row r="138" spans="2:19" ht="15" x14ac:dyDescent="0.2">
      <c r="B138" s="83">
        <f t="shared" si="18"/>
        <v>25</v>
      </c>
      <c r="C138" s="239">
        <v>4</v>
      </c>
      <c r="D138" s="444" t="s">
        <v>206</v>
      </c>
      <c r="E138" s="445"/>
      <c r="F138" s="445"/>
      <c r="G138" s="445"/>
      <c r="H138" s="446"/>
      <c r="I138" s="36">
        <f>I139+I158</f>
        <v>250210</v>
      </c>
      <c r="J138" s="36"/>
      <c r="K138" s="84">
        <f t="shared" si="16"/>
        <v>250210</v>
      </c>
      <c r="L138" s="353"/>
      <c r="M138" s="342">
        <f>M147+M158</f>
        <v>234410</v>
      </c>
      <c r="N138" s="244"/>
      <c r="O138" s="84">
        <f t="shared" si="17"/>
        <v>234410</v>
      </c>
      <c r="P138" s="353"/>
      <c r="Q138" s="342">
        <f t="shared" si="13"/>
        <v>484620</v>
      </c>
      <c r="R138" s="36">
        <f t="shared" si="14"/>
        <v>0</v>
      </c>
      <c r="S138" s="84">
        <f t="shared" si="15"/>
        <v>484620</v>
      </c>
    </row>
    <row r="139" spans="2:19" x14ac:dyDescent="0.2">
      <c r="B139" s="83">
        <f t="shared" si="18"/>
        <v>26</v>
      </c>
      <c r="C139" s="7"/>
      <c r="D139" s="7"/>
      <c r="E139" s="7"/>
      <c r="F139" s="26" t="s">
        <v>164</v>
      </c>
      <c r="G139" s="7">
        <v>630</v>
      </c>
      <c r="H139" s="7" t="s">
        <v>132</v>
      </c>
      <c r="I139" s="23">
        <f>SUM(I140:I146)</f>
        <v>242060</v>
      </c>
      <c r="J139" s="23"/>
      <c r="K139" s="86">
        <f t="shared" si="16"/>
        <v>242060</v>
      </c>
      <c r="L139" s="355"/>
      <c r="M139" s="344"/>
      <c r="N139" s="246"/>
      <c r="O139" s="86">
        <f t="shared" si="17"/>
        <v>0</v>
      </c>
      <c r="P139" s="355"/>
      <c r="Q139" s="344">
        <f t="shared" si="13"/>
        <v>242060</v>
      </c>
      <c r="R139" s="23">
        <f t="shared" si="14"/>
        <v>0</v>
      </c>
      <c r="S139" s="86">
        <f t="shared" si="15"/>
        <v>242060</v>
      </c>
    </row>
    <row r="140" spans="2:19" x14ac:dyDescent="0.2">
      <c r="B140" s="83">
        <f t="shared" si="18"/>
        <v>27</v>
      </c>
      <c r="C140" s="7"/>
      <c r="D140" s="7"/>
      <c r="E140" s="7"/>
      <c r="F140" s="26" t="s">
        <v>164</v>
      </c>
      <c r="G140" s="51">
        <v>632</v>
      </c>
      <c r="H140" s="3" t="s">
        <v>145</v>
      </c>
      <c r="I140" s="20">
        <f>96000+1800-5400</f>
        <v>92400</v>
      </c>
      <c r="J140" s="20"/>
      <c r="K140" s="123">
        <f t="shared" si="16"/>
        <v>92400</v>
      </c>
      <c r="L140" s="356"/>
      <c r="M140" s="344"/>
      <c r="N140" s="246"/>
      <c r="O140" s="86">
        <f t="shared" si="17"/>
        <v>0</v>
      </c>
      <c r="P140" s="355"/>
      <c r="Q140" s="344">
        <f t="shared" si="13"/>
        <v>92400</v>
      </c>
      <c r="R140" s="23">
        <f t="shared" si="14"/>
        <v>0</v>
      </c>
      <c r="S140" s="86">
        <f t="shared" si="15"/>
        <v>92400</v>
      </c>
    </row>
    <row r="141" spans="2:19" x14ac:dyDescent="0.2">
      <c r="B141" s="83">
        <f t="shared" si="18"/>
        <v>28</v>
      </c>
      <c r="C141" s="7"/>
      <c r="D141" s="7"/>
      <c r="E141" s="7"/>
      <c r="F141" s="26" t="s">
        <v>164</v>
      </c>
      <c r="G141" s="3">
        <v>633</v>
      </c>
      <c r="H141" s="3" t="s">
        <v>136</v>
      </c>
      <c r="I141" s="20">
        <f>5000+5200</f>
        <v>10200</v>
      </c>
      <c r="J141" s="20"/>
      <c r="K141" s="123">
        <f t="shared" si="16"/>
        <v>10200</v>
      </c>
      <c r="L141" s="356"/>
      <c r="M141" s="344"/>
      <c r="N141" s="246"/>
      <c r="O141" s="86">
        <f t="shared" si="17"/>
        <v>0</v>
      </c>
      <c r="P141" s="355"/>
      <c r="Q141" s="344">
        <f t="shared" si="13"/>
        <v>10200</v>
      </c>
      <c r="R141" s="23">
        <f t="shared" si="14"/>
        <v>0</v>
      </c>
      <c r="S141" s="86">
        <f t="shared" si="15"/>
        <v>10200</v>
      </c>
    </row>
    <row r="142" spans="2:19" x14ac:dyDescent="0.2">
      <c r="B142" s="83">
        <f t="shared" si="18"/>
        <v>29</v>
      </c>
      <c r="C142" s="3"/>
      <c r="D142" s="3"/>
      <c r="E142" s="3"/>
      <c r="F142" s="26" t="s">
        <v>164</v>
      </c>
      <c r="G142" s="3">
        <v>635</v>
      </c>
      <c r="H142" s="3" t="s">
        <v>144</v>
      </c>
      <c r="I142" s="20">
        <f>57000+2500+3700-19500+3500-8200</f>
        <v>39000</v>
      </c>
      <c r="J142" s="20"/>
      <c r="K142" s="123">
        <f t="shared" si="16"/>
        <v>39000</v>
      </c>
      <c r="L142" s="356"/>
      <c r="M142" s="345"/>
      <c r="N142" s="208"/>
      <c r="O142" s="87">
        <f t="shared" si="17"/>
        <v>0</v>
      </c>
      <c r="P142" s="356"/>
      <c r="Q142" s="345">
        <f t="shared" si="13"/>
        <v>39000</v>
      </c>
      <c r="R142" s="19">
        <f t="shared" si="14"/>
        <v>0</v>
      </c>
      <c r="S142" s="87">
        <f t="shared" si="15"/>
        <v>39000</v>
      </c>
    </row>
    <row r="143" spans="2:19" x14ac:dyDescent="0.2">
      <c r="B143" s="83">
        <f t="shared" si="18"/>
        <v>30</v>
      </c>
      <c r="C143" s="3"/>
      <c r="D143" s="3"/>
      <c r="E143" s="3"/>
      <c r="F143" s="26" t="s">
        <v>164</v>
      </c>
      <c r="G143" s="3">
        <v>635</v>
      </c>
      <c r="H143" s="3" t="s">
        <v>508</v>
      </c>
      <c r="I143" s="20">
        <f>9000-2000</f>
        <v>7000</v>
      </c>
      <c r="J143" s="20"/>
      <c r="K143" s="123">
        <f t="shared" si="16"/>
        <v>7000</v>
      </c>
      <c r="L143" s="356"/>
      <c r="M143" s="345"/>
      <c r="N143" s="208"/>
      <c r="O143" s="87">
        <f t="shared" si="17"/>
        <v>0</v>
      </c>
      <c r="P143" s="356"/>
      <c r="Q143" s="345">
        <f t="shared" si="13"/>
        <v>7000</v>
      </c>
      <c r="R143" s="19">
        <f t="shared" si="14"/>
        <v>0</v>
      </c>
      <c r="S143" s="87">
        <f t="shared" si="15"/>
        <v>7000</v>
      </c>
    </row>
    <row r="144" spans="2:19" x14ac:dyDescent="0.2">
      <c r="B144" s="83">
        <f t="shared" si="18"/>
        <v>31</v>
      </c>
      <c r="C144" s="3"/>
      <c r="D144" s="3"/>
      <c r="E144" s="3"/>
      <c r="F144" s="26" t="s">
        <v>164</v>
      </c>
      <c r="G144" s="3">
        <v>635</v>
      </c>
      <c r="H144" s="3" t="s">
        <v>501</v>
      </c>
      <c r="I144" s="20">
        <v>81000</v>
      </c>
      <c r="J144" s="20"/>
      <c r="K144" s="123">
        <f t="shared" si="16"/>
        <v>81000</v>
      </c>
      <c r="L144" s="356"/>
      <c r="M144" s="345"/>
      <c r="N144" s="208"/>
      <c r="O144" s="87">
        <f t="shared" si="17"/>
        <v>0</v>
      </c>
      <c r="P144" s="356"/>
      <c r="Q144" s="345">
        <f t="shared" si="13"/>
        <v>81000</v>
      </c>
      <c r="R144" s="19">
        <f t="shared" si="14"/>
        <v>0</v>
      </c>
      <c r="S144" s="87">
        <f t="shared" si="15"/>
        <v>81000</v>
      </c>
    </row>
    <row r="145" spans="2:19" x14ac:dyDescent="0.2">
      <c r="B145" s="83">
        <f t="shared" si="18"/>
        <v>32</v>
      </c>
      <c r="C145" s="3"/>
      <c r="D145" s="3"/>
      <c r="E145" s="3"/>
      <c r="F145" s="26" t="s">
        <v>164</v>
      </c>
      <c r="G145" s="3">
        <v>635</v>
      </c>
      <c r="H145" s="3" t="s">
        <v>559</v>
      </c>
      <c r="I145" s="20">
        <v>6000</v>
      </c>
      <c r="J145" s="20"/>
      <c r="K145" s="123">
        <f t="shared" si="16"/>
        <v>6000</v>
      </c>
      <c r="L145" s="356"/>
      <c r="M145" s="345"/>
      <c r="N145" s="208"/>
      <c r="O145" s="87">
        <f t="shared" si="17"/>
        <v>0</v>
      </c>
      <c r="P145" s="356"/>
      <c r="Q145" s="345">
        <f t="shared" si="13"/>
        <v>6000</v>
      </c>
      <c r="R145" s="19">
        <f t="shared" si="14"/>
        <v>0</v>
      </c>
      <c r="S145" s="87">
        <f t="shared" si="15"/>
        <v>6000</v>
      </c>
    </row>
    <row r="146" spans="2:19" x14ac:dyDescent="0.2">
      <c r="B146" s="83">
        <f t="shared" si="18"/>
        <v>33</v>
      </c>
      <c r="C146" s="3"/>
      <c r="D146" s="3"/>
      <c r="E146" s="3"/>
      <c r="F146" s="26" t="s">
        <v>164</v>
      </c>
      <c r="G146" s="3">
        <v>637</v>
      </c>
      <c r="H146" s="3" t="s">
        <v>133</v>
      </c>
      <c r="I146" s="19">
        <f>7250+50-340-2500+2000</f>
        <v>6460</v>
      </c>
      <c r="J146" s="19"/>
      <c r="K146" s="87">
        <f t="shared" si="16"/>
        <v>6460</v>
      </c>
      <c r="L146" s="356"/>
      <c r="M146" s="345"/>
      <c r="N146" s="208"/>
      <c r="O146" s="87">
        <f t="shared" si="17"/>
        <v>0</v>
      </c>
      <c r="P146" s="356"/>
      <c r="Q146" s="345">
        <f t="shared" si="13"/>
        <v>6460</v>
      </c>
      <c r="R146" s="19">
        <f t="shared" si="14"/>
        <v>0</v>
      </c>
      <c r="S146" s="87">
        <f t="shared" si="15"/>
        <v>6460</v>
      </c>
    </row>
    <row r="147" spans="2:19" x14ac:dyDescent="0.2">
      <c r="B147" s="83">
        <f t="shared" si="18"/>
        <v>34</v>
      </c>
      <c r="C147" s="7"/>
      <c r="D147" s="7"/>
      <c r="E147" s="7"/>
      <c r="F147" s="25" t="s">
        <v>207</v>
      </c>
      <c r="G147" s="7">
        <v>710</v>
      </c>
      <c r="H147" s="7" t="s">
        <v>187</v>
      </c>
      <c r="I147" s="23"/>
      <c r="J147" s="23"/>
      <c r="K147" s="86">
        <f t="shared" si="16"/>
        <v>0</v>
      </c>
      <c r="L147" s="355"/>
      <c r="M147" s="344">
        <f>M148+M152</f>
        <v>234410</v>
      </c>
      <c r="N147" s="246"/>
      <c r="O147" s="86">
        <f t="shared" si="17"/>
        <v>234410</v>
      </c>
      <c r="P147" s="355"/>
      <c r="Q147" s="344">
        <f t="shared" si="13"/>
        <v>234410</v>
      </c>
      <c r="R147" s="23">
        <f t="shared" si="14"/>
        <v>0</v>
      </c>
      <c r="S147" s="86">
        <f t="shared" si="15"/>
        <v>234410</v>
      </c>
    </row>
    <row r="148" spans="2:19" x14ac:dyDescent="0.2">
      <c r="B148" s="83">
        <f t="shared" si="18"/>
        <v>35</v>
      </c>
      <c r="C148" s="3"/>
      <c r="D148" s="3"/>
      <c r="E148" s="3"/>
      <c r="F148" s="26" t="s">
        <v>207</v>
      </c>
      <c r="G148" s="3">
        <v>716</v>
      </c>
      <c r="H148" s="3" t="s">
        <v>231</v>
      </c>
      <c r="I148" s="19"/>
      <c r="J148" s="19"/>
      <c r="K148" s="87">
        <f t="shared" si="16"/>
        <v>0</v>
      </c>
      <c r="L148" s="356"/>
      <c r="M148" s="345">
        <f>SUM(M149:M151)</f>
        <v>15200</v>
      </c>
      <c r="N148" s="208"/>
      <c r="O148" s="87">
        <f t="shared" si="17"/>
        <v>15200</v>
      </c>
      <c r="P148" s="356"/>
      <c r="Q148" s="345">
        <f t="shared" si="13"/>
        <v>15200</v>
      </c>
      <c r="R148" s="19">
        <f t="shared" si="14"/>
        <v>0</v>
      </c>
      <c r="S148" s="87">
        <f t="shared" si="15"/>
        <v>15200</v>
      </c>
    </row>
    <row r="149" spans="2:19" x14ac:dyDescent="0.2">
      <c r="B149" s="83">
        <f t="shared" si="18"/>
        <v>36</v>
      </c>
      <c r="C149" s="4"/>
      <c r="D149" s="4"/>
      <c r="E149" s="4"/>
      <c r="F149" s="27"/>
      <c r="G149" s="4"/>
      <c r="H149" s="4" t="s">
        <v>325</v>
      </c>
      <c r="I149" s="21"/>
      <c r="J149" s="21"/>
      <c r="K149" s="88">
        <f t="shared" si="16"/>
        <v>0</v>
      </c>
      <c r="L149" s="357"/>
      <c r="M149" s="346">
        <v>9600</v>
      </c>
      <c r="N149" s="247"/>
      <c r="O149" s="88">
        <f t="shared" si="17"/>
        <v>9600</v>
      </c>
      <c r="P149" s="357"/>
      <c r="Q149" s="346">
        <f t="shared" si="13"/>
        <v>9600</v>
      </c>
      <c r="R149" s="21">
        <f t="shared" si="14"/>
        <v>0</v>
      </c>
      <c r="S149" s="88">
        <f t="shared" si="15"/>
        <v>9600</v>
      </c>
    </row>
    <row r="150" spans="2:19" x14ac:dyDescent="0.2">
      <c r="B150" s="83">
        <f t="shared" si="18"/>
        <v>37</v>
      </c>
      <c r="C150" s="4"/>
      <c r="D150" s="4"/>
      <c r="E150" s="4"/>
      <c r="F150" s="27"/>
      <c r="G150" s="4"/>
      <c r="H150" s="4" t="s">
        <v>326</v>
      </c>
      <c r="I150" s="21"/>
      <c r="J150" s="21"/>
      <c r="K150" s="88">
        <f t="shared" si="16"/>
        <v>0</v>
      </c>
      <c r="L150" s="357"/>
      <c r="M150" s="368">
        <v>1000</v>
      </c>
      <c r="N150" s="252"/>
      <c r="O150" s="113">
        <f t="shared" si="17"/>
        <v>1000</v>
      </c>
      <c r="P150" s="357"/>
      <c r="Q150" s="346">
        <f t="shared" si="13"/>
        <v>1000</v>
      </c>
      <c r="R150" s="21">
        <f t="shared" si="14"/>
        <v>0</v>
      </c>
      <c r="S150" s="88">
        <f t="shared" si="15"/>
        <v>1000</v>
      </c>
    </row>
    <row r="151" spans="2:19" x14ac:dyDescent="0.2">
      <c r="B151" s="83">
        <f t="shared" si="18"/>
        <v>38</v>
      </c>
      <c r="C151" s="4"/>
      <c r="D151" s="4"/>
      <c r="E151" s="4"/>
      <c r="F151" s="27"/>
      <c r="G151" s="4"/>
      <c r="H151" s="4" t="s">
        <v>324</v>
      </c>
      <c r="I151" s="21"/>
      <c r="J151" s="21"/>
      <c r="K151" s="88">
        <f t="shared" si="16"/>
        <v>0</v>
      </c>
      <c r="L151" s="357"/>
      <c r="M151" s="368">
        <v>4600</v>
      </c>
      <c r="N151" s="252"/>
      <c r="O151" s="113">
        <f t="shared" si="17"/>
        <v>4600</v>
      </c>
      <c r="P151" s="357"/>
      <c r="Q151" s="346">
        <f t="shared" si="13"/>
        <v>4600</v>
      </c>
      <c r="R151" s="21">
        <f t="shared" si="14"/>
        <v>0</v>
      </c>
      <c r="S151" s="88">
        <f t="shared" si="15"/>
        <v>4600</v>
      </c>
    </row>
    <row r="152" spans="2:19" x14ac:dyDescent="0.2">
      <c r="B152" s="83">
        <f t="shared" si="18"/>
        <v>39</v>
      </c>
      <c r="C152" s="3"/>
      <c r="D152" s="3"/>
      <c r="E152" s="3"/>
      <c r="F152" s="26" t="s">
        <v>207</v>
      </c>
      <c r="G152" s="3">
        <v>717</v>
      </c>
      <c r="H152" s="3" t="s">
        <v>197</v>
      </c>
      <c r="I152" s="19"/>
      <c r="J152" s="19"/>
      <c r="K152" s="87">
        <f t="shared" si="16"/>
        <v>0</v>
      </c>
      <c r="L152" s="356"/>
      <c r="M152" s="345">
        <f>SUM(M153:M157)</f>
        <v>219210</v>
      </c>
      <c r="N152" s="208"/>
      <c r="O152" s="87">
        <f t="shared" si="17"/>
        <v>219210</v>
      </c>
      <c r="P152" s="356"/>
      <c r="Q152" s="345">
        <f t="shared" si="13"/>
        <v>219210</v>
      </c>
      <c r="R152" s="19">
        <f t="shared" si="14"/>
        <v>0</v>
      </c>
      <c r="S152" s="87">
        <f t="shared" si="15"/>
        <v>219210</v>
      </c>
    </row>
    <row r="153" spans="2:19" x14ac:dyDescent="0.2">
      <c r="B153" s="83">
        <f t="shared" si="18"/>
        <v>40</v>
      </c>
      <c r="C153" s="4"/>
      <c r="D153" s="4"/>
      <c r="E153" s="4"/>
      <c r="F153" s="27"/>
      <c r="G153" s="4"/>
      <c r="H153" s="4" t="s">
        <v>324</v>
      </c>
      <c r="I153" s="21"/>
      <c r="J153" s="21"/>
      <c r="K153" s="88">
        <f t="shared" si="16"/>
        <v>0</v>
      </c>
      <c r="L153" s="357"/>
      <c r="M153" s="346">
        <v>151810</v>
      </c>
      <c r="N153" s="247"/>
      <c r="O153" s="88">
        <f t="shared" si="17"/>
        <v>151810</v>
      </c>
      <c r="P153" s="357"/>
      <c r="Q153" s="346">
        <f t="shared" si="13"/>
        <v>151810</v>
      </c>
      <c r="R153" s="21">
        <f t="shared" si="14"/>
        <v>0</v>
      </c>
      <c r="S153" s="88">
        <f t="shared" si="15"/>
        <v>151810</v>
      </c>
    </row>
    <row r="154" spans="2:19" x14ac:dyDescent="0.2">
      <c r="B154" s="83">
        <f t="shared" si="18"/>
        <v>41</v>
      </c>
      <c r="C154" s="4"/>
      <c r="D154" s="4"/>
      <c r="E154" s="4"/>
      <c r="F154" s="27"/>
      <c r="G154" s="4"/>
      <c r="H154" s="4" t="s">
        <v>326</v>
      </c>
      <c r="I154" s="21"/>
      <c r="J154" s="21"/>
      <c r="K154" s="88">
        <f t="shared" si="16"/>
        <v>0</v>
      </c>
      <c r="L154" s="357"/>
      <c r="M154" s="368">
        <f>40000-1000+4100</f>
        <v>43100</v>
      </c>
      <c r="N154" s="252"/>
      <c r="O154" s="113">
        <f t="shared" si="17"/>
        <v>43100</v>
      </c>
      <c r="P154" s="357"/>
      <c r="Q154" s="346">
        <f t="shared" si="13"/>
        <v>43100</v>
      </c>
      <c r="R154" s="21">
        <f t="shared" si="14"/>
        <v>0</v>
      </c>
      <c r="S154" s="88">
        <f t="shared" si="15"/>
        <v>43100</v>
      </c>
    </row>
    <row r="155" spans="2:19" x14ac:dyDescent="0.2">
      <c r="B155" s="83">
        <f t="shared" si="18"/>
        <v>42</v>
      </c>
      <c r="C155" s="4"/>
      <c r="D155" s="12"/>
      <c r="E155" s="4"/>
      <c r="F155" s="31"/>
      <c r="G155" s="4"/>
      <c r="H155" s="13" t="s">
        <v>503</v>
      </c>
      <c r="I155" s="21"/>
      <c r="J155" s="21"/>
      <c r="K155" s="88">
        <f t="shared" si="16"/>
        <v>0</v>
      </c>
      <c r="L155" s="357"/>
      <c r="M155" s="346">
        <f>10000+7000</f>
        <v>17000</v>
      </c>
      <c r="N155" s="247"/>
      <c r="O155" s="88">
        <f t="shared" si="17"/>
        <v>17000</v>
      </c>
      <c r="P155" s="357"/>
      <c r="Q155" s="346">
        <f t="shared" si="13"/>
        <v>17000</v>
      </c>
      <c r="R155" s="21">
        <f t="shared" si="14"/>
        <v>0</v>
      </c>
      <c r="S155" s="88">
        <f t="shared" si="15"/>
        <v>17000</v>
      </c>
    </row>
    <row r="156" spans="2:19" x14ac:dyDescent="0.2">
      <c r="B156" s="83">
        <f t="shared" si="18"/>
        <v>43</v>
      </c>
      <c r="C156" s="4"/>
      <c r="D156" s="12"/>
      <c r="E156" s="4"/>
      <c r="F156" s="31"/>
      <c r="G156" s="4"/>
      <c r="H156" s="13" t="s">
        <v>573</v>
      </c>
      <c r="I156" s="21"/>
      <c r="J156" s="21"/>
      <c r="K156" s="88">
        <f t="shared" si="16"/>
        <v>0</v>
      </c>
      <c r="L156" s="357"/>
      <c r="M156" s="346">
        <v>4000</v>
      </c>
      <c r="N156" s="247"/>
      <c r="O156" s="88">
        <f t="shared" si="17"/>
        <v>4000</v>
      </c>
      <c r="P156" s="357"/>
      <c r="Q156" s="346">
        <f t="shared" si="13"/>
        <v>4000</v>
      </c>
      <c r="R156" s="21">
        <f t="shared" si="14"/>
        <v>0</v>
      </c>
      <c r="S156" s="88">
        <f t="shared" si="15"/>
        <v>4000</v>
      </c>
    </row>
    <row r="157" spans="2:19" x14ac:dyDescent="0.2">
      <c r="B157" s="83">
        <f t="shared" si="18"/>
        <v>44</v>
      </c>
      <c r="C157" s="4"/>
      <c r="D157" s="12"/>
      <c r="E157" s="4"/>
      <c r="F157" s="31"/>
      <c r="G157" s="4"/>
      <c r="H157" s="13" t="s">
        <v>577</v>
      </c>
      <c r="I157" s="21"/>
      <c r="J157" s="21"/>
      <c r="K157" s="88">
        <f t="shared" si="16"/>
        <v>0</v>
      </c>
      <c r="L157" s="357"/>
      <c r="M157" s="346">
        <v>3300</v>
      </c>
      <c r="N157" s="247"/>
      <c r="O157" s="88">
        <f t="shared" si="17"/>
        <v>3300</v>
      </c>
      <c r="P157" s="357"/>
      <c r="Q157" s="346">
        <f t="shared" si="13"/>
        <v>3300</v>
      </c>
      <c r="R157" s="21">
        <f t="shared" si="14"/>
        <v>0</v>
      </c>
      <c r="S157" s="88">
        <f t="shared" si="15"/>
        <v>3300</v>
      </c>
    </row>
    <row r="158" spans="2:19" ht="15" x14ac:dyDescent="0.25">
      <c r="B158" s="83">
        <f t="shared" si="18"/>
        <v>45</v>
      </c>
      <c r="C158" s="10"/>
      <c r="D158" s="10"/>
      <c r="E158" s="10">
        <v>2</v>
      </c>
      <c r="F158" s="28"/>
      <c r="G158" s="10"/>
      <c r="H158" s="10" t="s">
        <v>408</v>
      </c>
      <c r="I158" s="38">
        <f>I159</f>
        <v>8150</v>
      </c>
      <c r="J158" s="38"/>
      <c r="K158" s="94">
        <f t="shared" si="16"/>
        <v>8150</v>
      </c>
      <c r="L158" s="365"/>
      <c r="M158" s="362">
        <v>0</v>
      </c>
      <c r="N158" s="253"/>
      <c r="O158" s="94">
        <f t="shared" si="17"/>
        <v>0</v>
      </c>
      <c r="P158" s="365"/>
      <c r="Q158" s="362">
        <f t="shared" si="13"/>
        <v>8150</v>
      </c>
      <c r="R158" s="38">
        <f t="shared" si="14"/>
        <v>0</v>
      </c>
      <c r="S158" s="94">
        <f t="shared" si="15"/>
        <v>8150</v>
      </c>
    </row>
    <row r="159" spans="2:19" x14ac:dyDescent="0.2">
      <c r="B159" s="83">
        <f t="shared" si="18"/>
        <v>46</v>
      </c>
      <c r="C159" s="7"/>
      <c r="D159" s="7"/>
      <c r="E159" s="7"/>
      <c r="F159" s="25" t="s">
        <v>164</v>
      </c>
      <c r="G159" s="7">
        <v>630</v>
      </c>
      <c r="H159" s="7" t="s">
        <v>132</v>
      </c>
      <c r="I159" s="23">
        <f>SUM(I160:I161)</f>
        <v>8150</v>
      </c>
      <c r="J159" s="23"/>
      <c r="K159" s="86">
        <f t="shared" si="16"/>
        <v>8150</v>
      </c>
      <c r="L159" s="355"/>
      <c r="M159" s="344"/>
      <c r="N159" s="246"/>
      <c r="O159" s="86">
        <f t="shared" si="17"/>
        <v>0</v>
      </c>
      <c r="P159" s="355"/>
      <c r="Q159" s="344">
        <f t="shared" si="13"/>
        <v>8150</v>
      </c>
      <c r="R159" s="23">
        <f t="shared" si="14"/>
        <v>0</v>
      </c>
      <c r="S159" s="86">
        <f t="shared" si="15"/>
        <v>8150</v>
      </c>
    </row>
    <row r="160" spans="2:19" x14ac:dyDescent="0.2">
      <c r="B160" s="83">
        <f t="shared" si="18"/>
        <v>47</v>
      </c>
      <c r="C160" s="3"/>
      <c r="D160" s="3"/>
      <c r="E160" s="3"/>
      <c r="F160" s="26" t="s">
        <v>164</v>
      </c>
      <c r="G160" s="3">
        <v>632</v>
      </c>
      <c r="H160" s="3" t="s">
        <v>145</v>
      </c>
      <c r="I160" s="19">
        <f>12000-1500-3350</f>
        <v>7150</v>
      </c>
      <c r="J160" s="19"/>
      <c r="K160" s="87">
        <f t="shared" si="16"/>
        <v>7150</v>
      </c>
      <c r="L160" s="356"/>
      <c r="M160" s="345"/>
      <c r="N160" s="208"/>
      <c r="O160" s="87">
        <f t="shared" si="17"/>
        <v>0</v>
      </c>
      <c r="P160" s="356"/>
      <c r="Q160" s="345">
        <f t="shared" si="13"/>
        <v>7150</v>
      </c>
      <c r="R160" s="19">
        <f t="shared" si="14"/>
        <v>0</v>
      </c>
      <c r="S160" s="87">
        <f t="shared" si="15"/>
        <v>7150</v>
      </c>
    </row>
    <row r="161" spans="2:19" x14ac:dyDescent="0.2">
      <c r="B161" s="83">
        <f t="shared" si="18"/>
        <v>48</v>
      </c>
      <c r="C161" s="3"/>
      <c r="D161" s="3"/>
      <c r="E161" s="3"/>
      <c r="F161" s="26" t="s">
        <v>164</v>
      </c>
      <c r="G161" s="3">
        <v>635</v>
      </c>
      <c r="H161" s="3" t="s">
        <v>144</v>
      </c>
      <c r="I161" s="19">
        <v>1000</v>
      </c>
      <c r="J161" s="19"/>
      <c r="K161" s="87">
        <f t="shared" si="16"/>
        <v>1000</v>
      </c>
      <c r="L161" s="356"/>
      <c r="M161" s="345"/>
      <c r="N161" s="208"/>
      <c r="O161" s="87">
        <f t="shared" si="17"/>
        <v>0</v>
      </c>
      <c r="P161" s="356"/>
      <c r="Q161" s="345">
        <f t="shared" si="13"/>
        <v>1000</v>
      </c>
      <c r="R161" s="19">
        <f t="shared" si="14"/>
        <v>0</v>
      </c>
      <c r="S161" s="87">
        <f t="shared" si="15"/>
        <v>1000</v>
      </c>
    </row>
    <row r="162" spans="2:19" ht="15" x14ac:dyDescent="0.2">
      <c r="B162" s="83">
        <f t="shared" si="18"/>
        <v>49</v>
      </c>
      <c r="C162" s="239">
        <v>5</v>
      </c>
      <c r="D162" s="444" t="s">
        <v>163</v>
      </c>
      <c r="E162" s="445"/>
      <c r="F162" s="445"/>
      <c r="G162" s="445"/>
      <c r="H162" s="446"/>
      <c r="I162" s="36">
        <f>I163+I164+I165+I170+I172+I173+I175</f>
        <v>3661748</v>
      </c>
      <c r="J162" s="36"/>
      <c r="K162" s="84">
        <f t="shared" si="16"/>
        <v>3661748</v>
      </c>
      <c r="L162" s="353"/>
      <c r="M162" s="342">
        <f>M175</f>
        <v>30967</v>
      </c>
      <c r="N162" s="244"/>
      <c r="O162" s="84">
        <f t="shared" si="17"/>
        <v>30967</v>
      </c>
      <c r="P162" s="353"/>
      <c r="Q162" s="342">
        <f t="shared" si="13"/>
        <v>3692715</v>
      </c>
      <c r="R162" s="36">
        <f t="shared" si="14"/>
        <v>0</v>
      </c>
      <c r="S162" s="84">
        <f t="shared" si="15"/>
        <v>3692715</v>
      </c>
    </row>
    <row r="163" spans="2:19" x14ac:dyDescent="0.2">
      <c r="B163" s="83">
        <f t="shared" si="18"/>
        <v>50</v>
      </c>
      <c r="C163" s="7"/>
      <c r="D163" s="7"/>
      <c r="E163" s="7"/>
      <c r="F163" s="25" t="s">
        <v>81</v>
      </c>
      <c r="G163" s="7">
        <v>610</v>
      </c>
      <c r="H163" s="7" t="s">
        <v>142</v>
      </c>
      <c r="I163" s="23">
        <f>1980000+8650-34300+650+164000</f>
        <v>2119000</v>
      </c>
      <c r="J163" s="23"/>
      <c r="K163" s="86">
        <f t="shared" si="16"/>
        <v>2119000</v>
      </c>
      <c r="L163" s="355"/>
      <c r="M163" s="344"/>
      <c r="N163" s="246"/>
      <c r="O163" s="86">
        <f t="shared" si="17"/>
        <v>0</v>
      </c>
      <c r="P163" s="355"/>
      <c r="Q163" s="344">
        <f t="shared" si="13"/>
        <v>2119000</v>
      </c>
      <c r="R163" s="23">
        <f t="shared" si="14"/>
        <v>0</v>
      </c>
      <c r="S163" s="86">
        <f t="shared" si="15"/>
        <v>2119000</v>
      </c>
    </row>
    <row r="164" spans="2:19" x14ac:dyDescent="0.2">
      <c r="B164" s="83">
        <f t="shared" si="18"/>
        <v>51</v>
      </c>
      <c r="C164" s="7"/>
      <c r="D164" s="7"/>
      <c r="E164" s="7"/>
      <c r="F164" s="25" t="s">
        <v>81</v>
      </c>
      <c r="G164" s="7">
        <v>620</v>
      </c>
      <c r="H164" s="7" t="s">
        <v>135</v>
      </c>
      <c r="I164" s="23">
        <f>790000+3055-13000+45-100+63500</f>
        <v>843500</v>
      </c>
      <c r="J164" s="23"/>
      <c r="K164" s="86">
        <f t="shared" si="16"/>
        <v>843500</v>
      </c>
      <c r="L164" s="355"/>
      <c r="M164" s="344"/>
      <c r="N164" s="246"/>
      <c r="O164" s="86">
        <f t="shared" si="17"/>
        <v>0</v>
      </c>
      <c r="P164" s="355"/>
      <c r="Q164" s="344">
        <f t="shared" si="13"/>
        <v>843500</v>
      </c>
      <c r="R164" s="23">
        <f t="shared" si="14"/>
        <v>0</v>
      </c>
      <c r="S164" s="86">
        <f t="shared" si="15"/>
        <v>843500</v>
      </c>
    </row>
    <row r="165" spans="2:19" x14ac:dyDescent="0.2">
      <c r="B165" s="83">
        <f t="shared" si="18"/>
        <v>52</v>
      </c>
      <c r="C165" s="7"/>
      <c r="D165" s="7"/>
      <c r="E165" s="7"/>
      <c r="F165" s="25" t="s">
        <v>81</v>
      </c>
      <c r="G165" s="7">
        <v>630</v>
      </c>
      <c r="H165" s="7" t="s">
        <v>132</v>
      </c>
      <c r="I165" s="23">
        <f>SUM(I166:I169)</f>
        <v>528563</v>
      </c>
      <c r="J165" s="23"/>
      <c r="K165" s="86">
        <f t="shared" si="16"/>
        <v>528563</v>
      </c>
      <c r="L165" s="355"/>
      <c r="M165" s="344"/>
      <c r="N165" s="246"/>
      <c r="O165" s="86">
        <f t="shared" si="17"/>
        <v>0</v>
      </c>
      <c r="P165" s="355"/>
      <c r="Q165" s="344">
        <f t="shared" si="13"/>
        <v>528563</v>
      </c>
      <c r="R165" s="23">
        <f t="shared" si="14"/>
        <v>0</v>
      </c>
      <c r="S165" s="86">
        <f t="shared" si="15"/>
        <v>528563</v>
      </c>
    </row>
    <row r="166" spans="2:19" x14ac:dyDescent="0.2">
      <c r="B166" s="83">
        <f t="shared" si="18"/>
        <v>53</v>
      </c>
      <c r="C166" s="3"/>
      <c r="D166" s="3"/>
      <c r="E166" s="3"/>
      <c r="F166" s="26" t="s">
        <v>81</v>
      </c>
      <c r="G166" s="3">
        <v>632</v>
      </c>
      <c r="H166" s="3" t="s">
        <v>145</v>
      </c>
      <c r="I166" s="19">
        <f>177350+4500</f>
        <v>181850</v>
      </c>
      <c r="J166" s="19"/>
      <c r="K166" s="87">
        <f t="shared" si="16"/>
        <v>181850</v>
      </c>
      <c r="L166" s="356"/>
      <c r="M166" s="345"/>
      <c r="N166" s="208"/>
      <c r="O166" s="87">
        <f t="shared" si="17"/>
        <v>0</v>
      </c>
      <c r="P166" s="356"/>
      <c r="Q166" s="345">
        <f t="shared" si="13"/>
        <v>181850</v>
      </c>
      <c r="R166" s="19">
        <f t="shared" si="14"/>
        <v>0</v>
      </c>
      <c r="S166" s="87">
        <f t="shared" si="15"/>
        <v>181850</v>
      </c>
    </row>
    <row r="167" spans="2:19" x14ac:dyDescent="0.2">
      <c r="B167" s="83">
        <f t="shared" si="18"/>
        <v>54</v>
      </c>
      <c r="C167" s="3"/>
      <c r="D167" s="3"/>
      <c r="E167" s="3"/>
      <c r="F167" s="26" t="s">
        <v>81</v>
      </c>
      <c r="G167" s="3">
        <v>633</v>
      </c>
      <c r="H167" s="3" t="s">
        <v>136</v>
      </c>
      <c r="I167" s="19">
        <f>18000+7000-3000+728-15+9000+6000</f>
        <v>37713</v>
      </c>
      <c r="J167" s="19"/>
      <c r="K167" s="87">
        <f t="shared" si="16"/>
        <v>37713</v>
      </c>
      <c r="L167" s="356"/>
      <c r="M167" s="345"/>
      <c r="N167" s="208"/>
      <c r="O167" s="87">
        <f t="shared" si="17"/>
        <v>0</v>
      </c>
      <c r="P167" s="356"/>
      <c r="Q167" s="345">
        <f t="shared" si="13"/>
        <v>37713</v>
      </c>
      <c r="R167" s="19">
        <f t="shared" si="14"/>
        <v>0</v>
      </c>
      <c r="S167" s="87">
        <f t="shared" si="15"/>
        <v>37713</v>
      </c>
    </row>
    <row r="168" spans="2:19" x14ac:dyDescent="0.2">
      <c r="B168" s="83">
        <f t="shared" si="18"/>
        <v>55</v>
      </c>
      <c r="C168" s="3"/>
      <c r="D168" s="3"/>
      <c r="E168" s="3"/>
      <c r="F168" s="26" t="s">
        <v>81</v>
      </c>
      <c r="G168" s="3">
        <v>635</v>
      </c>
      <c r="H168" s="3" t="s">
        <v>144</v>
      </c>
      <c r="I168" s="19">
        <f>50000-11000</f>
        <v>39000</v>
      </c>
      <c r="J168" s="19"/>
      <c r="K168" s="87">
        <f t="shared" si="16"/>
        <v>39000</v>
      </c>
      <c r="L168" s="356"/>
      <c r="M168" s="345"/>
      <c r="N168" s="208"/>
      <c r="O168" s="87">
        <f t="shared" si="17"/>
        <v>0</v>
      </c>
      <c r="P168" s="356"/>
      <c r="Q168" s="345">
        <f t="shared" si="13"/>
        <v>39000</v>
      </c>
      <c r="R168" s="19">
        <f t="shared" si="14"/>
        <v>0</v>
      </c>
      <c r="S168" s="87">
        <f t="shared" si="15"/>
        <v>39000</v>
      </c>
    </row>
    <row r="169" spans="2:19" x14ac:dyDescent="0.2">
      <c r="B169" s="83">
        <f t="shared" si="18"/>
        <v>56</v>
      </c>
      <c r="C169" s="3"/>
      <c r="D169" s="3"/>
      <c r="E169" s="3"/>
      <c r="F169" s="26" t="s">
        <v>81</v>
      </c>
      <c r="G169" s="3">
        <v>637</v>
      </c>
      <c r="H169" s="3" t="s">
        <v>133</v>
      </c>
      <c r="I169" s="19">
        <f>240000+30000</f>
        <v>270000</v>
      </c>
      <c r="J169" s="19"/>
      <c r="K169" s="87">
        <f t="shared" si="16"/>
        <v>270000</v>
      </c>
      <c r="L169" s="356"/>
      <c r="M169" s="345"/>
      <c r="N169" s="208"/>
      <c r="O169" s="87">
        <f t="shared" si="17"/>
        <v>0</v>
      </c>
      <c r="P169" s="356"/>
      <c r="Q169" s="345">
        <f t="shared" si="13"/>
        <v>270000</v>
      </c>
      <c r="R169" s="19">
        <f t="shared" si="14"/>
        <v>0</v>
      </c>
      <c r="S169" s="87">
        <f t="shared" si="15"/>
        <v>270000</v>
      </c>
    </row>
    <row r="170" spans="2:19" x14ac:dyDescent="0.2">
      <c r="B170" s="83">
        <f t="shared" si="18"/>
        <v>57</v>
      </c>
      <c r="C170" s="7"/>
      <c r="D170" s="7"/>
      <c r="E170" s="7"/>
      <c r="F170" s="25" t="s">
        <v>262</v>
      </c>
      <c r="G170" s="7">
        <v>630</v>
      </c>
      <c r="H170" s="7" t="s">
        <v>132</v>
      </c>
      <c r="I170" s="23">
        <f>I171</f>
        <v>15000</v>
      </c>
      <c r="J170" s="23"/>
      <c r="K170" s="86">
        <f t="shared" si="16"/>
        <v>15000</v>
      </c>
      <c r="L170" s="355"/>
      <c r="M170" s="344"/>
      <c r="N170" s="246"/>
      <c r="O170" s="86">
        <f t="shared" si="17"/>
        <v>0</v>
      </c>
      <c r="P170" s="355"/>
      <c r="Q170" s="344">
        <f t="shared" si="13"/>
        <v>15000</v>
      </c>
      <c r="R170" s="23">
        <f t="shared" si="14"/>
        <v>0</v>
      </c>
      <c r="S170" s="86">
        <f t="shared" si="15"/>
        <v>15000</v>
      </c>
    </row>
    <row r="171" spans="2:19" x14ac:dyDescent="0.2">
      <c r="B171" s="83">
        <f t="shared" si="18"/>
        <v>58</v>
      </c>
      <c r="C171" s="3"/>
      <c r="D171" s="3"/>
      <c r="E171" s="3"/>
      <c r="F171" s="26" t="s">
        <v>262</v>
      </c>
      <c r="G171" s="3">
        <v>637</v>
      </c>
      <c r="H171" s="3" t="s">
        <v>133</v>
      </c>
      <c r="I171" s="19">
        <v>15000</v>
      </c>
      <c r="J171" s="19"/>
      <c r="K171" s="87">
        <f t="shared" si="16"/>
        <v>15000</v>
      </c>
      <c r="L171" s="356"/>
      <c r="M171" s="345"/>
      <c r="N171" s="208"/>
      <c r="O171" s="87">
        <f t="shared" si="17"/>
        <v>0</v>
      </c>
      <c r="P171" s="356"/>
      <c r="Q171" s="345">
        <f t="shared" si="13"/>
        <v>15000</v>
      </c>
      <c r="R171" s="19">
        <f t="shared" si="14"/>
        <v>0</v>
      </c>
      <c r="S171" s="87">
        <f t="shared" si="15"/>
        <v>15000</v>
      </c>
    </row>
    <row r="172" spans="2:19" x14ac:dyDescent="0.2">
      <c r="B172" s="83">
        <f t="shared" si="18"/>
        <v>59</v>
      </c>
      <c r="C172" s="7"/>
      <c r="D172" s="7"/>
      <c r="E172" s="7"/>
      <c r="F172" s="25" t="s">
        <v>223</v>
      </c>
      <c r="G172" s="7">
        <v>650</v>
      </c>
      <c r="H172" s="7" t="s">
        <v>360</v>
      </c>
      <c r="I172" s="23">
        <f>230000-3000-65650-3500-1000-20000-1500-1000</f>
        <v>134350</v>
      </c>
      <c r="J172" s="23"/>
      <c r="K172" s="86">
        <f t="shared" si="16"/>
        <v>134350</v>
      </c>
      <c r="L172" s="355"/>
      <c r="M172" s="344"/>
      <c r="N172" s="246"/>
      <c r="O172" s="86">
        <f t="shared" si="17"/>
        <v>0</v>
      </c>
      <c r="P172" s="355"/>
      <c r="Q172" s="344">
        <f t="shared" si="13"/>
        <v>134350</v>
      </c>
      <c r="R172" s="23">
        <f t="shared" si="14"/>
        <v>0</v>
      </c>
      <c r="S172" s="86">
        <f t="shared" si="15"/>
        <v>134350</v>
      </c>
    </row>
    <row r="173" spans="2:19" x14ac:dyDescent="0.2">
      <c r="B173" s="83">
        <f t="shared" si="18"/>
        <v>60</v>
      </c>
      <c r="C173" s="7"/>
      <c r="D173" s="7"/>
      <c r="E173" s="7"/>
      <c r="F173" s="25" t="s">
        <v>81</v>
      </c>
      <c r="G173" s="7">
        <v>640</v>
      </c>
      <c r="H173" s="7" t="s">
        <v>140</v>
      </c>
      <c r="I173" s="23">
        <f>I174</f>
        <v>21335</v>
      </c>
      <c r="J173" s="23"/>
      <c r="K173" s="86">
        <f t="shared" si="16"/>
        <v>21335</v>
      </c>
      <c r="L173" s="355"/>
      <c r="M173" s="344"/>
      <c r="N173" s="246"/>
      <c r="O173" s="86">
        <f t="shared" si="17"/>
        <v>0</v>
      </c>
      <c r="P173" s="355"/>
      <c r="Q173" s="344">
        <f t="shared" si="13"/>
        <v>21335</v>
      </c>
      <c r="R173" s="23">
        <f t="shared" si="14"/>
        <v>0</v>
      </c>
      <c r="S173" s="86">
        <f t="shared" si="15"/>
        <v>21335</v>
      </c>
    </row>
    <row r="174" spans="2:19" x14ac:dyDescent="0.2">
      <c r="B174" s="83">
        <f t="shared" si="18"/>
        <v>61</v>
      </c>
      <c r="C174" s="3"/>
      <c r="D174" s="3"/>
      <c r="E174" s="3"/>
      <c r="F174" s="26" t="s">
        <v>81</v>
      </c>
      <c r="G174" s="3">
        <v>642</v>
      </c>
      <c r="H174" s="3" t="s">
        <v>141</v>
      </c>
      <c r="I174" s="19">
        <f>20000+1335</f>
        <v>21335</v>
      </c>
      <c r="J174" s="19"/>
      <c r="K174" s="87">
        <f t="shared" si="16"/>
        <v>21335</v>
      </c>
      <c r="L174" s="356"/>
      <c r="M174" s="345"/>
      <c r="N174" s="208"/>
      <c r="O174" s="87">
        <f t="shared" si="17"/>
        <v>0</v>
      </c>
      <c r="P174" s="356"/>
      <c r="Q174" s="345">
        <f t="shared" si="13"/>
        <v>21335</v>
      </c>
      <c r="R174" s="19">
        <f t="shared" si="14"/>
        <v>0</v>
      </c>
      <c r="S174" s="87">
        <f t="shared" si="15"/>
        <v>21335</v>
      </c>
    </row>
    <row r="175" spans="2:19" x14ac:dyDescent="0.2">
      <c r="B175" s="83">
        <f t="shared" si="18"/>
        <v>62</v>
      </c>
      <c r="C175" s="7"/>
      <c r="D175" s="7"/>
      <c r="E175" s="7"/>
      <c r="F175" s="25" t="s">
        <v>81</v>
      </c>
      <c r="G175" s="7">
        <v>710</v>
      </c>
      <c r="H175" s="7" t="s">
        <v>187</v>
      </c>
      <c r="I175" s="23"/>
      <c r="J175" s="23"/>
      <c r="K175" s="86">
        <f t="shared" si="16"/>
        <v>0</v>
      </c>
      <c r="L175" s="355"/>
      <c r="M175" s="344">
        <f>M176+M179</f>
        <v>30967</v>
      </c>
      <c r="N175" s="246"/>
      <c r="O175" s="86">
        <f t="shared" si="17"/>
        <v>30967</v>
      </c>
      <c r="P175" s="355"/>
      <c r="Q175" s="344">
        <f t="shared" si="13"/>
        <v>30967</v>
      </c>
      <c r="R175" s="23">
        <f t="shared" si="14"/>
        <v>0</v>
      </c>
      <c r="S175" s="86">
        <f t="shared" si="15"/>
        <v>30967</v>
      </c>
    </row>
    <row r="176" spans="2:19" x14ac:dyDescent="0.2">
      <c r="B176" s="83">
        <f t="shared" si="18"/>
        <v>63</v>
      </c>
      <c r="C176" s="7"/>
      <c r="D176" s="210"/>
      <c r="E176" s="7"/>
      <c r="F176" s="26" t="s">
        <v>81</v>
      </c>
      <c r="G176" s="3">
        <v>713</v>
      </c>
      <c r="H176" s="32" t="s">
        <v>234</v>
      </c>
      <c r="I176" s="23"/>
      <c r="J176" s="23"/>
      <c r="K176" s="86">
        <f t="shared" si="16"/>
        <v>0</v>
      </c>
      <c r="L176" s="355"/>
      <c r="M176" s="363">
        <f>M177+M178</f>
        <v>19350</v>
      </c>
      <c r="N176" s="254"/>
      <c r="O176" s="123">
        <f t="shared" si="17"/>
        <v>19350</v>
      </c>
      <c r="P176" s="356"/>
      <c r="Q176" s="363">
        <f t="shared" si="13"/>
        <v>19350</v>
      </c>
      <c r="R176" s="20">
        <f t="shared" si="14"/>
        <v>0</v>
      </c>
      <c r="S176" s="123">
        <f t="shared" si="15"/>
        <v>19350</v>
      </c>
    </row>
    <row r="177" spans="2:19" x14ac:dyDescent="0.2">
      <c r="B177" s="83">
        <f t="shared" si="18"/>
        <v>64</v>
      </c>
      <c r="C177" s="7"/>
      <c r="D177" s="210"/>
      <c r="E177" s="7"/>
      <c r="F177" s="25"/>
      <c r="G177" s="7"/>
      <c r="H177" s="13" t="s">
        <v>632</v>
      </c>
      <c r="I177" s="19"/>
      <c r="J177" s="19"/>
      <c r="K177" s="87">
        <f t="shared" si="16"/>
        <v>0</v>
      </c>
      <c r="L177" s="356"/>
      <c r="M177" s="346">
        <v>12500</v>
      </c>
      <c r="N177" s="247"/>
      <c r="O177" s="88">
        <f t="shared" si="17"/>
        <v>12500</v>
      </c>
      <c r="P177" s="357"/>
      <c r="Q177" s="345">
        <f t="shared" ref="Q177:Q205" si="19">I177+M177</f>
        <v>12500</v>
      </c>
      <c r="R177" s="19">
        <f t="shared" ref="R177" si="20">J177+N177</f>
        <v>0</v>
      </c>
      <c r="S177" s="87">
        <f t="shared" ref="S177" si="21">K177+O177</f>
        <v>12500</v>
      </c>
    </row>
    <row r="178" spans="2:19" ht="22.5" x14ac:dyDescent="0.2">
      <c r="B178" s="83">
        <f t="shared" si="18"/>
        <v>65</v>
      </c>
      <c r="C178" s="7"/>
      <c r="D178" s="210"/>
      <c r="E178" s="7"/>
      <c r="F178" s="25"/>
      <c r="G178" s="7"/>
      <c r="H178" s="228" t="s">
        <v>664</v>
      </c>
      <c r="I178" s="19"/>
      <c r="J178" s="19"/>
      <c r="K178" s="87">
        <f t="shared" ref="K178:K205" si="22">J178+I178</f>
        <v>0</v>
      </c>
      <c r="L178" s="356"/>
      <c r="M178" s="369">
        <v>6850</v>
      </c>
      <c r="N178" s="255"/>
      <c r="O178" s="152">
        <f t="shared" ref="O178:O205" si="23">N178+M178</f>
        <v>6850</v>
      </c>
      <c r="P178" s="366"/>
      <c r="Q178" s="364">
        <f>M178</f>
        <v>6850</v>
      </c>
      <c r="R178" s="50">
        <f t="shared" ref="R178:S178" si="24">N178</f>
        <v>0</v>
      </c>
      <c r="S178" s="111">
        <f t="shared" si="24"/>
        <v>6850</v>
      </c>
    </row>
    <row r="179" spans="2:19" x14ac:dyDescent="0.2">
      <c r="B179" s="83">
        <f t="shared" si="18"/>
        <v>66</v>
      </c>
      <c r="C179" s="4"/>
      <c r="D179" s="12"/>
      <c r="E179" s="4"/>
      <c r="F179" s="26" t="s">
        <v>81</v>
      </c>
      <c r="G179" s="3">
        <v>717</v>
      </c>
      <c r="H179" s="32" t="s">
        <v>197</v>
      </c>
      <c r="I179" s="21"/>
      <c r="J179" s="21"/>
      <c r="K179" s="88">
        <f t="shared" si="22"/>
        <v>0</v>
      </c>
      <c r="L179" s="357"/>
      <c r="M179" s="345">
        <f>M180</f>
        <v>11617</v>
      </c>
      <c r="N179" s="208"/>
      <c r="O179" s="87">
        <f t="shared" si="23"/>
        <v>11617</v>
      </c>
      <c r="P179" s="356"/>
      <c r="Q179" s="346">
        <f t="shared" si="19"/>
        <v>11617</v>
      </c>
      <c r="R179" s="21">
        <f t="shared" ref="R179:R205" si="25">J179+N179</f>
        <v>0</v>
      </c>
      <c r="S179" s="88">
        <f t="shared" ref="S179:S205" si="26">K179+O179</f>
        <v>11617</v>
      </c>
    </row>
    <row r="180" spans="2:19" x14ac:dyDescent="0.2">
      <c r="B180" s="83">
        <f t="shared" ref="B180:B205" si="27">B179+1</f>
        <v>67</v>
      </c>
      <c r="C180" s="4"/>
      <c r="D180" s="12"/>
      <c r="E180" s="4"/>
      <c r="F180" s="27"/>
      <c r="G180" s="4"/>
      <c r="H180" s="13" t="s">
        <v>377</v>
      </c>
      <c r="I180" s="21"/>
      <c r="J180" s="21"/>
      <c r="K180" s="88">
        <f t="shared" si="22"/>
        <v>0</v>
      </c>
      <c r="L180" s="357"/>
      <c r="M180" s="346">
        <f>12500-3383+2500</f>
        <v>11617</v>
      </c>
      <c r="N180" s="247"/>
      <c r="O180" s="88">
        <f t="shared" si="23"/>
        <v>11617</v>
      </c>
      <c r="P180" s="357"/>
      <c r="Q180" s="346">
        <f t="shared" si="19"/>
        <v>11617</v>
      </c>
      <c r="R180" s="21">
        <f t="shared" si="25"/>
        <v>0</v>
      </c>
      <c r="S180" s="88">
        <f t="shared" si="26"/>
        <v>11617</v>
      </c>
    </row>
    <row r="181" spans="2:19" ht="15" x14ac:dyDescent="0.2">
      <c r="B181" s="83">
        <f t="shared" si="27"/>
        <v>68</v>
      </c>
      <c r="C181" s="239">
        <v>6</v>
      </c>
      <c r="D181" s="444" t="s">
        <v>285</v>
      </c>
      <c r="E181" s="445"/>
      <c r="F181" s="445"/>
      <c r="G181" s="445"/>
      <c r="H181" s="446"/>
      <c r="I181" s="36">
        <f>I182+I184</f>
        <v>10500</v>
      </c>
      <c r="J181" s="36"/>
      <c r="K181" s="84">
        <f t="shared" si="22"/>
        <v>10500</v>
      </c>
      <c r="L181" s="353"/>
      <c r="M181" s="342">
        <v>0</v>
      </c>
      <c r="N181" s="244"/>
      <c r="O181" s="84">
        <f t="shared" si="23"/>
        <v>0</v>
      </c>
      <c r="P181" s="353"/>
      <c r="Q181" s="342">
        <f t="shared" si="19"/>
        <v>10500</v>
      </c>
      <c r="R181" s="36">
        <f t="shared" si="25"/>
        <v>0</v>
      </c>
      <c r="S181" s="84">
        <f t="shared" si="26"/>
        <v>10500</v>
      </c>
    </row>
    <row r="182" spans="2:19" x14ac:dyDescent="0.2">
      <c r="B182" s="83">
        <f t="shared" si="27"/>
        <v>69</v>
      </c>
      <c r="C182" s="7"/>
      <c r="D182" s="7"/>
      <c r="E182" s="7"/>
      <c r="F182" s="25" t="s">
        <v>81</v>
      </c>
      <c r="G182" s="7">
        <v>630</v>
      </c>
      <c r="H182" s="7" t="s">
        <v>132</v>
      </c>
      <c r="I182" s="23">
        <f>I183</f>
        <v>3800</v>
      </c>
      <c r="J182" s="23"/>
      <c r="K182" s="86">
        <f t="shared" si="22"/>
        <v>3800</v>
      </c>
      <c r="L182" s="355"/>
      <c r="M182" s="344"/>
      <c r="N182" s="246"/>
      <c r="O182" s="86">
        <f t="shared" si="23"/>
        <v>0</v>
      </c>
      <c r="P182" s="355"/>
      <c r="Q182" s="344">
        <f t="shared" si="19"/>
        <v>3800</v>
      </c>
      <c r="R182" s="23">
        <f t="shared" si="25"/>
        <v>0</v>
      </c>
      <c r="S182" s="86">
        <f t="shared" si="26"/>
        <v>3800</v>
      </c>
    </row>
    <row r="183" spans="2:19" x14ac:dyDescent="0.2">
      <c r="B183" s="83">
        <f t="shared" si="27"/>
        <v>70</v>
      </c>
      <c r="C183" s="3"/>
      <c r="D183" s="3"/>
      <c r="E183" s="3"/>
      <c r="F183" s="26" t="s">
        <v>81</v>
      </c>
      <c r="G183" s="3">
        <v>631</v>
      </c>
      <c r="H183" s="3" t="s">
        <v>138</v>
      </c>
      <c r="I183" s="19">
        <f>3000+800</f>
        <v>3800</v>
      </c>
      <c r="J183" s="19"/>
      <c r="K183" s="87">
        <f t="shared" si="22"/>
        <v>3800</v>
      </c>
      <c r="L183" s="356"/>
      <c r="M183" s="345"/>
      <c r="N183" s="208"/>
      <c r="O183" s="87">
        <f t="shared" si="23"/>
        <v>0</v>
      </c>
      <c r="P183" s="356"/>
      <c r="Q183" s="345">
        <f t="shared" si="19"/>
        <v>3800</v>
      </c>
      <c r="R183" s="19">
        <f t="shared" si="25"/>
        <v>0</v>
      </c>
      <c r="S183" s="87">
        <f t="shared" si="26"/>
        <v>3800</v>
      </c>
    </row>
    <row r="184" spans="2:19" x14ac:dyDescent="0.2">
      <c r="B184" s="83">
        <f t="shared" si="27"/>
        <v>71</v>
      </c>
      <c r="C184" s="7"/>
      <c r="D184" s="7"/>
      <c r="E184" s="7"/>
      <c r="F184" s="25" t="s">
        <v>169</v>
      </c>
      <c r="G184" s="7">
        <v>630</v>
      </c>
      <c r="H184" s="7" t="s">
        <v>132</v>
      </c>
      <c r="I184" s="23">
        <f>I185</f>
        <v>6700</v>
      </c>
      <c r="J184" s="23"/>
      <c r="K184" s="86">
        <f t="shared" si="22"/>
        <v>6700</v>
      </c>
      <c r="L184" s="355"/>
      <c r="M184" s="344"/>
      <c r="N184" s="246"/>
      <c r="O184" s="86">
        <f t="shared" si="23"/>
        <v>0</v>
      </c>
      <c r="P184" s="355"/>
      <c r="Q184" s="344">
        <f t="shared" si="19"/>
        <v>6700</v>
      </c>
      <c r="R184" s="23">
        <f t="shared" si="25"/>
        <v>0</v>
      </c>
      <c r="S184" s="86">
        <f t="shared" si="26"/>
        <v>6700</v>
      </c>
    </row>
    <row r="185" spans="2:19" x14ac:dyDescent="0.2">
      <c r="B185" s="83">
        <f t="shared" si="27"/>
        <v>72</v>
      </c>
      <c r="C185" s="3"/>
      <c r="D185" s="3"/>
      <c r="E185" s="3"/>
      <c r="F185" s="26" t="s">
        <v>169</v>
      </c>
      <c r="G185" s="3">
        <v>637</v>
      </c>
      <c r="H185" s="3" t="s">
        <v>133</v>
      </c>
      <c r="I185" s="19">
        <f>7500-800</f>
        <v>6700</v>
      </c>
      <c r="J185" s="19"/>
      <c r="K185" s="87">
        <f t="shared" si="22"/>
        <v>6700</v>
      </c>
      <c r="L185" s="356"/>
      <c r="M185" s="345"/>
      <c r="N185" s="208"/>
      <c r="O185" s="87">
        <f t="shared" si="23"/>
        <v>0</v>
      </c>
      <c r="P185" s="356"/>
      <c r="Q185" s="345">
        <f t="shared" si="19"/>
        <v>6700</v>
      </c>
      <c r="R185" s="19">
        <f t="shared" si="25"/>
        <v>0</v>
      </c>
      <c r="S185" s="87">
        <f t="shared" si="26"/>
        <v>6700</v>
      </c>
    </row>
    <row r="186" spans="2:19" ht="15" x14ac:dyDescent="0.2">
      <c r="B186" s="83">
        <f t="shared" si="27"/>
        <v>73</v>
      </c>
      <c r="C186" s="239">
        <v>7</v>
      </c>
      <c r="D186" s="444" t="s">
        <v>146</v>
      </c>
      <c r="E186" s="445"/>
      <c r="F186" s="445"/>
      <c r="G186" s="445"/>
      <c r="H186" s="446"/>
      <c r="I186" s="36">
        <f>I187+I193</f>
        <v>175800</v>
      </c>
      <c r="J186" s="36"/>
      <c r="K186" s="84">
        <f t="shared" si="22"/>
        <v>175800</v>
      </c>
      <c r="L186" s="353"/>
      <c r="M186" s="342">
        <f>M193</f>
        <v>123102</v>
      </c>
      <c r="N186" s="244"/>
      <c r="O186" s="84">
        <f t="shared" si="23"/>
        <v>123102</v>
      </c>
      <c r="P186" s="353"/>
      <c r="Q186" s="342">
        <f t="shared" si="19"/>
        <v>298902</v>
      </c>
      <c r="R186" s="36">
        <f t="shared" si="25"/>
        <v>0</v>
      </c>
      <c r="S186" s="84">
        <f t="shared" si="26"/>
        <v>298902</v>
      </c>
    </row>
    <row r="187" spans="2:19" x14ac:dyDescent="0.2">
      <c r="B187" s="83">
        <f t="shared" si="27"/>
        <v>74</v>
      </c>
      <c r="C187" s="7"/>
      <c r="D187" s="7"/>
      <c r="E187" s="7"/>
      <c r="F187" s="25" t="s">
        <v>81</v>
      </c>
      <c r="G187" s="7">
        <v>630</v>
      </c>
      <c r="H187" s="7" t="s">
        <v>132</v>
      </c>
      <c r="I187" s="23">
        <f>SUM(I188:I192)</f>
        <v>175800</v>
      </c>
      <c r="J187" s="23"/>
      <c r="K187" s="86">
        <f t="shared" si="22"/>
        <v>175800</v>
      </c>
      <c r="L187" s="355"/>
      <c r="M187" s="344"/>
      <c r="N187" s="246"/>
      <c r="O187" s="86">
        <f t="shared" si="23"/>
        <v>0</v>
      </c>
      <c r="P187" s="355"/>
      <c r="Q187" s="344">
        <f t="shared" si="19"/>
        <v>175800</v>
      </c>
      <c r="R187" s="23">
        <f t="shared" si="25"/>
        <v>0</v>
      </c>
      <c r="S187" s="86">
        <f t="shared" si="26"/>
        <v>175800</v>
      </c>
    </row>
    <row r="188" spans="2:19" x14ac:dyDescent="0.2">
      <c r="B188" s="83">
        <f t="shared" si="27"/>
        <v>75</v>
      </c>
      <c r="C188" s="3"/>
      <c r="D188" s="3"/>
      <c r="E188" s="3"/>
      <c r="F188" s="26" t="s">
        <v>81</v>
      </c>
      <c r="G188" s="3">
        <v>632</v>
      </c>
      <c r="H188" s="3" t="s">
        <v>145</v>
      </c>
      <c r="I188" s="19">
        <v>3700</v>
      </c>
      <c r="J188" s="19"/>
      <c r="K188" s="87">
        <f t="shared" si="22"/>
        <v>3700</v>
      </c>
      <c r="L188" s="356"/>
      <c r="M188" s="345"/>
      <c r="N188" s="208"/>
      <c r="O188" s="87">
        <f t="shared" si="23"/>
        <v>0</v>
      </c>
      <c r="P188" s="356"/>
      <c r="Q188" s="345">
        <f t="shared" si="19"/>
        <v>3700</v>
      </c>
      <c r="R188" s="19">
        <f t="shared" si="25"/>
        <v>0</v>
      </c>
      <c r="S188" s="87">
        <f t="shared" si="26"/>
        <v>3700</v>
      </c>
    </row>
    <row r="189" spans="2:19" x14ac:dyDescent="0.2">
      <c r="B189" s="83">
        <f t="shared" si="27"/>
        <v>76</v>
      </c>
      <c r="C189" s="3"/>
      <c r="D189" s="3"/>
      <c r="E189" s="3"/>
      <c r="F189" s="26" t="s">
        <v>81</v>
      </c>
      <c r="G189" s="3">
        <v>633</v>
      </c>
      <c r="H189" s="3" t="s">
        <v>136</v>
      </c>
      <c r="I189" s="19">
        <v>19000</v>
      </c>
      <c r="J189" s="19"/>
      <c r="K189" s="87">
        <f t="shared" si="22"/>
        <v>19000</v>
      </c>
      <c r="L189" s="356"/>
      <c r="M189" s="345"/>
      <c r="N189" s="208"/>
      <c r="O189" s="87">
        <f t="shared" si="23"/>
        <v>0</v>
      </c>
      <c r="P189" s="356"/>
      <c r="Q189" s="345">
        <f t="shared" si="19"/>
        <v>19000</v>
      </c>
      <c r="R189" s="19">
        <f t="shared" si="25"/>
        <v>0</v>
      </c>
      <c r="S189" s="87">
        <f t="shared" si="26"/>
        <v>19000</v>
      </c>
    </row>
    <row r="190" spans="2:19" x14ac:dyDescent="0.2">
      <c r="B190" s="83">
        <f t="shared" si="27"/>
        <v>77</v>
      </c>
      <c r="C190" s="3"/>
      <c r="D190" s="3"/>
      <c r="E190" s="3"/>
      <c r="F190" s="26" t="s">
        <v>81</v>
      </c>
      <c r="G190" s="3">
        <v>635</v>
      </c>
      <c r="H190" s="3" t="s">
        <v>144</v>
      </c>
      <c r="I190" s="19">
        <f>122200-12000+6900</f>
        <v>117100</v>
      </c>
      <c r="J190" s="19"/>
      <c r="K190" s="87">
        <f t="shared" si="22"/>
        <v>117100</v>
      </c>
      <c r="L190" s="356"/>
      <c r="M190" s="345"/>
      <c r="N190" s="208"/>
      <c r="O190" s="87">
        <f t="shared" si="23"/>
        <v>0</v>
      </c>
      <c r="P190" s="356"/>
      <c r="Q190" s="345">
        <f t="shared" si="19"/>
        <v>117100</v>
      </c>
      <c r="R190" s="19">
        <f t="shared" si="25"/>
        <v>0</v>
      </c>
      <c r="S190" s="87">
        <f t="shared" si="26"/>
        <v>117100</v>
      </c>
    </row>
    <row r="191" spans="2:19" x14ac:dyDescent="0.2">
      <c r="B191" s="83">
        <f t="shared" si="27"/>
        <v>78</v>
      </c>
      <c r="C191" s="3"/>
      <c r="D191" s="3"/>
      <c r="E191" s="3"/>
      <c r="F191" s="26" t="s">
        <v>81</v>
      </c>
      <c r="G191" s="3">
        <v>636</v>
      </c>
      <c r="H191" s="3" t="s">
        <v>137</v>
      </c>
      <c r="I191" s="19">
        <v>18000</v>
      </c>
      <c r="J191" s="19"/>
      <c r="K191" s="87">
        <f t="shared" si="22"/>
        <v>18000</v>
      </c>
      <c r="L191" s="356"/>
      <c r="M191" s="345"/>
      <c r="N191" s="208"/>
      <c r="O191" s="87">
        <f t="shared" si="23"/>
        <v>0</v>
      </c>
      <c r="P191" s="356"/>
      <c r="Q191" s="345">
        <f t="shared" si="19"/>
        <v>18000</v>
      </c>
      <c r="R191" s="19">
        <f t="shared" si="25"/>
        <v>0</v>
      </c>
      <c r="S191" s="87">
        <f t="shared" si="26"/>
        <v>18000</v>
      </c>
    </row>
    <row r="192" spans="2:19" x14ac:dyDescent="0.2">
      <c r="B192" s="83">
        <f t="shared" si="27"/>
        <v>79</v>
      </c>
      <c r="C192" s="3"/>
      <c r="D192" s="3"/>
      <c r="E192" s="3"/>
      <c r="F192" s="26" t="s">
        <v>81</v>
      </c>
      <c r="G192" s="3">
        <v>637</v>
      </c>
      <c r="H192" s="3" t="s">
        <v>133</v>
      </c>
      <c r="I192" s="19">
        <f>6000+12000</f>
        <v>18000</v>
      </c>
      <c r="J192" s="19"/>
      <c r="K192" s="87">
        <f t="shared" si="22"/>
        <v>18000</v>
      </c>
      <c r="L192" s="356"/>
      <c r="M192" s="345"/>
      <c r="N192" s="208"/>
      <c r="O192" s="87">
        <f t="shared" si="23"/>
        <v>0</v>
      </c>
      <c r="P192" s="356"/>
      <c r="Q192" s="345">
        <f t="shared" si="19"/>
        <v>18000</v>
      </c>
      <c r="R192" s="19">
        <f t="shared" si="25"/>
        <v>0</v>
      </c>
      <c r="S192" s="87">
        <f t="shared" si="26"/>
        <v>18000</v>
      </c>
    </row>
    <row r="193" spans="2:19" x14ac:dyDescent="0.2">
      <c r="B193" s="83">
        <f t="shared" si="27"/>
        <v>80</v>
      </c>
      <c r="C193" s="7"/>
      <c r="D193" s="7"/>
      <c r="E193" s="7"/>
      <c r="F193" s="25" t="s">
        <v>81</v>
      </c>
      <c r="G193" s="7">
        <v>710</v>
      </c>
      <c r="H193" s="7" t="s">
        <v>187</v>
      </c>
      <c r="I193" s="23"/>
      <c r="J193" s="23"/>
      <c r="K193" s="86">
        <f t="shared" si="22"/>
        <v>0</v>
      </c>
      <c r="L193" s="355"/>
      <c r="M193" s="344">
        <f>M194+M197</f>
        <v>123102</v>
      </c>
      <c r="N193" s="246"/>
      <c r="O193" s="86">
        <f t="shared" si="23"/>
        <v>123102</v>
      </c>
      <c r="P193" s="355"/>
      <c r="Q193" s="344">
        <f t="shared" si="19"/>
        <v>123102</v>
      </c>
      <c r="R193" s="23">
        <f t="shared" si="25"/>
        <v>0</v>
      </c>
      <c r="S193" s="86">
        <f t="shared" si="26"/>
        <v>123102</v>
      </c>
    </row>
    <row r="194" spans="2:19" x14ac:dyDescent="0.2">
      <c r="B194" s="83">
        <f t="shared" si="27"/>
        <v>81</v>
      </c>
      <c r="C194" s="3"/>
      <c r="D194" s="3"/>
      <c r="E194" s="3"/>
      <c r="F194" s="26" t="s">
        <v>81</v>
      </c>
      <c r="G194" s="3">
        <v>711</v>
      </c>
      <c r="H194" s="3" t="s">
        <v>224</v>
      </c>
      <c r="I194" s="19"/>
      <c r="J194" s="19"/>
      <c r="K194" s="87">
        <f t="shared" si="22"/>
        <v>0</v>
      </c>
      <c r="L194" s="356"/>
      <c r="M194" s="345">
        <f>M195+M196</f>
        <v>55002</v>
      </c>
      <c r="N194" s="208"/>
      <c r="O194" s="87">
        <f t="shared" si="23"/>
        <v>55002</v>
      </c>
      <c r="P194" s="356"/>
      <c r="Q194" s="345">
        <f t="shared" si="19"/>
        <v>55002</v>
      </c>
      <c r="R194" s="19">
        <f t="shared" si="25"/>
        <v>0</v>
      </c>
      <c r="S194" s="87">
        <f t="shared" si="26"/>
        <v>55002</v>
      </c>
    </row>
    <row r="195" spans="2:19" x14ac:dyDescent="0.2">
      <c r="B195" s="83">
        <f t="shared" si="27"/>
        <v>82</v>
      </c>
      <c r="C195" s="4"/>
      <c r="D195" s="4"/>
      <c r="E195" s="4"/>
      <c r="F195" s="31"/>
      <c r="G195" s="4"/>
      <c r="H195" s="4" t="s">
        <v>367</v>
      </c>
      <c r="I195" s="21"/>
      <c r="J195" s="21"/>
      <c r="K195" s="88">
        <f t="shared" si="22"/>
        <v>0</v>
      </c>
      <c r="L195" s="357"/>
      <c r="M195" s="346">
        <f>12500+22502+7000</f>
        <v>42002</v>
      </c>
      <c r="N195" s="247"/>
      <c r="O195" s="88">
        <f t="shared" si="23"/>
        <v>42002</v>
      </c>
      <c r="P195" s="357"/>
      <c r="Q195" s="346">
        <f t="shared" si="19"/>
        <v>42002</v>
      </c>
      <c r="R195" s="21">
        <f t="shared" si="25"/>
        <v>0</v>
      </c>
      <c r="S195" s="88">
        <f t="shared" si="26"/>
        <v>42002</v>
      </c>
    </row>
    <row r="196" spans="2:19" x14ac:dyDescent="0.2">
      <c r="B196" s="83">
        <f t="shared" si="27"/>
        <v>83</v>
      </c>
      <c r="C196" s="4"/>
      <c r="D196" s="4"/>
      <c r="E196" s="4"/>
      <c r="F196" s="31"/>
      <c r="G196" s="4"/>
      <c r="H196" s="4" t="s">
        <v>523</v>
      </c>
      <c r="I196" s="21"/>
      <c r="J196" s="21"/>
      <c r="K196" s="88">
        <f t="shared" si="22"/>
        <v>0</v>
      </c>
      <c r="L196" s="357"/>
      <c r="M196" s="346">
        <v>13000</v>
      </c>
      <c r="N196" s="247"/>
      <c r="O196" s="88">
        <f t="shared" si="23"/>
        <v>13000</v>
      </c>
      <c r="P196" s="357"/>
      <c r="Q196" s="346">
        <f>I196+M196</f>
        <v>13000</v>
      </c>
      <c r="R196" s="21">
        <f t="shared" si="25"/>
        <v>0</v>
      </c>
      <c r="S196" s="88">
        <f t="shared" si="26"/>
        <v>13000</v>
      </c>
    </row>
    <row r="197" spans="2:19" x14ac:dyDescent="0.2">
      <c r="B197" s="83">
        <f t="shared" si="27"/>
        <v>84</v>
      </c>
      <c r="C197" s="3"/>
      <c r="D197" s="3"/>
      <c r="E197" s="3"/>
      <c r="F197" s="26" t="s">
        <v>81</v>
      </c>
      <c r="G197" s="3">
        <v>713</v>
      </c>
      <c r="H197" s="32" t="s">
        <v>234</v>
      </c>
      <c r="I197" s="19"/>
      <c r="J197" s="19"/>
      <c r="K197" s="87">
        <f t="shared" si="22"/>
        <v>0</v>
      </c>
      <c r="L197" s="356"/>
      <c r="M197" s="345">
        <f>M198</f>
        <v>68100</v>
      </c>
      <c r="N197" s="208"/>
      <c r="O197" s="87">
        <f t="shared" si="23"/>
        <v>68100</v>
      </c>
      <c r="P197" s="356"/>
      <c r="Q197" s="345">
        <f t="shared" si="19"/>
        <v>68100</v>
      </c>
      <c r="R197" s="19">
        <f t="shared" si="25"/>
        <v>0</v>
      </c>
      <c r="S197" s="87">
        <f t="shared" si="26"/>
        <v>68100</v>
      </c>
    </row>
    <row r="198" spans="2:19" x14ac:dyDescent="0.2">
      <c r="B198" s="83">
        <f t="shared" si="27"/>
        <v>85</v>
      </c>
      <c r="C198" s="4"/>
      <c r="D198" s="4"/>
      <c r="E198" s="4"/>
      <c r="F198" s="31"/>
      <c r="G198" s="4"/>
      <c r="H198" s="13" t="s">
        <v>366</v>
      </c>
      <c r="I198" s="21"/>
      <c r="J198" s="21"/>
      <c r="K198" s="88">
        <f t="shared" si="22"/>
        <v>0</v>
      </c>
      <c r="L198" s="357"/>
      <c r="M198" s="346">
        <f>50000+25000-6900</f>
        <v>68100</v>
      </c>
      <c r="N198" s="247"/>
      <c r="O198" s="88">
        <f t="shared" si="23"/>
        <v>68100</v>
      </c>
      <c r="P198" s="357"/>
      <c r="Q198" s="346">
        <f t="shared" si="19"/>
        <v>68100</v>
      </c>
      <c r="R198" s="21">
        <f t="shared" si="25"/>
        <v>0</v>
      </c>
      <c r="S198" s="88">
        <f t="shared" si="26"/>
        <v>68100</v>
      </c>
    </row>
    <row r="199" spans="2:19" ht="15" x14ac:dyDescent="0.2">
      <c r="B199" s="83">
        <f t="shared" si="27"/>
        <v>86</v>
      </c>
      <c r="C199" s="239">
        <v>8</v>
      </c>
      <c r="D199" s="444" t="s">
        <v>264</v>
      </c>
      <c r="E199" s="445"/>
      <c r="F199" s="445"/>
      <c r="G199" s="445"/>
      <c r="H199" s="446"/>
      <c r="I199" s="36">
        <f>I200</f>
        <v>36500</v>
      </c>
      <c r="J199" s="36"/>
      <c r="K199" s="84">
        <f t="shared" si="22"/>
        <v>36500</v>
      </c>
      <c r="L199" s="353"/>
      <c r="M199" s="342">
        <f>M203</f>
        <v>13500</v>
      </c>
      <c r="N199" s="244"/>
      <c r="O199" s="84">
        <f t="shared" si="23"/>
        <v>13500</v>
      </c>
      <c r="P199" s="353"/>
      <c r="Q199" s="342">
        <f t="shared" si="19"/>
        <v>50000</v>
      </c>
      <c r="R199" s="36">
        <f t="shared" si="25"/>
        <v>0</v>
      </c>
      <c r="S199" s="84">
        <f t="shared" si="26"/>
        <v>50000</v>
      </c>
    </row>
    <row r="200" spans="2:19" x14ac:dyDescent="0.2">
      <c r="B200" s="83">
        <f t="shared" si="27"/>
        <v>87</v>
      </c>
      <c r="C200" s="7"/>
      <c r="D200" s="7"/>
      <c r="E200" s="7"/>
      <c r="F200" s="25" t="s">
        <v>81</v>
      </c>
      <c r="G200" s="7">
        <v>630</v>
      </c>
      <c r="H200" s="7" t="s">
        <v>132</v>
      </c>
      <c r="I200" s="23">
        <f>I201+I202</f>
        <v>36500</v>
      </c>
      <c r="J200" s="23"/>
      <c r="K200" s="86">
        <f t="shared" si="22"/>
        <v>36500</v>
      </c>
      <c r="L200" s="355"/>
      <c r="M200" s="344"/>
      <c r="N200" s="246"/>
      <c r="O200" s="86">
        <f t="shared" si="23"/>
        <v>0</v>
      </c>
      <c r="P200" s="355"/>
      <c r="Q200" s="344">
        <f t="shared" si="19"/>
        <v>36500</v>
      </c>
      <c r="R200" s="23">
        <f t="shared" si="25"/>
        <v>0</v>
      </c>
      <c r="S200" s="86">
        <f t="shared" si="26"/>
        <v>36500</v>
      </c>
    </row>
    <row r="201" spans="2:19" x14ac:dyDescent="0.2">
      <c r="B201" s="83">
        <f t="shared" si="27"/>
        <v>88</v>
      </c>
      <c r="C201" s="3"/>
      <c r="D201" s="3"/>
      <c r="E201" s="3"/>
      <c r="F201" s="26" t="s">
        <v>81</v>
      </c>
      <c r="G201" s="3">
        <v>634</v>
      </c>
      <c r="H201" s="3" t="s">
        <v>143</v>
      </c>
      <c r="I201" s="19">
        <f>35160+500</f>
        <v>35660</v>
      </c>
      <c r="J201" s="19"/>
      <c r="K201" s="87">
        <f t="shared" si="22"/>
        <v>35660</v>
      </c>
      <c r="L201" s="356"/>
      <c r="M201" s="345"/>
      <c r="N201" s="208"/>
      <c r="O201" s="87">
        <f t="shared" si="23"/>
        <v>0</v>
      </c>
      <c r="P201" s="356"/>
      <c r="Q201" s="345">
        <f t="shared" si="19"/>
        <v>35660</v>
      </c>
      <c r="R201" s="19">
        <f t="shared" si="25"/>
        <v>0</v>
      </c>
      <c r="S201" s="87">
        <f t="shared" si="26"/>
        <v>35660</v>
      </c>
    </row>
    <row r="202" spans="2:19" x14ac:dyDescent="0.2">
      <c r="B202" s="83">
        <f t="shared" si="27"/>
        <v>89</v>
      </c>
      <c r="C202" s="3"/>
      <c r="D202" s="3"/>
      <c r="E202" s="3"/>
      <c r="F202" s="26" t="s">
        <v>81</v>
      </c>
      <c r="G202" s="3">
        <v>637</v>
      </c>
      <c r="H202" s="3" t="s">
        <v>133</v>
      </c>
      <c r="I202" s="19">
        <v>840</v>
      </c>
      <c r="J202" s="19"/>
      <c r="K202" s="87">
        <f t="shared" si="22"/>
        <v>840</v>
      </c>
      <c r="L202" s="356"/>
      <c r="M202" s="345"/>
      <c r="N202" s="208"/>
      <c r="O202" s="87">
        <f t="shared" si="23"/>
        <v>0</v>
      </c>
      <c r="P202" s="356"/>
      <c r="Q202" s="345">
        <f t="shared" si="19"/>
        <v>840</v>
      </c>
      <c r="R202" s="19">
        <f t="shared" si="25"/>
        <v>0</v>
      </c>
      <c r="S202" s="87">
        <f t="shared" si="26"/>
        <v>840</v>
      </c>
    </row>
    <row r="203" spans="2:19" x14ac:dyDescent="0.2">
      <c r="B203" s="83">
        <f t="shared" si="27"/>
        <v>90</v>
      </c>
      <c r="C203" s="7"/>
      <c r="D203" s="7"/>
      <c r="E203" s="7"/>
      <c r="F203" s="25" t="s">
        <v>81</v>
      </c>
      <c r="G203" s="7">
        <v>710</v>
      </c>
      <c r="H203" s="7" t="s">
        <v>187</v>
      </c>
      <c r="I203" s="23"/>
      <c r="J203" s="23"/>
      <c r="K203" s="86">
        <f t="shared" si="22"/>
        <v>0</v>
      </c>
      <c r="L203" s="355"/>
      <c r="M203" s="344">
        <f>M204</f>
        <v>13500</v>
      </c>
      <c r="N203" s="246"/>
      <c r="O203" s="86">
        <f t="shared" si="23"/>
        <v>13500</v>
      </c>
      <c r="P203" s="355"/>
      <c r="Q203" s="344">
        <f t="shared" si="19"/>
        <v>13500</v>
      </c>
      <c r="R203" s="23">
        <f t="shared" si="25"/>
        <v>0</v>
      </c>
      <c r="S203" s="86">
        <f t="shared" si="26"/>
        <v>13500</v>
      </c>
    </row>
    <row r="204" spans="2:19" x14ac:dyDescent="0.2">
      <c r="B204" s="83">
        <f t="shared" si="27"/>
        <v>91</v>
      </c>
      <c r="C204" s="3"/>
      <c r="D204" s="3"/>
      <c r="E204" s="3"/>
      <c r="F204" s="26" t="s">
        <v>81</v>
      </c>
      <c r="G204" s="3">
        <v>714</v>
      </c>
      <c r="H204" s="3" t="s">
        <v>188</v>
      </c>
      <c r="I204" s="19"/>
      <c r="J204" s="19"/>
      <c r="K204" s="87">
        <f t="shared" si="22"/>
        <v>0</v>
      </c>
      <c r="L204" s="356"/>
      <c r="M204" s="345">
        <f>M205</f>
        <v>13500</v>
      </c>
      <c r="N204" s="208"/>
      <c r="O204" s="87">
        <f t="shared" si="23"/>
        <v>13500</v>
      </c>
      <c r="P204" s="356"/>
      <c r="Q204" s="345">
        <f t="shared" si="19"/>
        <v>13500</v>
      </c>
      <c r="R204" s="19">
        <f t="shared" si="25"/>
        <v>0</v>
      </c>
      <c r="S204" s="87">
        <f t="shared" si="26"/>
        <v>13500</v>
      </c>
    </row>
    <row r="205" spans="2:19" ht="13.5" thickBot="1" x14ac:dyDescent="0.25">
      <c r="B205" s="89">
        <f t="shared" si="27"/>
        <v>92</v>
      </c>
      <c r="C205" s="95"/>
      <c r="D205" s="95"/>
      <c r="E205" s="95"/>
      <c r="F205" s="101"/>
      <c r="G205" s="95"/>
      <c r="H205" s="95" t="s">
        <v>365</v>
      </c>
      <c r="I205" s="98"/>
      <c r="J205" s="98"/>
      <c r="K205" s="99">
        <f t="shared" si="22"/>
        <v>0</v>
      </c>
      <c r="L205" s="361"/>
      <c r="M205" s="350">
        <v>13500</v>
      </c>
      <c r="N205" s="250"/>
      <c r="O205" s="99">
        <f t="shared" si="23"/>
        <v>13500</v>
      </c>
      <c r="P205" s="361"/>
      <c r="Q205" s="350">
        <f t="shared" si="19"/>
        <v>13500</v>
      </c>
      <c r="R205" s="98">
        <f t="shared" si="25"/>
        <v>0</v>
      </c>
      <c r="S205" s="99">
        <f t="shared" si="26"/>
        <v>13500</v>
      </c>
    </row>
    <row r="214" spans="2:19" ht="27.75" thickBot="1" x14ac:dyDescent="0.4">
      <c r="B214" s="455" t="s">
        <v>25</v>
      </c>
      <c r="C214" s="456"/>
      <c r="D214" s="456"/>
      <c r="E214" s="456"/>
      <c r="F214" s="456"/>
      <c r="G214" s="456"/>
      <c r="H214" s="456"/>
      <c r="I214" s="456"/>
      <c r="J214" s="456"/>
      <c r="K214" s="456"/>
      <c r="L214" s="456"/>
      <c r="M214" s="456"/>
      <c r="N214" s="456"/>
      <c r="O214" s="456"/>
      <c r="P214" s="456"/>
      <c r="Q214" s="456"/>
    </row>
    <row r="215" spans="2:19" ht="13.5" customHeight="1" thickBot="1" x14ac:dyDescent="0.25">
      <c r="B215" s="452" t="s">
        <v>359</v>
      </c>
      <c r="C215" s="453"/>
      <c r="D215" s="453"/>
      <c r="E215" s="453"/>
      <c r="F215" s="453"/>
      <c r="G215" s="453"/>
      <c r="H215" s="453"/>
      <c r="I215" s="453"/>
      <c r="J215" s="453"/>
      <c r="K215" s="453"/>
      <c r="L215" s="453"/>
      <c r="M215" s="453"/>
      <c r="N215" s="453"/>
      <c r="O215" s="454"/>
      <c r="P215" s="339"/>
      <c r="Q215" s="484" t="s">
        <v>667</v>
      </c>
      <c r="R215" s="488" t="s">
        <v>668</v>
      </c>
      <c r="S215" s="497" t="s">
        <v>669</v>
      </c>
    </row>
    <row r="216" spans="2:19" ht="13.5" customHeight="1" thickBot="1" x14ac:dyDescent="0.25">
      <c r="B216" s="466"/>
      <c r="C216" s="460" t="s">
        <v>125</v>
      </c>
      <c r="D216" s="460" t="s">
        <v>126</v>
      </c>
      <c r="E216" s="460"/>
      <c r="F216" s="460" t="s">
        <v>127</v>
      </c>
      <c r="G216" s="470" t="s">
        <v>128</v>
      </c>
      <c r="H216" s="473" t="s">
        <v>129</v>
      </c>
      <c r="I216" s="463" t="s">
        <v>670</v>
      </c>
      <c r="J216" s="495" t="s">
        <v>668</v>
      </c>
      <c r="K216" s="491" t="s">
        <v>671</v>
      </c>
      <c r="L216" s="53"/>
      <c r="M216" s="474" t="s">
        <v>672</v>
      </c>
      <c r="N216" s="488" t="s">
        <v>668</v>
      </c>
      <c r="O216" s="491" t="s">
        <v>671</v>
      </c>
      <c r="P216" s="53"/>
      <c r="Q216" s="485"/>
      <c r="R216" s="489"/>
      <c r="S216" s="498"/>
    </row>
    <row r="217" spans="2:19" ht="13.5" thickBot="1" x14ac:dyDescent="0.25">
      <c r="B217" s="466"/>
      <c r="C217" s="461"/>
      <c r="D217" s="461"/>
      <c r="E217" s="461"/>
      <c r="F217" s="461"/>
      <c r="G217" s="471"/>
      <c r="H217" s="473"/>
      <c r="I217" s="463"/>
      <c r="J217" s="495"/>
      <c r="K217" s="492"/>
      <c r="L217" s="53"/>
      <c r="M217" s="475"/>
      <c r="N217" s="489"/>
      <c r="O217" s="492"/>
      <c r="P217" s="53"/>
      <c r="Q217" s="485"/>
      <c r="R217" s="489"/>
      <c r="S217" s="498"/>
    </row>
    <row r="218" spans="2:19" ht="13.5" thickBot="1" x14ac:dyDescent="0.25">
      <c r="B218" s="466"/>
      <c r="C218" s="461"/>
      <c r="D218" s="461"/>
      <c r="E218" s="461"/>
      <c r="F218" s="461"/>
      <c r="G218" s="471"/>
      <c r="H218" s="473"/>
      <c r="I218" s="463"/>
      <c r="J218" s="495"/>
      <c r="K218" s="492"/>
      <c r="L218" s="53"/>
      <c r="M218" s="475"/>
      <c r="N218" s="489"/>
      <c r="O218" s="492"/>
      <c r="P218" s="53"/>
      <c r="Q218" s="485"/>
      <c r="R218" s="489"/>
      <c r="S218" s="498"/>
    </row>
    <row r="219" spans="2:19" ht="13.5" thickBot="1" x14ac:dyDescent="0.25">
      <c r="B219" s="466"/>
      <c r="C219" s="462"/>
      <c r="D219" s="462"/>
      <c r="E219" s="462"/>
      <c r="F219" s="462"/>
      <c r="G219" s="472"/>
      <c r="H219" s="473"/>
      <c r="I219" s="464"/>
      <c r="J219" s="496"/>
      <c r="K219" s="493"/>
      <c r="L219" s="53"/>
      <c r="M219" s="476"/>
      <c r="N219" s="490"/>
      <c r="O219" s="493"/>
      <c r="P219" s="53"/>
      <c r="Q219" s="486"/>
      <c r="R219" s="490"/>
      <c r="S219" s="499"/>
    </row>
    <row r="220" spans="2:19" ht="16.5" thickTop="1" x14ac:dyDescent="0.2">
      <c r="B220" s="83">
        <v>1</v>
      </c>
      <c r="C220" s="477" t="s">
        <v>25</v>
      </c>
      <c r="D220" s="482"/>
      <c r="E220" s="482"/>
      <c r="F220" s="482"/>
      <c r="G220" s="482"/>
      <c r="H220" s="483"/>
      <c r="I220" s="35">
        <f>I282+I267+I256+I246+I237+I226+I221</f>
        <v>638854</v>
      </c>
      <c r="J220" s="35">
        <f>J282+J267+J256+J246+J237+J226+J221</f>
        <v>0</v>
      </c>
      <c r="K220" s="93">
        <f>J220+I220</f>
        <v>638854</v>
      </c>
      <c r="L220" s="360"/>
      <c r="M220" s="348">
        <f>M221+M226+M237+M246+M256+M267+M282</f>
        <v>18000</v>
      </c>
      <c r="N220" s="35">
        <f>N221+N226+N237+N246+N256+N267+N282</f>
        <v>0</v>
      </c>
      <c r="O220" s="93">
        <f>N220+M220</f>
        <v>18000</v>
      </c>
      <c r="P220" s="360"/>
      <c r="Q220" s="370">
        <f t="shared" ref="Q220:Q282" si="28">I220+M220</f>
        <v>656854</v>
      </c>
      <c r="R220" s="35">
        <f t="shared" ref="R220:R282" si="29">J220+N220</f>
        <v>0</v>
      </c>
      <c r="S220" s="377">
        <f t="shared" ref="S220:S282" si="30">K220+O220</f>
        <v>656854</v>
      </c>
    </row>
    <row r="221" spans="2:19" ht="15" x14ac:dyDescent="0.2">
      <c r="B221" s="83">
        <f>B220+1</f>
        <v>2</v>
      </c>
      <c r="C221" s="239">
        <v>1</v>
      </c>
      <c r="D221" s="444" t="s">
        <v>195</v>
      </c>
      <c r="E221" s="445"/>
      <c r="F221" s="445"/>
      <c r="G221" s="445"/>
      <c r="H221" s="446"/>
      <c r="I221" s="36">
        <f>I222+I223</f>
        <v>27500</v>
      </c>
      <c r="J221" s="36"/>
      <c r="K221" s="84">
        <f t="shared" ref="K221:K283" si="31">J221+I221</f>
        <v>27500</v>
      </c>
      <c r="L221" s="353"/>
      <c r="M221" s="342">
        <v>0</v>
      </c>
      <c r="N221" s="244"/>
      <c r="O221" s="84">
        <f t="shared" ref="O221:O283" si="32">N221+M221</f>
        <v>0</v>
      </c>
      <c r="P221" s="353"/>
      <c r="Q221" s="371">
        <f t="shared" si="28"/>
        <v>27500</v>
      </c>
      <c r="R221" s="36">
        <f t="shared" si="29"/>
        <v>0</v>
      </c>
      <c r="S221" s="378">
        <f t="shared" si="30"/>
        <v>27500</v>
      </c>
    </row>
    <row r="222" spans="2:19" x14ac:dyDescent="0.2">
      <c r="B222" s="83">
        <f>B221+1</f>
        <v>3</v>
      </c>
      <c r="C222" s="7"/>
      <c r="D222" s="7"/>
      <c r="E222" s="7"/>
      <c r="F222" s="25" t="s">
        <v>82</v>
      </c>
      <c r="G222" s="7">
        <v>620</v>
      </c>
      <c r="H222" s="7" t="s">
        <v>135</v>
      </c>
      <c r="I222" s="23">
        <v>3900</v>
      </c>
      <c r="J222" s="23"/>
      <c r="K222" s="86">
        <f t="shared" si="31"/>
        <v>3900</v>
      </c>
      <c r="L222" s="355"/>
      <c r="M222" s="344"/>
      <c r="N222" s="246"/>
      <c r="O222" s="86">
        <f t="shared" si="32"/>
        <v>0</v>
      </c>
      <c r="P222" s="355"/>
      <c r="Q222" s="372">
        <f t="shared" si="28"/>
        <v>3900</v>
      </c>
      <c r="R222" s="23">
        <f t="shared" si="29"/>
        <v>0</v>
      </c>
      <c r="S222" s="379">
        <f t="shared" si="30"/>
        <v>3900</v>
      </c>
    </row>
    <row r="223" spans="2:19" x14ac:dyDescent="0.2">
      <c r="B223" s="83">
        <f t="shared" ref="B223:B285" si="33">B222+1</f>
        <v>4</v>
      </c>
      <c r="C223" s="7"/>
      <c r="D223" s="7"/>
      <c r="E223" s="7"/>
      <c r="F223" s="25" t="s">
        <v>82</v>
      </c>
      <c r="G223" s="7">
        <v>630</v>
      </c>
      <c r="H223" s="7" t="s">
        <v>132</v>
      </c>
      <c r="I223" s="23">
        <f>I225+I224</f>
        <v>23600</v>
      </c>
      <c r="J223" s="23"/>
      <c r="K223" s="86">
        <f t="shared" si="31"/>
        <v>23600</v>
      </c>
      <c r="L223" s="355"/>
      <c r="M223" s="344"/>
      <c r="N223" s="246"/>
      <c r="O223" s="86">
        <f t="shared" si="32"/>
        <v>0</v>
      </c>
      <c r="P223" s="355"/>
      <c r="Q223" s="372">
        <f t="shared" si="28"/>
        <v>23600</v>
      </c>
      <c r="R223" s="23">
        <f t="shared" si="29"/>
        <v>0</v>
      </c>
      <c r="S223" s="379">
        <f t="shared" si="30"/>
        <v>23600</v>
      </c>
    </row>
    <row r="224" spans="2:19" x14ac:dyDescent="0.2">
      <c r="B224" s="83">
        <f t="shared" si="33"/>
        <v>5</v>
      </c>
      <c r="C224" s="3"/>
      <c r="D224" s="3"/>
      <c r="E224" s="3"/>
      <c r="F224" s="26" t="s">
        <v>82</v>
      </c>
      <c r="G224" s="3">
        <v>633</v>
      </c>
      <c r="H224" s="3" t="s">
        <v>136</v>
      </c>
      <c r="I224" s="19">
        <v>3100</v>
      </c>
      <c r="J224" s="19"/>
      <c r="K224" s="87">
        <f t="shared" si="31"/>
        <v>3100</v>
      </c>
      <c r="L224" s="356"/>
      <c r="M224" s="345"/>
      <c r="N224" s="208"/>
      <c r="O224" s="87">
        <f t="shared" si="32"/>
        <v>0</v>
      </c>
      <c r="P224" s="356"/>
      <c r="Q224" s="373">
        <f t="shared" si="28"/>
        <v>3100</v>
      </c>
      <c r="R224" s="19">
        <f t="shared" si="29"/>
        <v>0</v>
      </c>
      <c r="S224" s="297">
        <f t="shared" si="30"/>
        <v>3100</v>
      </c>
    </row>
    <row r="225" spans="2:19" x14ac:dyDescent="0.2">
      <c r="B225" s="83">
        <f t="shared" si="33"/>
        <v>6</v>
      </c>
      <c r="C225" s="3"/>
      <c r="D225" s="3"/>
      <c r="E225" s="3"/>
      <c r="F225" s="26" t="s">
        <v>82</v>
      </c>
      <c r="G225" s="3">
        <v>637</v>
      </c>
      <c r="H225" s="3" t="s">
        <v>133</v>
      </c>
      <c r="I225" s="19">
        <v>20500</v>
      </c>
      <c r="J225" s="19"/>
      <c r="K225" s="87">
        <f t="shared" si="31"/>
        <v>20500</v>
      </c>
      <c r="L225" s="356"/>
      <c r="M225" s="345"/>
      <c r="N225" s="208"/>
      <c r="O225" s="87">
        <f t="shared" si="32"/>
        <v>0</v>
      </c>
      <c r="P225" s="356"/>
      <c r="Q225" s="373">
        <f t="shared" si="28"/>
        <v>20500</v>
      </c>
      <c r="R225" s="19">
        <f t="shared" si="29"/>
        <v>0</v>
      </c>
      <c r="S225" s="297">
        <f t="shared" si="30"/>
        <v>20500</v>
      </c>
    </row>
    <row r="226" spans="2:19" ht="15" x14ac:dyDescent="0.2">
      <c r="B226" s="83">
        <f t="shared" si="33"/>
        <v>7</v>
      </c>
      <c r="C226" s="239">
        <v>2</v>
      </c>
      <c r="D226" s="444" t="s">
        <v>199</v>
      </c>
      <c r="E226" s="445"/>
      <c r="F226" s="445"/>
      <c r="G226" s="445"/>
      <c r="H226" s="446"/>
      <c r="I226" s="36">
        <f>I227+I228+I229+I235+I236</f>
        <v>107960</v>
      </c>
      <c r="J226" s="36"/>
      <c r="K226" s="84">
        <f t="shared" si="31"/>
        <v>107960</v>
      </c>
      <c r="L226" s="353"/>
      <c r="M226" s="342">
        <v>0</v>
      </c>
      <c r="N226" s="244"/>
      <c r="O226" s="84">
        <f t="shared" si="32"/>
        <v>0</v>
      </c>
      <c r="P226" s="353"/>
      <c r="Q226" s="371">
        <f t="shared" si="28"/>
        <v>107960</v>
      </c>
      <c r="R226" s="36">
        <f t="shared" si="29"/>
        <v>0</v>
      </c>
      <c r="S226" s="378">
        <f t="shared" si="30"/>
        <v>107960</v>
      </c>
    </row>
    <row r="227" spans="2:19" x14ac:dyDescent="0.2">
      <c r="B227" s="83">
        <f t="shared" si="33"/>
        <v>8</v>
      </c>
      <c r="C227" s="7"/>
      <c r="D227" s="7"/>
      <c r="E227" s="7"/>
      <c r="F227" s="25" t="s">
        <v>198</v>
      </c>
      <c r="G227" s="7">
        <v>610</v>
      </c>
      <c r="H227" s="7" t="s">
        <v>142</v>
      </c>
      <c r="I227" s="23">
        <f>64000-2000</f>
        <v>62000</v>
      </c>
      <c r="J227" s="23"/>
      <c r="K227" s="86">
        <f t="shared" si="31"/>
        <v>62000</v>
      </c>
      <c r="L227" s="355"/>
      <c r="M227" s="344"/>
      <c r="N227" s="246"/>
      <c r="O227" s="86">
        <f t="shared" si="32"/>
        <v>0</v>
      </c>
      <c r="P227" s="355"/>
      <c r="Q227" s="372">
        <f t="shared" si="28"/>
        <v>62000</v>
      </c>
      <c r="R227" s="23">
        <f t="shared" si="29"/>
        <v>0</v>
      </c>
      <c r="S227" s="379">
        <f t="shared" si="30"/>
        <v>62000</v>
      </c>
    </row>
    <row r="228" spans="2:19" x14ac:dyDescent="0.2">
      <c r="B228" s="83">
        <f t="shared" si="33"/>
        <v>9</v>
      </c>
      <c r="C228" s="7"/>
      <c r="D228" s="7"/>
      <c r="E228" s="7"/>
      <c r="F228" s="25" t="s">
        <v>198</v>
      </c>
      <c r="G228" s="7">
        <v>620</v>
      </c>
      <c r="H228" s="7" t="s">
        <v>135</v>
      </c>
      <c r="I228" s="23">
        <f>23300-300-500</f>
        <v>22500</v>
      </c>
      <c r="J228" s="23"/>
      <c r="K228" s="86">
        <f t="shared" si="31"/>
        <v>22500</v>
      </c>
      <c r="L228" s="355"/>
      <c r="M228" s="344"/>
      <c r="N228" s="246"/>
      <c r="O228" s="86">
        <f t="shared" si="32"/>
        <v>0</v>
      </c>
      <c r="P228" s="355"/>
      <c r="Q228" s="372">
        <f t="shared" si="28"/>
        <v>22500</v>
      </c>
      <c r="R228" s="23">
        <f t="shared" si="29"/>
        <v>0</v>
      </c>
      <c r="S228" s="379">
        <f t="shared" si="30"/>
        <v>22500</v>
      </c>
    </row>
    <row r="229" spans="2:19" x14ac:dyDescent="0.2">
      <c r="B229" s="83">
        <f t="shared" si="33"/>
        <v>10</v>
      </c>
      <c r="C229" s="7"/>
      <c r="D229" s="7"/>
      <c r="E229" s="7"/>
      <c r="F229" s="25" t="s">
        <v>198</v>
      </c>
      <c r="G229" s="7">
        <v>630</v>
      </c>
      <c r="H229" s="7" t="s">
        <v>132</v>
      </c>
      <c r="I229" s="23">
        <f>I234+I233+I232+I231+I230</f>
        <v>15855</v>
      </c>
      <c r="J229" s="23"/>
      <c r="K229" s="86">
        <f t="shared" si="31"/>
        <v>15855</v>
      </c>
      <c r="L229" s="355"/>
      <c r="M229" s="344"/>
      <c r="N229" s="246"/>
      <c r="O229" s="86">
        <f t="shared" si="32"/>
        <v>0</v>
      </c>
      <c r="P229" s="355"/>
      <c r="Q229" s="372">
        <f t="shared" si="28"/>
        <v>15855</v>
      </c>
      <c r="R229" s="23">
        <f t="shared" si="29"/>
        <v>0</v>
      </c>
      <c r="S229" s="379">
        <f t="shared" si="30"/>
        <v>15855</v>
      </c>
    </row>
    <row r="230" spans="2:19" x14ac:dyDescent="0.2">
      <c r="B230" s="83">
        <f t="shared" si="33"/>
        <v>11</v>
      </c>
      <c r="C230" s="3"/>
      <c r="D230" s="3"/>
      <c r="E230" s="3"/>
      <c r="F230" s="26" t="s">
        <v>198</v>
      </c>
      <c r="G230" s="3">
        <v>631</v>
      </c>
      <c r="H230" s="3" t="s">
        <v>138</v>
      </c>
      <c r="I230" s="19">
        <f>500-250</f>
        <v>250</v>
      </c>
      <c r="J230" s="19"/>
      <c r="K230" s="87">
        <f t="shared" si="31"/>
        <v>250</v>
      </c>
      <c r="L230" s="356"/>
      <c r="M230" s="345"/>
      <c r="N230" s="208"/>
      <c r="O230" s="87">
        <f t="shared" si="32"/>
        <v>0</v>
      </c>
      <c r="P230" s="356"/>
      <c r="Q230" s="373">
        <f t="shared" si="28"/>
        <v>250</v>
      </c>
      <c r="R230" s="19">
        <f t="shared" si="29"/>
        <v>0</v>
      </c>
      <c r="S230" s="297">
        <f t="shared" si="30"/>
        <v>250</v>
      </c>
    </row>
    <row r="231" spans="2:19" x14ac:dyDescent="0.2">
      <c r="B231" s="83">
        <f t="shared" si="33"/>
        <v>12</v>
      </c>
      <c r="C231" s="3"/>
      <c r="D231" s="3"/>
      <c r="E231" s="3"/>
      <c r="F231" s="26" t="s">
        <v>198</v>
      </c>
      <c r="G231" s="3">
        <v>632</v>
      </c>
      <c r="H231" s="3" t="s">
        <v>145</v>
      </c>
      <c r="I231" s="19">
        <v>1700</v>
      </c>
      <c r="J231" s="19"/>
      <c r="K231" s="87">
        <f t="shared" si="31"/>
        <v>1700</v>
      </c>
      <c r="L231" s="356"/>
      <c r="M231" s="345"/>
      <c r="N231" s="208"/>
      <c r="O231" s="87">
        <f t="shared" si="32"/>
        <v>0</v>
      </c>
      <c r="P231" s="356"/>
      <c r="Q231" s="373">
        <f t="shared" si="28"/>
        <v>1700</v>
      </c>
      <c r="R231" s="19">
        <f t="shared" si="29"/>
        <v>0</v>
      </c>
      <c r="S231" s="297">
        <f t="shared" si="30"/>
        <v>1700</v>
      </c>
    </row>
    <row r="232" spans="2:19" x14ac:dyDescent="0.2">
      <c r="B232" s="83">
        <f t="shared" si="33"/>
        <v>13</v>
      </c>
      <c r="C232" s="3"/>
      <c r="D232" s="3"/>
      <c r="E232" s="3"/>
      <c r="F232" s="26" t="s">
        <v>198</v>
      </c>
      <c r="G232" s="3">
        <v>633</v>
      </c>
      <c r="H232" s="3" t="s">
        <v>136</v>
      </c>
      <c r="I232" s="19">
        <f>1700+2000+1255+750-110</f>
        <v>5595</v>
      </c>
      <c r="J232" s="19"/>
      <c r="K232" s="87">
        <f t="shared" si="31"/>
        <v>5595</v>
      </c>
      <c r="L232" s="356"/>
      <c r="M232" s="345"/>
      <c r="N232" s="208"/>
      <c r="O232" s="87">
        <f t="shared" si="32"/>
        <v>0</v>
      </c>
      <c r="P232" s="356"/>
      <c r="Q232" s="373">
        <f t="shared" si="28"/>
        <v>5595</v>
      </c>
      <c r="R232" s="19">
        <f t="shared" si="29"/>
        <v>0</v>
      </c>
      <c r="S232" s="297">
        <f t="shared" si="30"/>
        <v>5595</v>
      </c>
    </row>
    <row r="233" spans="2:19" x14ac:dyDescent="0.2">
      <c r="B233" s="83">
        <f t="shared" si="33"/>
        <v>14</v>
      </c>
      <c r="C233" s="3"/>
      <c r="D233" s="3"/>
      <c r="E233" s="3"/>
      <c r="F233" s="26" t="s">
        <v>198</v>
      </c>
      <c r="G233" s="3">
        <v>635</v>
      </c>
      <c r="H233" s="3" t="s">
        <v>144</v>
      </c>
      <c r="I233" s="19">
        <f>100+300+200+110</f>
        <v>710</v>
      </c>
      <c r="J233" s="19"/>
      <c r="K233" s="87">
        <f t="shared" si="31"/>
        <v>710</v>
      </c>
      <c r="L233" s="356"/>
      <c r="M233" s="345"/>
      <c r="N233" s="208"/>
      <c r="O233" s="87">
        <f t="shared" si="32"/>
        <v>0</v>
      </c>
      <c r="P233" s="356"/>
      <c r="Q233" s="373">
        <f t="shared" si="28"/>
        <v>710</v>
      </c>
      <c r="R233" s="19">
        <f t="shared" si="29"/>
        <v>0</v>
      </c>
      <c r="S233" s="297">
        <f t="shared" si="30"/>
        <v>710</v>
      </c>
    </row>
    <row r="234" spans="2:19" x14ac:dyDescent="0.2">
      <c r="B234" s="83">
        <f t="shared" si="33"/>
        <v>15</v>
      </c>
      <c r="C234" s="3"/>
      <c r="D234" s="3"/>
      <c r="E234" s="3"/>
      <c r="F234" s="26" t="s">
        <v>198</v>
      </c>
      <c r="G234" s="3">
        <v>637</v>
      </c>
      <c r="H234" s="3" t="s">
        <v>133</v>
      </c>
      <c r="I234" s="19">
        <f>7300+300</f>
        <v>7600</v>
      </c>
      <c r="J234" s="19"/>
      <c r="K234" s="87">
        <f t="shared" si="31"/>
        <v>7600</v>
      </c>
      <c r="L234" s="356"/>
      <c r="M234" s="345"/>
      <c r="N234" s="208"/>
      <c r="O234" s="87">
        <f t="shared" si="32"/>
        <v>0</v>
      </c>
      <c r="P234" s="356"/>
      <c r="Q234" s="373">
        <f t="shared" si="28"/>
        <v>7600</v>
      </c>
      <c r="R234" s="19">
        <f t="shared" si="29"/>
        <v>0</v>
      </c>
      <c r="S234" s="297">
        <f t="shared" si="30"/>
        <v>7600</v>
      </c>
    </row>
    <row r="235" spans="2:19" x14ac:dyDescent="0.2">
      <c r="B235" s="83">
        <f t="shared" si="33"/>
        <v>16</v>
      </c>
      <c r="C235" s="7"/>
      <c r="D235" s="7"/>
      <c r="E235" s="7"/>
      <c r="F235" s="25" t="s">
        <v>198</v>
      </c>
      <c r="G235" s="7">
        <v>640</v>
      </c>
      <c r="H235" s="7" t="s">
        <v>140</v>
      </c>
      <c r="I235" s="23">
        <v>400</v>
      </c>
      <c r="J235" s="23"/>
      <c r="K235" s="86">
        <f t="shared" si="31"/>
        <v>400</v>
      </c>
      <c r="L235" s="355"/>
      <c r="M235" s="344"/>
      <c r="N235" s="246"/>
      <c r="O235" s="86">
        <f t="shared" si="32"/>
        <v>0</v>
      </c>
      <c r="P235" s="355"/>
      <c r="Q235" s="372">
        <f t="shared" si="28"/>
        <v>400</v>
      </c>
      <c r="R235" s="23">
        <f t="shared" si="29"/>
        <v>0</v>
      </c>
      <c r="S235" s="379">
        <f t="shared" si="30"/>
        <v>400</v>
      </c>
    </row>
    <row r="236" spans="2:19" x14ac:dyDescent="0.2">
      <c r="B236" s="83">
        <f t="shared" si="33"/>
        <v>17</v>
      </c>
      <c r="C236" s="7"/>
      <c r="D236" s="7"/>
      <c r="E236" s="7"/>
      <c r="F236" s="26" t="s">
        <v>198</v>
      </c>
      <c r="G236" s="3">
        <v>637</v>
      </c>
      <c r="H236" s="3" t="s">
        <v>578</v>
      </c>
      <c r="I236" s="20">
        <v>7205</v>
      </c>
      <c r="J236" s="20"/>
      <c r="K236" s="123">
        <f t="shared" si="31"/>
        <v>7205</v>
      </c>
      <c r="L236" s="356"/>
      <c r="M236" s="344"/>
      <c r="N236" s="246"/>
      <c r="O236" s="86">
        <f t="shared" si="32"/>
        <v>0</v>
      </c>
      <c r="P236" s="355"/>
      <c r="Q236" s="372">
        <f t="shared" si="28"/>
        <v>7205</v>
      </c>
      <c r="R236" s="23">
        <f t="shared" si="29"/>
        <v>0</v>
      </c>
      <c r="S236" s="379">
        <f t="shared" si="30"/>
        <v>7205</v>
      </c>
    </row>
    <row r="237" spans="2:19" ht="15" x14ac:dyDescent="0.2">
      <c r="B237" s="83">
        <f t="shared" si="33"/>
        <v>18</v>
      </c>
      <c r="C237" s="239">
        <v>3</v>
      </c>
      <c r="D237" s="444" t="s">
        <v>183</v>
      </c>
      <c r="E237" s="445"/>
      <c r="F237" s="445"/>
      <c r="G237" s="445"/>
      <c r="H237" s="446"/>
      <c r="I237" s="36">
        <f>I238+I239+I240+I245</f>
        <v>196260</v>
      </c>
      <c r="J237" s="36"/>
      <c r="K237" s="84">
        <f t="shared" si="31"/>
        <v>196260</v>
      </c>
      <c r="L237" s="353"/>
      <c r="M237" s="342">
        <v>0</v>
      </c>
      <c r="N237" s="244"/>
      <c r="O237" s="84">
        <f t="shared" si="32"/>
        <v>0</v>
      </c>
      <c r="P237" s="353"/>
      <c r="Q237" s="371">
        <f t="shared" si="28"/>
        <v>196260</v>
      </c>
      <c r="R237" s="36">
        <f t="shared" si="29"/>
        <v>0</v>
      </c>
      <c r="S237" s="378">
        <f t="shared" si="30"/>
        <v>196260</v>
      </c>
    </row>
    <row r="238" spans="2:19" x14ac:dyDescent="0.2">
      <c r="B238" s="83">
        <f t="shared" si="33"/>
        <v>19</v>
      </c>
      <c r="C238" s="7"/>
      <c r="D238" s="7"/>
      <c r="E238" s="7"/>
      <c r="F238" s="25" t="s">
        <v>81</v>
      </c>
      <c r="G238" s="7">
        <v>610</v>
      </c>
      <c r="H238" s="7" t="s">
        <v>142</v>
      </c>
      <c r="I238" s="23">
        <v>136400</v>
      </c>
      <c r="J238" s="23"/>
      <c r="K238" s="86">
        <f t="shared" si="31"/>
        <v>136400</v>
      </c>
      <c r="L238" s="355"/>
      <c r="M238" s="344"/>
      <c r="N238" s="246"/>
      <c r="O238" s="86">
        <f t="shared" si="32"/>
        <v>0</v>
      </c>
      <c r="P238" s="355"/>
      <c r="Q238" s="372">
        <f t="shared" si="28"/>
        <v>136400</v>
      </c>
      <c r="R238" s="23">
        <f t="shared" si="29"/>
        <v>0</v>
      </c>
      <c r="S238" s="379">
        <f t="shared" si="30"/>
        <v>136400</v>
      </c>
    </row>
    <row r="239" spans="2:19" x14ac:dyDescent="0.2">
      <c r="B239" s="83">
        <f t="shared" si="33"/>
        <v>20</v>
      </c>
      <c r="C239" s="7"/>
      <c r="D239" s="7"/>
      <c r="E239" s="7"/>
      <c r="F239" s="25" t="s">
        <v>81</v>
      </c>
      <c r="G239" s="7">
        <v>620</v>
      </c>
      <c r="H239" s="7" t="s">
        <v>135</v>
      </c>
      <c r="I239" s="23">
        <v>46000</v>
      </c>
      <c r="J239" s="23"/>
      <c r="K239" s="86">
        <f t="shared" si="31"/>
        <v>46000</v>
      </c>
      <c r="L239" s="355"/>
      <c r="M239" s="344"/>
      <c r="N239" s="246"/>
      <c r="O239" s="86">
        <f t="shared" si="32"/>
        <v>0</v>
      </c>
      <c r="P239" s="355"/>
      <c r="Q239" s="372">
        <f t="shared" si="28"/>
        <v>46000</v>
      </c>
      <c r="R239" s="23">
        <f t="shared" si="29"/>
        <v>0</v>
      </c>
      <c r="S239" s="379">
        <f t="shared" si="30"/>
        <v>46000</v>
      </c>
    </row>
    <row r="240" spans="2:19" x14ac:dyDescent="0.2">
      <c r="B240" s="83">
        <f t="shared" si="33"/>
        <v>21</v>
      </c>
      <c r="C240" s="7"/>
      <c r="D240" s="7"/>
      <c r="E240" s="7"/>
      <c r="F240" s="25" t="s">
        <v>81</v>
      </c>
      <c r="G240" s="7">
        <v>630</v>
      </c>
      <c r="H240" s="7" t="s">
        <v>132</v>
      </c>
      <c r="I240" s="23">
        <f>I244+I243+I242+I241</f>
        <v>13360</v>
      </c>
      <c r="J240" s="23"/>
      <c r="K240" s="86">
        <f t="shared" si="31"/>
        <v>13360</v>
      </c>
      <c r="L240" s="355"/>
      <c r="M240" s="344"/>
      <c r="N240" s="246"/>
      <c r="O240" s="86">
        <f t="shared" si="32"/>
        <v>0</v>
      </c>
      <c r="P240" s="355"/>
      <c r="Q240" s="372">
        <f t="shared" si="28"/>
        <v>13360</v>
      </c>
      <c r="R240" s="23">
        <f t="shared" si="29"/>
        <v>0</v>
      </c>
      <c r="S240" s="379">
        <f t="shared" si="30"/>
        <v>13360</v>
      </c>
    </row>
    <row r="241" spans="2:19" x14ac:dyDescent="0.2">
      <c r="B241" s="83">
        <f t="shared" si="33"/>
        <v>22</v>
      </c>
      <c r="C241" s="3"/>
      <c r="D241" s="3"/>
      <c r="E241" s="3"/>
      <c r="F241" s="26" t="s">
        <v>81</v>
      </c>
      <c r="G241" s="3">
        <v>631</v>
      </c>
      <c r="H241" s="3" t="s">
        <v>138</v>
      </c>
      <c r="I241" s="19">
        <v>100</v>
      </c>
      <c r="J241" s="19"/>
      <c r="K241" s="87">
        <f t="shared" si="31"/>
        <v>100</v>
      </c>
      <c r="L241" s="356"/>
      <c r="M241" s="345"/>
      <c r="N241" s="208"/>
      <c r="O241" s="87">
        <f t="shared" si="32"/>
        <v>0</v>
      </c>
      <c r="P241" s="356"/>
      <c r="Q241" s="373">
        <f t="shared" si="28"/>
        <v>100</v>
      </c>
      <c r="R241" s="19">
        <f t="shared" si="29"/>
        <v>0</v>
      </c>
      <c r="S241" s="297">
        <f t="shared" si="30"/>
        <v>100</v>
      </c>
    </row>
    <row r="242" spans="2:19" x14ac:dyDescent="0.2">
      <c r="B242" s="83">
        <f t="shared" si="33"/>
        <v>23</v>
      </c>
      <c r="C242" s="3"/>
      <c r="D242" s="3"/>
      <c r="E242" s="3"/>
      <c r="F242" s="26" t="s">
        <v>81</v>
      </c>
      <c r="G242" s="3">
        <v>632</v>
      </c>
      <c r="H242" s="3" t="s">
        <v>145</v>
      </c>
      <c r="I242" s="19">
        <v>1800</v>
      </c>
      <c r="J242" s="19"/>
      <c r="K242" s="87">
        <f t="shared" si="31"/>
        <v>1800</v>
      </c>
      <c r="L242" s="356"/>
      <c r="M242" s="345"/>
      <c r="N242" s="208"/>
      <c r="O242" s="87">
        <f t="shared" si="32"/>
        <v>0</v>
      </c>
      <c r="P242" s="356"/>
      <c r="Q242" s="373">
        <f t="shared" si="28"/>
        <v>1800</v>
      </c>
      <c r="R242" s="19">
        <f t="shared" si="29"/>
        <v>0</v>
      </c>
      <c r="S242" s="297">
        <f t="shared" si="30"/>
        <v>1800</v>
      </c>
    </row>
    <row r="243" spans="2:19" x14ac:dyDescent="0.2">
      <c r="B243" s="83">
        <f t="shared" si="33"/>
        <v>24</v>
      </c>
      <c r="C243" s="3"/>
      <c r="D243" s="3"/>
      <c r="E243" s="3"/>
      <c r="F243" s="26" t="s">
        <v>81</v>
      </c>
      <c r="G243" s="3">
        <v>633</v>
      </c>
      <c r="H243" s="3" t="s">
        <v>136</v>
      </c>
      <c r="I243" s="19">
        <v>1200</v>
      </c>
      <c r="J243" s="19"/>
      <c r="K243" s="87">
        <f t="shared" si="31"/>
        <v>1200</v>
      </c>
      <c r="L243" s="356"/>
      <c r="M243" s="345"/>
      <c r="N243" s="208"/>
      <c r="O243" s="87">
        <f t="shared" si="32"/>
        <v>0</v>
      </c>
      <c r="P243" s="356"/>
      <c r="Q243" s="373">
        <f t="shared" si="28"/>
        <v>1200</v>
      </c>
      <c r="R243" s="19">
        <f t="shared" si="29"/>
        <v>0</v>
      </c>
      <c r="S243" s="297">
        <f t="shared" si="30"/>
        <v>1200</v>
      </c>
    </row>
    <row r="244" spans="2:19" x14ac:dyDescent="0.2">
      <c r="B244" s="83">
        <f t="shared" si="33"/>
        <v>25</v>
      </c>
      <c r="C244" s="3"/>
      <c r="D244" s="3"/>
      <c r="E244" s="3"/>
      <c r="F244" s="26" t="s">
        <v>81</v>
      </c>
      <c r="G244" s="3">
        <v>637</v>
      </c>
      <c r="H244" s="3" t="s">
        <v>133</v>
      </c>
      <c r="I244" s="19">
        <v>10260</v>
      </c>
      <c r="J244" s="19"/>
      <c r="K244" s="87">
        <f t="shared" si="31"/>
        <v>10260</v>
      </c>
      <c r="L244" s="356"/>
      <c r="M244" s="345"/>
      <c r="N244" s="208"/>
      <c r="O244" s="87">
        <f t="shared" si="32"/>
        <v>0</v>
      </c>
      <c r="P244" s="356"/>
      <c r="Q244" s="373">
        <f t="shared" si="28"/>
        <v>10260</v>
      </c>
      <c r="R244" s="19">
        <f t="shared" si="29"/>
        <v>0</v>
      </c>
      <c r="S244" s="297">
        <f t="shared" si="30"/>
        <v>10260</v>
      </c>
    </row>
    <row r="245" spans="2:19" x14ac:dyDescent="0.2">
      <c r="B245" s="83">
        <f t="shared" si="33"/>
        <v>26</v>
      </c>
      <c r="C245" s="7"/>
      <c r="D245" s="7"/>
      <c r="E245" s="7"/>
      <c r="F245" s="25" t="s">
        <v>81</v>
      </c>
      <c r="G245" s="7">
        <v>640</v>
      </c>
      <c r="H245" s="7" t="s">
        <v>140</v>
      </c>
      <c r="I245" s="23">
        <v>500</v>
      </c>
      <c r="J245" s="23"/>
      <c r="K245" s="86">
        <f t="shared" si="31"/>
        <v>500</v>
      </c>
      <c r="L245" s="355"/>
      <c r="M245" s="344"/>
      <c r="N245" s="246"/>
      <c r="O245" s="86">
        <f t="shared" si="32"/>
        <v>0</v>
      </c>
      <c r="P245" s="355"/>
      <c r="Q245" s="372">
        <f t="shared" si="28"/>
        <v>500</v>
      </c>
      <c r="R245" s="23">
        <f t="shared" si="29"/>
        <v>0</v>
      </c>
      <c r="S245" s="379">
        <f t="shared" si="30"/>
        <v>500</v>
      </c>
    </row>
    <row r="246" spans="2:19" ht="15" x14ac:dyDescent="0.2">
      <c r="B246" s="83">
        <f t="shared" si="33"/>
        <v>27</v>
      </c>
      <c r="C246" s="239">
        <v>4</v>
      </c>
      <c r="D246" s="444" t="s">
        <v>50</v>
      </c>
      <c r="E246" s="445"/>
      <c r="F246" s="445"/>
      <c r="G246" s="445"/>
      <c r="H246" s="446"/>
      <c r="I246" s="36">
        <f>I247</f>
        <v>48140</v>
      </c>
      <c r="J246" s="36"/>
      <c r="K246" s="84">
        <f t="shared" si="31"/>
        <v>48140</v>
      </c>
      <c r="L246" s="353"/>
      <c r="M246" s="342">
        <v>0</v>
      </c>
      <c r="N246" s="244"/>
      <c r="O246" s="84">
        <f t="shared" si="32"/>
        <v>0</v>
      </c>
      <c r="P246" s="353"/>
      <c r="Q246" s="371">
        <f t="shared" si="28"/>
        <v>48140</v>
      </c>
      <c r="R246" s="36">
        <f t="shared" si="29"/>
        <v>0</v>
      </c>
      <c r="S246" s="378">
        <f t="shared" si="30"/>
        <v>48140</v>
      </c>
    </row>
    <row r="247" spans="2:19" ht="15" x14ac:dyDescent="0.25">
      <c r="B247" s="83">
        <f t="shared" si="33"/>
        <v>28</v>
      </c>
      <c r="C247" s="10"/>
      <c r="D247" s="10"/>
      <c r="E247" s="10">
        <v>2</v>
      </c>
      <c r="F247" s="28"/>
      <c r="G247" s="10"/>
      <c r="H247" s="10" t="s">
        <v>408</v>
      </c>
      <c r="I247" s="38">
        <f>I248+I249+I250+I255</f>
        <v>48140</v>
      </c>
      <c r="J247" s="38"/>
      <c r="K247" s="94">
        <f t="shared" si="31"/>
        <v>48140</v>
      </c>
      <c r="L247" s="365"/>
      <c r="M247" s="362"/>
      <c r="N247" s="253"/>
      <c r="O247" s="94">
        <f t="shared" si="32"/>
        <v>0</v>
      </c>
      <c r="P247" s="365"/>
      <c r="Q247" s="374">
        <f t="shared" si="28"/>
        <v>48140</v>
      </c>
      <c r="R247" s="38">
        <f t="shared" si="29"/>
        <v>0</v>
      </c>
      <c r="S247" s="380">
        <f t="shared" si="30"/>
        <v>48140</v>
      </c>
    </row>
    <row r="248" spans="2:19" x14ac:dyDescent="0.2">
      <c r="B248" s="83">
        <f>B246+1</f>
        <v>28</v>
      </c>
      <c r="C248" s="7"/>
      <c r="D248" s="7"/>
      <c r="E248" s="7"/>
      <c r="F248" s="25" t="s">
        <v>207</v>
      </c>
      <c r="G248" s="7">
        <v>610</v>
      </c>
      <c r="H248" s="7" t="s">
        <v>142</v>
      </c>
      <c r="I248" s="23">
        <v>24350</v>
      </c>
      <c r="J248" s="23"/>
      <c r="K248" s="86">
        <f t="shared" si="31"/>
        <v>24350</v>
      </c>
      <c r="L248" s="355"/>
      <c r="M248" s="344"/>
      <c r="N248" s="246"/>
      <c r="O248" s="86">
        <f t="shared" si="32"/>
        <v>0</v>
      </c>
      <c r="P248" s="355"/>
      <c r="Q248" s="372">
        <f t="shared" si="28"/>
        <v>24350</v>
      </c>
      <c r="R248" s="23">
        <f t="shared" si="29"/>
        <v>0</v>
      </c>
      <c r="S248" s="379">
        <f t="shared" si="30"/>
        <v>24350</v>
      </c>
    </row>
    <row r="249" spans="2:19" x14ac:dyDescent="0.2">
      <c r="B249" s="83">
        <f t="shared" si="33"/>
        <v>29</v>
      </c>
      <c r="C249" s="7"/>
      <c r="D249" s="7"/>
      <c r="E249" s="7"/>
      <c r="F249" s="25" t="s">
        <v>207</v>
      </c>
      <c r="G249" s="7">
        <v>620</v>
      </c>
      <c r="H249" s="7" t="s">
        <v>135</v>
      </c>
      <c r="I249" s="23">
        <v>9100</v>
      </c>
      <c r="J249" s="23"/>
      <c r="K249" s="86">
        <f t="shared" si="31"/>
        <v>9100</v>
      </c>
      <c r="L249" s="355"/>
      <c r="M249" s="344"/>
      <c r="N249" s="246"/>
      <c r="O249" s="86">
        <f t="shared" si="32"/>
        <v>0</v>
      </c>
      <c r="P249" s="355"/>
      <c r="Q249" s="372">
        <f t="shared" si="28"/>
        <v>9100</v>
      </c>
      <c r="R249" s="23">
        <f t="shared" si="29"/>
        <v>0</v>
      </c>
      <c r="S249" s="379">
        <f t="shared" si="30"/>
        <v>9100</v>
      </c>
    </row>
    <row r="250" spans="2:19" x14ac:dyDescent="0.2">
      <c r="B250" s="83">
        <f t="shared" si="33"/>
        <v>30</v>
      </c>
      <c r="C250" s="7"/>
      <c r="D250" s="7"/>
      <c r="E250" s="7"/>
      <c r="F250" s="25" t="s">
        <v>207</v>
      </c>
      <c r="G250" s="7">
        <v>630</v>
      </c>
      <c r="H250" s="7" t="s">
        <v>132</v>
      </c>
      <c r="I250" s="23">
        <f>SUM(I251:I254)</f>
        <v>13590</v>
      </c>
      <c r="J250" s="23"/>
      <c r="K250" s="86">
        <f t="shared" si="31"/>
        <v>13590</v>
      </c>
      <c r="L250" s="355"/>
      <c r="M250" s="344"/>
      <c r="N250" s="246"/>
      <c r="O250" s="86">
        <f t="shared" si="32"/>
        <v>0</v>
      </c>
      <c r="P250" s="355"/>
      <c r="Q250" s="372">
        <f t="shared" si="28"/>
        <v>13590</v>
      </c>
      <c r="R250" s="23">
        <f t="shared" si="29"/>
        <v>0</v>
      </c>
      <c r="S250" s="379">
        <f t="shared" si="30"/>
        <v>13590</v>
      </c>
    </row>
    <row r="251" spans="2:19" x14ac:dyDescent="0.2">
      <c r="B251" s="83">
        <f t="shared" si="33"/>
        <v>31</v>
      </c>
      <c r="C251" s="3"/>
      <c r="D251" s="3"/>
      <c r="E251" s="3"/>
      <c r="F251" s="26" t="s">
        <v>207</v>
      </c>
      <c r="G251" s="3">
        <v>632</v>
      </c>
      <c r="H251" s="3" t="s">
        <v>145</v>
      </c>
      <c r="I251" s="19">
        <v>7900</v>
      </c>
      <c r="J251" s="19"/>
      <c r="K251" s="87">
        <f t="shared" si="31"/>
        <v>7900</v>
      </c>
      <c r="L251" s="356"/>
      <c r="M251" s="345"/>
      <c r="N251" s="208"/>
      <c r="O251" s="87">
        <f t="shared" si="32"/>
        <v>0</v>
      </c>
      <c r="P251" s="356"/>
      <c r="Q251" s="373">
        <f t="shared" si="28"/>
        <v>7900</v>
      </c>
      <c r="R251" s="19">
        <f t="shared" si="29"/>
        <v>0</v>
      </c>
      <c r="S251" s="297">
        <f t="shared" si="30"/>
        <v>7900</v>
      </c>
    </row>
    <row r="252" spans="2:19" x14ac:dyDescent="0.2">
      <c r="B252" s="83">
        <f t="shared" si="33"/>
        <v>32</v>
      </c>
      <c r="C252" s="3"/>
      <c r="D252" s="3"/>
      <c r="E252" s="3"/>
      <c r="F252" s="26" t="s">
        <v>207</v>
      </c>
      <c r="G252" s="3">
        <v>633</v>
      </c>
      <c r="H252" s="3" t="s">
        <v>136</v>
      </c>
      <c r="I252" s="19">
        <v>2200</v>
      </c>
      <c r="J252" s="19"/>
      <c r="K252" s="87">
        <f t="shared" si="31"/>
        <v>2200</v>
      </c>
      <c r="L252" s="356"/>
      <c r="M252" s="345"/>
      <c r="N252" s="208"/>
      <c r="O252" s="87">
        <f t="shared" si="32"/>
        <v>0</v>
      </c>
      <c r="P252" s="356"/>
      <c r="Q252" s="373">
        <f t="shared" si="28"/>
        <v>2200</v>
      </c>
      <c r="R252" s="19">
        <f t="shared" si="29"/>
        <v>0</v>
      </c>
      <c r="S252" s="297">
        <f t="shared" si="30"/>
        <v>2200</v>
      </c>
    </row>
    <row r="253" spans="2:19" x14ac:dyDescent="0.2">
      <c r="B253" s="83">
        <f t="shared" si="33"/>
        <v>33</v>
      </c>
      <c r="C253" s="3"/>
      <c r="D253" s="3"/>
      <c r="E253" s="3"/>
      <c r="F253" s="26" t="s">
        <v>207</v>
      </c>
      <c r="G253" s="3">
        <v>635</v>
      </c>
      <c r="H253" s="3" t="s">
        <v>144</v>
      </c>
      <c r="I253" s="19">
        <v>400</v>
      </c>
      <c r="J253" s="19"/>
      <c r="K253" s="87">
        <f t="shared" si="31"/>
        <v>400</v>
      </c>
      <c r="L253" s="356"/>
      <c r="M253" s="345"/>
      <c r="N253" s="208"/>
      <c r="O253" s="87">
        <f t="shared" si="32"/>
        <v>0</v>
      </c>
      <c r="P253" s="356"/>
      <c r="Q253" s="373">
        <f t="shared" si="28"/>
        <v>400</v>
      </c>
      <c r="R253" s="19">
        <f t="shared" si="29"/>
        <v>0</v>
      </c>
      <c r="S253" s="297">
        <f t="shared" si="30"/>
        <v>400</v>
      </c>
    </row>
    <row r="254" spans="2:19" x14ac:dyDescent="0.2">
      <c r="B254" s="83">
        <f t="shared" si="33"/>
        <v>34</v>
      </c>
      <c r="C254" s="3"/>
      <c r="D254" s="3"/>
      <c r="E254" s="3"/>
      <c r="F254" s="26" t="s">
        <v>207</v>
      </c>
      <c r="G254" s="3">
        <v>637</v>
      </c>
      <c r="H254" s="3" t="s">
        <v>133</v>
      </c>
      <c r="I254" s="19">
        <v>3090</v>
      </c>
      <c r="J254" s="19"/>
      <c r="K254" s="87">
        <f t="shared" si="31"/>
        <v>3090</v>
      </c>
      <c r="L254" s="356"/>
      <c r="M254" s="345"/>
      <c r="N254" s="208"/>
      <c r="O254" s="87">
        <f t="shared" si="32"/>
        <v>0</v>
      </c>
      <c r="P254" s="356"/>
      <c r="Q254" s="373">
        <f t="shared" si="28"/>
        <v>3090</v>
      </c>
      <c r="R254" s="19">
        <f t="shared" si="29"/>
        <v>0</v>
      </c>
      <c r="S254" s="297">
        <f t="shared" si="30"/>
        <v>3090</v>
      </c>
    </row>
    <row r="255" spans="2:19" x14ac:dyDescent="0.2">
      <c r="B255" s="83">
        <f t="shared" si="33"/>
        <v>35</v>
      </c>
      <c r="C255" s="7"/>
      <c r="D255" s="7"/>
      <c r="E255" s="7"/>
      <c r="F255" s="25" t="s">
        <v>207</v>
      </c>
      <c r="G255" s="7">
        <v>640</v>
      </c>
      <c r="H255" s="7" t="s">
        <v>140</v>
      </c>
      <c r="I255" s="23">
        <v>1100</v>
      </c>
      <c r="J255" s="23"/>
      <c r="K255" s="86">
        <f t="shared" si="31"/>
        <v>1100</v>
      </c>
      <c r="L255" s="355"/>
      <c r="M255" s="344"/>
      <c r="N255" s="246"/>
      <c r="O255" s="86">
        <f t="shared" si="32"/>
        <v>0</v>
      </c>
      <c r="P255" s="355"/>
      <c r="Q255" s="372">
        <f t="shared" si="28"/>
        <v>1100</v>
      </c>
      <c r="R255" s="23">
        <f t="shared" si="29"/>
        <v>0</v>
      </c>
      <c r="S255" s="379">
        <f t="shared" si="30"/>
        <v>1100</v>
      </c>
    </row>
    <row r="256" spans="2:19" ht="15" x14ac:dyDescent="0.2">
      <c r="B256" s="83">
        <f t="shared" si="33"/>
        <v>36</v>
      </c>
      <c r="C256" s="239">
        <v>5</v>
      </c>
      <c r="D256" s="444" t="s">
        <v>232</v>
      </c>
      <c r="E256" s="445"/>
      <c r="F256" s="445"/>
      <c r="G256" s="445"/>
      <c r="H256" s="446"/>
      <c r="I256" s="36">
        <f>I257</f>
        <v>65960</v>
      </c>
      <c r="J256" s="36"/>
      <c r="K256" s="84">
        <f t="shared" si="31"/>
        <v>65960</v>
      </c>
      <c r="L256" s="353"/>
      <c r="M256" s="342">
        <f>M257</f>
        <v>0</v>
      </c>
      <c r="N256" s="244"/>
      <c r="O256" s="84">
        <f t="shared" si="32"/>
        <v>0</v>
      </c>
      <c r="P256" s="353"/>
      <c r="Q256" s="371">
        <f t="shared" si="28"/>
        <v>65960</v>
      </c>
      <c r="R256" s="36">
        <f t="shared" si="29"/>
        <v>0</v>
      </c>
      <c r="S256" s="378">
        <f t="shared" si="30"/>
        <v>65960</v>
      </c>
    </row>
    <row r="257" spans="2:19" ht="15" x14ac:dyDescent="0.25">
      <c r="B257" s="83">
        <f t="shared" si="33"/>
        <v>37</v>
      </c>
      <c r="C257" s="10"/>
      <c r="D257" s="10"/>
      <c r="E257" s="10">
        <v>2</v>
      </c>
      <c r="F257" s="28"/>
      <c r="G257" s="10"/>
      <c r="H257" s="10" t="s">
        <v>408</v>
      </c>
      <c r="I257" s="38">
        <f>I258+I259+I260+I266</f>
        <v>65960</v>
      </c>
      <c r="J257" s="38"/>
      <c r="K257" s="94">
        <f t="shared" si="31"/>
        <v>65960</v>
      </c>
      <c r="L257" s="365"/>
      <c r="M257" s="362"/>
      <c r="N257" s="253"/>
      <c r="O257" s="94">
        <f t="shared" si="32"/>
        <v>0</v>
      </c>
      <c r="P257" s="365"/>
      <c r="Q257" s="374">
        <f t="shared" si="28"/>
        <v>65960</v>
      </c>
      <c r="R257" s="38">
        <f t="shared" si="29"/>
        <v>0</v>
      </c>
      <c r="S257" s="380">
        <f t="shared" si="30"/>
        <v>65960</v>
      </c>
    </row>
    <row r="258" spans="2:19" x14ac:dyDescent="0.2">
      <c r="B258" s="83">
        <f t="shared" si="33"/>
        <v>38</v>
      </c>
      <c r="C258" s="7"/>
      <c r="D258" s="7"/>
      <c r="E258" s="7"/>
      <c r="F258" s="25" t="s">
        <v>207</v>
      </c>
      <c r="G258" s="7">
        <v>610</v>
      </c>
      <c r="H258" s="7" t="s">
        <v>142</v>
      </c>
      <c r="I258" s="23">
        <v>22090</v>
      </c>
      <c r="J258" s="23"/>
      <c r="K258" s="86">
        <f t="shared" si="31"/>
        <v>22090</v>
      </c>
      <c r="L258" s="355"/>
      <c r="M258" s="344"/>
      <c r="N258" s="246"/>
      <c r="O258" s="86">
        <f t="shared" si="32"/>
        <v>0</v>
      </c>
      <c r="P258" s="355"/>
      <c r="Q258" s="372">
        <f t="shared" si="28"/>
        <v>22090</v>
      </c>
      <c r="R258" s="23">
        <f t="shared" si="29"/>
        <v>0</v>
      </c>
      <c r="S258" s="379">
        <f t="shared" si="30"/>
        <v>22090</v>
      </c>
    </row>
    <row r="259" spans="2:19" x14ac:dyDescent="0.2">
      <c r="B259" s="83">
        <f t="shared" si="33"/>
        <v>39</v>
      </c>
      <c r="C259" s="7"/>
      <c r="D259" s="7"/>
      <c r="E259" s="7"/>
      <c r="F259" s="25" t="s">
        <v>207</v>
      </c>
      <c r="G259" s="7">
        <v>620</v>
      </c>
      <c r="H259" s="7" t="s">
        <v>135</v>
      </c>
      <c r="I259" s="23">
        <v>9300</v>
      </c>
      <c r="J259" s="23"/>
      <c r="K259" s="86">
        <f t="shared" si="31"/>
        <v>9300</v>
      </c>
      <c r="L259" s="355"/>
      <c r="M259" s="344"/>
      <c r="N259" s="246"/>
      <c r="O259" s="86">
        <f t="shared" si="32"/>
        <v>0</v>
      </c>
      <c r="P259" s="355"/>
      <c r="Q259" s="372">
        <f t="shared" si="28"/>
        <v>9300</v>
      </c>
      <c r="R259" s="23">
        <f t="shared" si="29"/>
        <v>0</v>
      </c>
      <c r="S259" s="379">
        <f t="shared" si="30"/>
        <v>9300</v>
      </c>
    </row>
    <row r="260" spans="2:19" x14ac:dyDescent="0.2">
      <c r="B260" s="83">
        <f t="shared" si="33"/>
        <v>40</v>
      </c>
      <c r="C260" s="7"/>
      <c r="D260" s="7"/>
      <c r="E260" s="7"/>
      <c r="F260" s="25" t="s">
        <v>207</v>
      </c>
      <c r="G260" s="7">
        <v>630</v>
      </c>
      <c r="H260" s="7" t="s">
        <v>132</v>
      </c>
      <c r="I260" s="23">
        <f>SUM(I261:I265)</f>
        <v>32520</v>
      </c>
      <c r="J260" s="23"/>
      <c r="K260" s="86">
        <f t="shared" si="31"/>
        <v>32520</v>
      </c>
      <c r="L260" s="355"/>
      <c r="M260" s="344"/>
      <c r="N260" s="246"/>
      <c r="O260" s="86">
        <f t="shared" si="32"/>
        <v>0</v>
      </c>
      <c r="P260" s="355"/>
      <c r="Q260" s="372">
        <f t="shared" si="28"/>
        <v>32520</v>
      </c>
      <c r="R260" s="23">
        <f t="shared" si="29"/>
        <v>0</v>
      </c>
      <c r="S260" s="379">
        <f t="shared" si="30"/>
        <v>32520</v>
      </c>
    </row>
    <row r="261" spans="2:19" x14ac:dyDescent="0.2">
      <c r="B261" s="83">
        <f t="shared" si="33"/>
        <v>41</v>
      </c>
      <c r="C261" s="3"/>
      <c r="D261" s="3"/>
      <c r="E261" s="3"/>
      <c r="F261" s="26" t="s">
        <v>207</v>
      </c>
      <c r="G261" s="3">
        <v>632</v>
      </c>
      <c r="H261" s="3" t="s">
        <v>145</v>
      </c>
      <c r="I261" s="19">
        <v>6400</v>
      </c>
      <c r="J261" s="19"/>
      <c r="K261" s="87">
        <f t="shared" si="31"/>
        <v>6400</v>
      </c>
      <c r="L261" s="356"/>
      <c r="M261" s="345"/>
      <c r="N261" s="208"/>
      <c r="O261" s="87">
        <f t="shared" si="32"/>
        <v>0</v>
      </c>
      <c r="P261" s="356"/>
      <c r="Q261" s="373">
        <f t="shared" si="28"/>
        <v>6400</v>
      </c>
      <c r="R261" s="19">
        <f t="shared" si="29"/>
        <v>0</v>
      </c>
      <c r="S261" s="297">
        <f t="shared" si="30"/>
        <v>6400</v>
      </c>
    </row>
    <row r="262" spans="2:19" x14ac:dyDescent="0.2">
      <c r="B262" s="83">
        <f t="shared" si="33"/>
        <v>42</v>
      </c>
      <c r="C262" s="3"/>
      <c r="D262" s="3"/>
      <c r="E262" s="3"/>
      <c r="F262" s="26" t="s">
        <v>207</v>
      </c>
      <c r="G262" s="3">
        <v>633</v>
      </c>
      <c r="H262" s="3" t="s">
        <v>136</v>
      </c>
      <c r="I262" s="19">
        <v>1000</v>
      </c>
      <c r="J262" s="19"/>
      <c r="K262" s="87">
        <f t="shared" si="31"/>
        <v>1000</v>
      </c>
      <c r="L262" s="356"/>
      <c r="M262" s="345"/>
      <c r="N262" s="208"/>
      <c r="O262" s="87">
        <f t="shared" si="32"/>
        <v>0</v>
      </c>
      <c r="P262" s="356"/>
      <c r="Q262" s="373">
        <f t="shared" si="28"/>
        <v>1000</v>
      </c>
      <c r="R262" s="19">
        <f t="shared" si="29"/>
        <v>0</v>
      </c>
      <c r="S262" s="297">
        <f t="shared" si="30"/>
        <v>1000</v>
      </c>
    </row>
    <row r="263" spans="2:19" x14ac:dyDescent="0.2">
      <c r="B263" s="83">
        <f t="shared" si="33"/>
        <v>43</v>
      </c>
      <c r="C263" s="3"/>
      <c r="D263" s="3"/>
      <c r="E263" s="3"/>
      <c r="F263" s="26" t="s">
        <v>207</v>
      </c>
      <c r="G263" s="3">
        <v>635</v>
      </c>
      <c r="H263" s="3" t="s">
        <v>144</v>
      </c>
      <c r="I263" s="19">
        <v>200</v>
      </c>
      <c r="J263" s="19"/>
      <c r="K263" s="87">
        <f t="shared" si="31"/>
        <v>200</v>
      </c>
      <c r="L263" s="356"/>
      <c r="M263" s="345"/>
      <c r="N263" s="208"/>
      <c r="O263" s="87">
        <f t="shared" si="32"/>
        <v>0</v>
      </c>
      <c r="P263" s="356"/>
      <c r="Q263" s="373">
        <f t="shared" si="28"/>
        <v>200</v>
      </c>
      <c r="R263" s="19">
        <f t="shared" si="29"/>
        <v>0</v>
      </c>
      <c r="S263" s="297">
        <f t="shared" si="30"/>
        <v>200</v>
      </c>
    </row>
    <row r="264" spans="2:19" x14ac:dyDescent="0.2">
      <c r="B264" s="83">
        <f t="shared" si="33"/>
        <v>44</v>
      </c>
      <c r="C264" s="3"/>
      <c r="D264" s="3"/>
      <c r="E264" s="3"/>
      <c r="F264" s="26" t="s">
        <v>207</v>
      </c>
      <c r="G264" s="3">
        <v>636</v>
      </c>
      <c r="H264" s="3" t="s">
        <v>137</v>
      </c>
      <c r="I264" s="19">
        <f>1650+9850</f>
        <v>11500</v>
      </c>
      <c r="J264" s="19"/>
      <c r="K264" s="87">
        <f t="shared" si="31"/>
        <v>11500</v>
      </c>
      <c r="L264" s="356"/>
      <c r="M264" s="345"/>
      <c r="N264" s="208"/>
      <c r="O264" s="87">
        <f t="shared" si="32"/>
        <v>0</v>
      </c>
      <c r="P264" s="356"/>
      <c r="Q264" s="373">
        <f t="shared" si="28"/>
        <v>11500</v>
      </c>
      <c r="R264" s="19">
        <f t="shared" si="29"/>
        <v>0</v>
      </c>
      <c r="S264" s="297">
        <f t="shared" si="30"/>
        <v>11500</v>
      </c>
    </row>
    <row r="265" spans="2:19" x14ac:dyDescent="0.2">
      <c r="B265" s="83">
        <f t="shared" si="33"/>
        <v>45</v>
      </c>
      <c r="C265" s="3"/>
      <c r="D265" s="3"/>
      <c r="E265" s="3"/>
      <c r="F265" s="26" t="s">
        <v>207</v>
      </c>
      <c r="G265" s="3">
        <v>637</v>
      </c>
      <c r="H265" s="3" t="s">
        <v>133</v>
      </c>
      <c r="I265" s="19">
        <f>12920+500</f>
        <v>13420</v>
      </c>
      <c r="J265" s="19"/>
      <c r="K265" s="87">
        <f t="shared" si="31"/>
        <v>13420</v>
      </c>
      <c r="L265" s="356"/>
      <c r="M265" s="345"/>
      <c r="N265" s="208"/>
      <c r="O265" s="87">
        <f t="shared" si="32"/>
        <v>0</v>
      </c>
      <c r="P265" s="356"/>
      <c r="Q265" s="373">
        <f t="shared" si="28"/>
        <v>13420</v>
      </c>
      <c r="R265" s="19">
        <f t="shared" si="29"/>
        <v>0</v>
      </c>
      <c r="S265" s="297">
        <f t="shared" si="30"/>
        <v>13420</v>
      </c>
    </row>
    <row r="266" spans="2:19" x14ac:dyDescent="0.2">
      <c r="B266" s="83">
        <f t="shared" si="33"/>
        <v>46</v>
      </c>
      <c r="C266" s="7"/>
      <c r="D266" s="7"/>
      <c r="E266" s="7"/>
      <c r="F266" s="25" t="s">
        <v>207</v>
      </c>
      <c r="G266" s="7">
        <v>640</v>
      </c>
      <c r="H266" s="7" t="s">
        <v>140</v>
      </c>
      <c r="I266" s="23">
        <v>2050</v>
      </c>
      <c r="J266" s="23"/>
      <c r="K266" s="86">
        <f t="shared" si="31"/>
        <v>2050</v>
      </c>
      <c r="L266" s="355"/>
      <c r="M266" s="344"/>
      <c r="N266" s="246"/>
      <c r="O266" s="86">
        <f t="shared" si="32"/>
        <v>0</v>
      </c>
      <c r="P266" s="355"/>
      <c r="Q266" s="372">
        <f t="shared" si="28"/>
        <v>2050</v>
      </c>
      <c r="R266" s="23">
        <f t="shared" si="29"/>
        <v>0</v>
      </c>
      <c r="S266" s="379">
        <f t="shared" si="30"/>
        <v>2050</v>
      </c>
    </row>
    <row r="267" spans="2:19" ht="15" x14ac:dyDescent="0.2">
      <c r="B267" s="83">
        <f t="shared" si="33"/>
        <v>47</v>
      </c>
      <c r="C267" s="239">
        <v>6</v>
      </c>
      <c r="D267" s="444" t="s">
        <v>156</v>
      </c>
      <c r="E267" s="445"/>
      <c r="F267" s="445"/>
      <c r="G267" s="445"/>
      <c r="H267" s="446"/>
      <c r="I267" s="36">
        <f>I268+I275</f>
        <v>190734</v>
      </c>
      <c r="J267" s="36">
        <f>J268+J275</f>
        <v>0</v>
      </c>
      <c r="K267" s="84">
        <f t="shared" si="31"/>
        <v>190734</v>
      </c>
      <c r="L267" s="353"/>
      <c r="M267" s="342">
        <f>M275</f>
        <v>18000</v>
      </c>
      <c r="N267" s="244"/>
      <c r="O267" s="84">
        <f t="shared" si="32"/>
        <v>18000</v>
      </c>
      <c r="P267" s="353"/>
      <c r="Q267" s="371">
        <f t="shared" si="28"/>
        <v>208734</v>
      </c>
      <c r="R267" s="36">
        <f t="shared" si="29"/>
        <v>0</v>
      </c>
      <c r="S267" s="378">
        <f t="shared" si="30"/>
        <v>208734</v>
      </c>
    </row>
    <row r="268" spans="2:19" x14ac:dyDescent="0.2">
      <c r="B268" s="83">
        <f t="shared" si="33"/>
        <v>48</v>
      </c>
      <c r="C268" s="7"/>
      <c r="D268" s="7"/>
      <c r="E268" s="7"/>
      <c r="F268" s="25" t="s">
        <v>155</v>
      </c>
      <c r="G268" s="7">
        <v>630</v>
      </c>
      <c r="H268" s="7" t="s">
        <v>132</v>
      </c>
      <c r="I268" s="23">
        <f>SUM(I269:I274)</f>
        <v>190734</v>
      </c>
      <c r="J268" s="23">
        <f>SUM(J269:J274)</f>
        <v>0</v>
      </c>
      <c r="K268" s="86">
        <f t="shared" si="31"/>
        <v>190734</v>
      </c>
      <c r="L268" s="355"/>
      <c r="M268" s="344"/>
      <c r="N268" s="246"/>
      <c r="O268" s="86">
        <f t="shared" si="32"/>
        <v>0</v>
      </c>
      <c r="P268" s="355"/>
      <c r="Q268" s="372">
        <f t="shared" si="28"/>
        <v>190734</v>
      </c>
      <c r="R268" s="23">
        <f t="shared" si="29"/>
        <v>0</v>
      </c>
      <c r="S268" s="379">
        <f t="shared" si="30"/>
        <v>190734</v>
      </c>
    </row>
    <row r="269" spans="2:19" x14ac:dyDescent="0.2">
      <c r="B269" s="83">
        <f t="shared" si="33"/>
        <v>49</v>
      </c>
      <c r="C269" s="3"/>
      <c r="D269" s="3"/>
      <c r="E269" s="3"/>
      <c r="F269" s="26" t="s">
        <v>155</v>
      </c>
      <c r="G269" s="3">
        <v>632</v>
      </c>
      <c r="H269" s="3" t="s">
        <v>145</v>
      </c>
      <c r="I269" s="19">
        <v>25000</v>
      </c>
      <c r="J269" s="19"/>
      <c r="K269" s="87">
        <f t="shared" si="31"/>
        <v>25000</v>
      </c>
      <c r="L269" s="356"/>
      <c r="M269" s="345"/>
      <c r="N269" s="208"/>
      <c r="O269" s="87">
        <f t="shared" si="32"/>
        <v>0</v>
      </c>
      <c r="P269" s="356"/>
      <c r="Q269" s="373">
        <f t="shared" si="28"/>
        <v>25000</v>
      </c>
      <c r="R269" s="19">
        <f t="shared" si="29"/>
        <v>0</v>
      </c>
      <c r="S269" s="297">
        <f t="shared" si="30"/>
        <v>25000</v>
      </c>
    </row>
    <row r="270" spans="2:19" x14ac:dyDescent="0.2">
      <c r="B270" s="83">
        <f t="shared" si="33"/>
        <v>50</v>
      </c>
      <c r="C270" s="3"/>
      <c r="D270" s="3"/>
      <c r="E270" s="3"/>
      <c r="F270" s="26" t="s">
        <v>155</v>
      </c>
      <c r="G270" s="3">
        <v>633</v>
      </c>
      <c r="H270" s="3" t="s">
        <v>136</v>
      </c>
      <c r="I270" s="19">
        <v>1700</v>
      </c>
      <c r="J270" s="19"/>
      <c r="K270" s="87">
        <f t="shared" si="31"/>
        <v>1700</v>
      </c>
      <c r="L270" s="356"/>
      <c r="M270" s="345"/>
      <c r="N270" s="208"/>
      <c r="O270" s="87">
        <f t="shared" si="32"/>
        <v>0</v>
      </c>
      <c r="P270" s="356"/>
      <c r="Q270" s="373">
        <f t="shared" si="28"/>
        <v>1700</v>
      </c>
      <c r="R270" s="19">
        <f t="shared" si="29"/>
        <v>0</v>
      </c>
      <c r="S270" s="297">
        <f t="shared" si="30"/>
        <v>1700</v>
      </c>
    </row>
    <row r="271" spans="2:19" x14ac:dyDescent="0.2">
      <c r="B271" s="83">
        <f t="shared" si="33"/>
        <v>51</v>
      </c>
      <c r="C271" s="3"/>
      <c r="D271" s="3"/>
      <c r="E271" s="3"/>
      <c r="F271" s="26" t="s">
        <v>155</v>
      </c>
      <c r="G271" s="3">
        <v>635</v>
      </c>
      <c r="H271" s="3" t="s">
        <v>144</v>
      </c>
      <c r="I271" s="19">
        <v>12600</v>
      </c>
      <c r="J271" s="19">
        <v>3900</v>
      </c>
      <c r="K271" s="87">
        <f t="shared" si="31"/>
        <v>16500</v>
      </c>
      <c r="L271" s="356"/>
      <c r="M271" s="345"/>
      <c r="N271" s="208"/>
      <c r="O271" s="87">
        <f t="shared" si="32"/>
        <v>0</v>
      </c>
      <c r="P271" s="356"/>
      <c r="Q271" s="373">
        <f t="shared" si="28"/>
        <v>12600</v>
      </c>
      <c r="R271" s="19">
        <f t="shared" si="29"/>
        <v>3900</v>
      </c>
      <c r="S271" s="297">
        <f t="shared" si="30"/>
        <v>16500</v>
      </c>
    </row>
    <row r="272" spans="2:19" x14ac:dyDescent="0.2">
      <c r="B272" s="83">
        <f t="shared" si="33"/>
        <v>52</v>
      </c>
      <c r="C272" s="3"/>
      <c r="D272" s="3"/>
      <c r="E272" s="3"/>
      <c r="F272" s="26" t="s">
        <v>155</v>
      </c>
      <c r="G272" s="3">
        <v>635</v>
      </c>
      <c r="H272" s="3" t="s">
        <v>453</v>
      </c>
      <c r="I272" s="19">
        <f>15000+17000-500-6502</f>
        <v>24998</v>
      </c>
      <c r="J272" s="19"/>
      <c r="K272" s="87">
        <f t="shared" si="31"/>
        <v>24998</v>
      </c>
      <c r="L272" s="356"/>
      <c r="M272" s="345"/>
      <c r="N272" s="208"/>
      <c r="O272" s="87">
        <f t="shared" si="32"/>
        <v>0</v>
      </c>
      <c r="P272" s="356"/>
      <c r="Q272" s="373">
        <f t="shared" si="28"/>
        <v>24998</v>
      </c>
      <c r="R272" s="19">
        <f t="shared" si="29"/>
        <v>0</v>
      </c>
      <c r="S272" s="297">
        <f t="shared" si="30"/>
        <v>24998</v>
      </c>
    </row>
    <row r="273" spans="2:19" x14ac:dyDescent="0.2">
      <c r="B273" s="83">
        <f t="shared" si="33"/>
        <v>53</v>
      </c>
      <c r="C273" s="3"/>
      <c r="D273" s="3"/>
      <c r="E273" s="3"/>
      <c r="F273" s="26" t="s">
        <v>155</v>
      </c>
      <c r="G273" s="3">
        <v>637</v>
      </c>
      <c r="H273" s="3" t="s">
        <v>133</v>
      </c>
      <c r="I273" s="19">
        <v>117910</v>
      </c>
      <c r="J273" s="19">
        <v>-3900</v>
      </c>
      <c r="K273" s="87">
        <f t="shared" si="31"/>
        <v>114010</v>
      </c>
      <c r="L273" s="356"/>
      <c r="M273" s="345"/>
      <c r="N273" s="208"/>
      <c r="O273" s="87">
        <f t="shared" si="32"/>
        <v>0</v>
      </c>
      <c r="P273" s="356"/>
      <c r="Q273" s="373">
        <f t="shared" si="28"/>
        <v>117910</v>
      </c>
      <c r="R273" s="19">
        <f t="shared" si="29"/>
        <v>-3900</v>
      </c>
      <c r="S273" s="297">
        <f t="shared" si="30"/>
        <v>114010</v>
      </c>
    </row>
    <row r="274" spans="2:19" x14ac:dyDescent="0.2">
      <c r="B274" s="83">
        <f t="shared" si="33"/>
        <v>54</v>
      </c>
      <c r="C274" s="3"/>
      <c r="D274" s="3"/>
      <c r="E274" s="3"/>
      <c r="F274" s="26" t="s">
        <v>155</v>
      </c>
      <c r="G274" s="3">
        <v>637</v>
      </c>
      <c r="H274" s="3" t="s">
        <v>289</v>
      </c>
      <c r="I274" s="19">
        <v>8526</v>
      </c>
      <c r="J274" s="19"/>
      <c r="K274" s="87">
        <f t="shared" si="31"/>
        <v>8526</v>
      </c>
      <c r="L274" s="356"/>
      <c r="M274" s="345"/>
      <c r="N274" s="208"/>
      <c r="O274" s="87">
        <f t="shared" si="32"/>
        <v>0</v>
      </c>
      <c r="P274" s="356"/>
      <c r="Q274" s="373">
        <f t="shared" si="28"/>
        <v>8526</v>
      </c>
      <c r="R274" s="19">
        <f t="shared" si="29"/>
        <v>0</v>
      </c>
      <c r="S274" s="297">
        <f t="shared" si="30"/>
        <v>8526</v>
      </c>
    </row>
    <row r="275" spans="2:19" x14ac:dyDescent="0.2">
      <c r="B275" s="83">
        <f t="shared" si="33"/>
        <v>55</v>
      </c>
      <c r="C275" s="7"/>
      <c r="D275" s="7"/>
      <c r="E275" s="7"/>
      <c r="F275" s="25" t="s">
        <v>155</v>
      </c>
      <c r="G275" s="7">
        <v>710</v>
      </c>
      <c r="H275" s="7" t="s">
        <v>187</v>
      </c>
      <c r="I275" s="23"/>
      <c r="J275" s="23"/>
      <c r="K275" s="86">
        <f t="shared" si="31"/>
        <v>0</v>
      </c>
      <c r="L275" s="355"/>
      <c r="M275" s="344">
        <f>M279+M276</f>
        <v>18000</v>
      </c>
      <c r="N275" s="246"/>
      <c r="O275" s="86">
        <f t="shared" si="32"/>
        <v>18000</v>
      </c>
      <c r="P275" s="355"/>
      <c r="Q275" s="372">
        <f t="shared" si="28"/>
        <v>18000</v>
      </c>
      <c r="R275" s="23">
        <f t="shared" si="29"/>
        <v>0</v>
      </c>
      <c r="S275" s="379">
        <f t="shared" si="30"/>
        <v>18000</v>
      </c>
    </row>
    <row r="276" spans="2:19" x14ac:dyDescent="0.2">
      <c r="B276" s="83">
        <f t="shared" si="33"/>
        <v>56</v>
      </c>
      <c r="C276" s="3"/>
      <c r="D276" s="3"/>
      <c r="E276" s="3"/>
      <c r="F276" s="26" t="s">
        <v>155</v>
      </c>
      <c r="G276" s="3">
        <v>716</v>
      </c>
      <c r="H276" s="3" t="s">
        <v>231</v>
      </c>
      <c r="I276" s="19"/>
      <c r="J276" s="19"/>
      <c r="K276" s="87">
        <f t="shared" si="31"/>
        <v>0</v>
      </c>
      <c r="L276" s="356"/>
      <c r="M276" s="345">
        <f>M277+M278</f>
        <v>9600</v>
      </c>
      <c r="N276" s="208"/>
      <c r="O276" s="87">
        <f t="shared" si="32"/>
        <v>9600</v>
      </c>
      <c r="P276" s="356"/>
      <c r="Q276" s="373">
        <f t="shared" si="28"/>
        <v>9600</v>
      </c>
      <c r="R276" s="19">
        <f t="shared" si="29"/>
        <v>0</v>
      </c>
      <c r="S276" s="297">
        <f t="shared" si="30"/>
        <v>9600</v>
      </c>
    </row>
    <row r="277" spans="2:19" x14ac:dyDescent="0.2">
      <c r="B277" s="83">
        <f t="shared" si="33"/>
        <v>57</v>
      </c>
      <c r="C277" s="4"/>
      <c r="D277" s="4"/>
      <c r="E277" s="4"/>
      <c r="F277" s="27"/>
      <c r="G277" s="4"/>
      <c r="H277" s="4" t="s">
        <v>368</v>
      </c>
      <c r="I277" s="21"/>
      <c r="J277" s="21"/>
      <c r="K277" s="88">
        <f t="shared" si="31"/>
        <v>0</v>
      </c>
      <c r="L277" s="357"/>
      <c r="M277" s="346">
        <v>9000</v>
      </c>
      <c r="N277" s="247"/>
      <c r="O277" s="88">
        <f t="shared" si="32"/>
        <v>9000</v>
      </c>
      <c r="P277" s="357"/>
      <c r="Q277" s="375">
        <f t="shared" si="28"/>
        <v>9000</v>
      </c>
      <c r="R277" s="21">
        <f t="shared" si="29"/>
        <v>0</v>
      </c>
      <c r="S277" s="313">
        <f t="shared" si="30"/>
        <v>9000</v>
      </c>
    </row>
    <row r="278" spans="2:19" x14ac:dyDescent="0.2">
      <c r="B278" s="83">
        <f t="shared" si="33"/>
        <v>58</v>
      </c>
      <c r="C278" s="4"/>
      <c r="D278" s="4"/>
      <c r="E278" s="4"/>
      <c r="F278" s="27"/>
      <c r="G278" s="4"/>
      <c r="H278" s="4" t="s">
        <v>579</v>
      </c>
      <c r="I278" s="21"/>
      <c r="J278" s="21"/>
      <c r="K278" s="88">
        <f t="shared" si="31"/>
        <v>0</v>
      </c>
      <c r="L278" s="357"/>
      <c r="M278" s="346">
        <v>600</v>
      </c>
      <c r="N278" s="247"/>
      <c r="O278" s="88">
        <f t="shared" si="32"/>
        <v>600</v>
      </c>
      <c r="P278" s="357"/>
      <c r="Q278" s="375">
        <f t="shared" si="28"/>
        <v>600</v>
      </c>
      <c r="R278" s="21">
        <f t="shared" si="29"/>
        <v>0</v>
      </c>
      <c r="S278" s="313">
        <f t="shared" si="30"/>
        <v>600</v>
      </c>
    </row>
    <row r="279" spans="2:19" x14ac:dyDescent="0.2">
      <c r="B279" s="83">
        <f t="shared" si="33"/>
        <v>59</v>
      </c>
      <c r="C279" s="3"/>
      <c r="D279" s="3"/>
      <c r="E279" s="3"/>
      <c r="F279" s="26" t="s">
        <v>155</v>
      </c>
      <c r="G279" s="3">
        <v>717</v>
      </c>
      <c r="H279" s="3" t="s">
        <v>197</v>
      </c>
      <c r="I279" s="19"/>
      <c r="J279" s="19"/>
      <c r="K279" s="87">
        <f t="shared" si="31"/>
        <v>0</v>
      </c>
      <c r="L279" s="356"/>
      <c r="M279" s="345">
        <f>SUM(M280:M281)</f>
        <v>8400</v>
      </c>
      <c r="N279" s="208"/>
      <c r="O279" s="87">
        <f t="shared" si="32"/>
        <v>8400</v>
      </c>
      <c r="P279" s="356"/>
      <c r="Q279" s="373">
        <f t="shared" si="28"/>
        <v>8400</v>
      </c>
      <c r="R279" s="19">
        <f t="shared" si="29"/>
        <v>0</v>
      </c>
      <c r="S279" s="297">
        <f t="shared" si="30"/>
        <v>8400</v>
      </c>
    </row>
    <row r="280" spans="2:19" x14ac:dyDescent="0.2">
      <c r="B280" s="83">
        <f t="shared" si="33"/>
        <v>60</v>
      </c>
      <c r="C280" s="4"/>
      <c r="D280" s="4"/>
      <c r="E280" s="4"/>
      <c r="F280" s="27"/>
      <c r="G280" s="4"/>
      <c r="H280" s="13" t="s">
        <v>452</v>
      </c>
      <c r="I280" s="21"/>
      <c r="J280" s="21"/>
      <c r="K280" s="88">
        <f t="shared" si="31"/>
        <v>0</v>
      </c>
      <c r="L280" s="357"/>
      <c r="M280" s="346">
        <v>6000</v>
      </c>
      <c r="N280" s="247"/>
      <c r="O280" s="88">
        <f t="shared" si="32"/>
        <v>6000</v>
      </c>
      <c r="P280" s="357"/>
      <c r="Q280" s="375">
        <f t="shared" si="28"/>
        <v>6000</v>
      </c>
      <c r="R280" s="21">
        <f t="shared" si="29"/>
        <v>0</v>
      </c>
      <c r="S280" s="313">
        <f t="shared" si="30"/>
        <v>6000</v>
      </c>
    </row>
    <row r="281" spans="2:19" x14ac:dyDescent="0.2">
      <c r="B281" s="83">
        <f t="shared" si="33"/>
        <v>61</v>
      </c>
      <c r="C281" s="4"/>
      <c r="D281" s="4"/>
      <c r="E281" s="4"/>
      <c r="F281" s="27"/>
      <c r="G281" s="4"/>
      <c r="H281" s="13" t="s">
        <v>490</v>
      </c>
      <c r="I281" s="21"/>
      <c r="J281" s="21"/>
      <c r="K281" s="88">
        <f t="shared" si="31"/>
        <v>0</v>
      </c>
      <c r="L281" s="357"/>
      <c r="M281" s="346">
        <f>3000-600</f>
        <v>2400</v>
      </c>
      <c r="N281" s="247"/>
      <c r="O281" s="88">
        <f t="shared" si="32"/>
        <v>2400</v>
      </c>
      <c r="P281" s="357"/>
      <c r="Q281" s="375">
        <f t="shared" si="28"/>
        <v>2400</v>
      </c>
      <c r="R281" s="21">
        <f t="shared" si="29"/>
        <v>0</v>
      </c>
      <c r="S281" s="313">
        <f t="shared" si="30"/>
        <v>2400</v>
      </c>
    </row>
    <row r="282" spans="2:19" ht="15" x14ac:dyDescent="0.2">
      <c r="B282" s="83">
        <f t="shared" si="33"/>
        <v>62</v>
      </c>
      <c r="C282" s="239">
        <v>7</v>
      </c>
      <c r="D282" s="444" t="s">
        <v>48</v>
      </c>
      <c r="E282" s="445"/>
      <c r="F282" s="445"/>
      <c r="G282" s="445"/>
      <c r="H282" s="446"/>
      <c r="I282" s="36">
        <f>I283</f>
        <v>2300</v>
      </c>
      <c r="J282" s="36"/>
      <c r="K282" s="84">
        <f t="shared" si="31"/>
        <v>2300</v>
      </c>
      <c r="L282" s="353"/>
      <c r="M282" s="342">
        <v>0</v>
      </c>
      <c r="N282" s="244"/>
      <c r="O282" s="84">
        <f t="shared" si="32"/>
        <v>0</v>
      </c>
      <c r="P282" s="353"/>
      <c r="Q282" s="371">
        <f t="shared" si="28"/>
        <v>2300</v>
      </c>
      <c r="R282" s="36">
        <f t="shared" si="29"/>
        <v>0</v>
      </c>
      <c r="S282" s="378">
        <f t="shared" si="30"/>
        <v>2300</v>
      </c>
    </row>
    <row r="283" spans="2:19" ht="15" x14ac:dyDescent="0.25">
      <c r="B283" s="83">
        <f t="shared" si="33"/>
        <v>63</v>
      </c>
      <c r="C283" s="10"/>
      <c r="D283" s="10"/>
      <c r="E283" s="10">
        <v>2</v>
      </c>
      <c r="F283" s="28"/>
      <c r="G283" s="10"/>
      <c r="H283" s="10" t="s">
        <v>408</v>
      </c>
      <c r="I283" s="38">
        <f>I284</f>
        <v>2300</v>
      </c>
      <c r="J283" s="38"/>
      <c r="K283" s="94">
        <f t="shared" si="31"/>
        <v>2300</v>
      </c>
      <c r="L283" s="365"/>
      <c r="M283" s="362"/>
      <c r="N283" s="253"/>
      <c r="O283" s="94">
        <f t="shared" si="32"/>
        <v>0</v>
      </c>
      <c r="P283" s="365"/>
      <c r="Q283" s="374">
        <f t="shared" ref="Q283:Q285" si="34">I283+M283</f>
        <v>2300</v>
      </c>
      <c r="R283" s="38">
        <f t="shared" ref="R283:R288" si="35">J283+N283</f>
        <v>0</v>
      </c>
      <c r="S283" s="380">
        <f t="shared" ref="S283:S288" si="36">K283+O283</f>
        <v>2300</v>
      </c>
    </row>
    <row r="284" spans="2:19" x14ac:dyDescent="0.2">
      <c r="B284" s="83">
        <f t="shared" si="33"/>
        <v>64</v>
      </c>
      <c r="C284" s="7"/>
      <c r="D284" s="7"/>
      <c r="E284" s="7"/>
      <c r="F284" s="25" t="s">
        <v>233</v>
      </c>
      <c r="G284" s="7">
        <v>630</v>
      </c>
      <c r="H284" s="7" t="s">
        <v>132</v>
      </c>
      <c r="I284" s="23">
        <f>SUM(I285:I288)</f>
        <v>2300</v>
      </c>
      <c r="J284" s="23"/>
      <c r="K284" s="86">
        <f t="shared" ref="K284:K288" si="37">J284+I284</f>
        <v>2300</v>
      </c>
      <c r="L284" s="355"/>
      <c r="M284" s="344"/>
      <c r="N284" s="246"/>
      <c r="O284" s="86">
        <f t="shared" ref="O284:O288" si="38">N284+M284</f>
        <v>0</v>
      </c>
      <c r="P284" s="355"/>
      <c r="Q284" s="372">
        <f t="shared" si="34"/>
        <v>2300</v>
      </c>
      <c r="R284" s="23">
        <f t="shared" si="35"/>
        <v>0</v>
      </c>
      <c r="S284" s="379">
        <f t="shared" si="36"/>
        <v>2300</v>
      </c>
    </row>
    <row r="285" spans="2:19" x14ac:dyDescent="0.2">
      <c r="B285" s="83">
        <f t="shared" si="33"/>
        <v>65</v>
      </c>
      <c r="C285" s="3"/>
      <c r="D285" s="3"/>
      <c r="E285" s="3"/>
      <c r="F285" s="26" t="s">
        <v>233</v>
      </c>
      <c r="G285" s="3">
        <v>633</v>
      </c>
      <c r="H285" s="3" t="s">
        <v>136</v>
      </c>
      <c r="I285" s="19">
        <v>700</v>
      </c>
      <c r="J285" s="19"/>
      <c r="K285" s="87">
        <f t="shared" si="37"/>
        <v>700</v>
      </c>
      <c r="L285" s="356"/>
      <c r="M285" s="345"/>
      <c r="N285" s="208"/>
      <c r="O285" s="87">
        <f t="shared" si="38"/>
        <v>0</v>
      </c>
      <c r="P285" s="356"/>
      <c r="Q285" s="373">
        <f t="shared" si="34"/>
        <v>700</v>
      </c>
      <c r="R285" s="19">
        <f t="shared" si="35"/>
        <v>0</v>
      </c>
      <c r="S285" s="297">
        <f t="shared" si="36"/>
        <v>700</v>
      </c>
    </row>
    <row r="286" spans="2:19" x14ac:dyDescent="0.2">
      <c r="B286" s="83">
        <f t="shared" ref="B286:B288" si="39">B285+1</f>
        <v>66</v>
      </c>
      <c r="C286" s="3"/>
      <c r="D286" s="3"/>
      <c r="E286" s="3"/>
      <c r="F286" s="26" t="s">
        <v>233</v>
      </c>
      <c r="G286" s="3">
        <v>634</v>
      </c>
      <c r="H286" s="3" t="s">
        <v>143</v>
      </c>
      <c r="I286" s="19">
        <v>400</v>
      </c>
      <c r="J286" s="19"/>
      <c r="K286" s="87">
        <f t="shared" si="37"/>
        <v>400</v>
      </c>
      <c r="L286" s="356"/>
      <c r="M286" s="345"/>
      <c r="N286" s="208"/>
      <c r="O286" s="87">
        <f t="shared" si="38"/>
        <v>0</v>
      </c>
      <c r="P286" s="356"/>
      <c r="Q286" s="373">
        <f>I286+M286</f>
        <v>400</v>
      </c>
      <c r="R286" s="19">
        <f t="shared" si="35"/>
        <v>0</v>
      </c>
      <c r="S286" s="297">
        <f t="shared" si="36"/>
        <v>400</v>
      </c>
    </row>
    <row r="287" spans="2:19" x14ac:dyDescent="0.2">
      <c r="B287" s="83">
        <f t="shared" si="39"/>
        <v>67</v>
      </c>
      <c r="C287" s="3"/>
      <c r="D287" s="3"/>
      <c r="E287" s="3"/>
      <c r="F287" s="26" t="s">
        <v>233</v>
      </c>
      <c r="G287" s="3">
        <v>635</v>
      </c>
      <c r="H287" s="3" t="s">
        <v>144</v>
      </c>
      <c r="I287" s="19">
        <v>1000</v>
      </c>
      <c r="J287" s="19"/>
      <c r="K287" s="87">
        <f t="shared" si="37"/>
        <v>1000</v>
      </c>
      <c r="L287" s="356"/>
      <c r="M287" s="345"/>
      <c r="N287" s="208"/>
      <c r="O287" s="87">
        <f t="shared" si="38"/>
        <v>0</v>
      </c>
      <c r="P287" s="356"/>
      <c r="Q287" s="373">
        <f>I287+M287</f>
        <v>1000</v>
      </c>
      <c r="R287" s="19">
        <f t="shared" si="35"/>
        <v>0</v>
      </c>
      <c r="S287" s="297">
        <f t="shared" si="36"/>
        <v>1000</v>
      </c>
    </row>
    <row r="288" spans="2:19" ht="13.5" thickBot="1" x14ac:dyDescent="0.25">
      <c r="B288" s="89">
        <f t="shared" si="39"/>
        <v>68</v>
      </c>
      <c r="C288" s="14"/>
      <c r="D288" s="14"/>
      <c r="E288" s="14"/>
      <c r="F288" s="90" t="s">
        <v>233</v>
      </c>
      <c r="G288" s="14">
        <v>637</v>
      </c>
      <c r="H288" s="14" t="s">
        <v>133</v>
      </c>
      <c r="I288" s="24">
        <v>200</v>
      </c>
      <c r="J288" s="24"/>
      <c r="K288" s="91">
        <f t="shared" si="37"/>
        <v>200</v>
      </c>
      <c r="L288" s="382"/>
      <c r="M288" s="383"/>
      <c r="N288" s="256"/>
      <c r="O288" s="91">
        <f t="shared" si="38"/>
        <v>0</v>
      </c>
      <c r="P288" s="382"/>
      <c r="Q288" s="376">
        <f>I288+M288</f>
        <v>200</v>
      </c>
      <c r="R288" s="24">
        <f t="shared" si="35"/>
        <v>0</v>
      </c>
      <c r="S288" s="381">
        <f t="shared" si="36"/>
        <v>200</v>
      </c>
    </row>
    <row r="321" spans="2:19" ht="27.75" thickBot="1" x14ac:dyDescent="0.4">
      <c r="B321" s="455" t="s">
        <v>26</v>
      </c>
      <c r="C321" s="456"/>
      <c r="D321" s="456"/>
      <c r="E321" s="456"/>
      <c r="F321" s="456"/>
      <c r="G321" s="456"/>
      <c r="H321" s="456"/>
      <c r="I321" s="456"/>
      <c r="J321" s="456"/>
      <c r="K321" s="456"/>
      <c r="L321" s="456"/>
      <c r="M321" s="456"/>
      <c r="N321" s="456"/>
      <c r="O321" s="456"/>
      <c r="P321" s="456"/>
      <c r="Q321" s="456"/>
    </row>
    <row r="322" spans="2:19" ht="13.5" customHeight="1" thickBot="1" x14ac:dyDescent="0.25">
      <c r="B322" s="452" t="s">
        <v>359</v>
      </c>
      <c r="C322" s="453"/>
      <c r="D322" s="453"/>
      <c r="E322" s="453"/>
      <c r="F322" s="453"/>
      <c r="G322" s="453"/>
      <c r="H322" s="453"/>
      <c r="I322" s="453"/>
      <c r="J322" s="453"/>
      <c r="K322" s="453"/>
      <c r="L322" s="453"/>
      <c r="M322" s="453"/>
      <c r="N322" s="453"/>
      <c r="O322" s="454"/>
      <c r="P322" s="339"/>
      <c r="Q322" s="457" t="s">
        <v>667</v>
      </c>
      <c r="R322" s="488" t="s">
        <v>668</v>
      </c>
      <c r="S322" s="491" t="s">
        <v>669</v>
      </c>
    </row>
    <row r="323" spans="2:19" ht="13.5" customHeight="1" thickBot="1" x14ac:dyDescent="0.25">
      <c r="B323" s="466"/>
      <c r="C323" s="460" t="s">
        <v>125</v>
      </c>
      <c r="D323" s="460" t="s">
        <v>126</v>
      </c>
      <c r="E323" s="460"/>
      <c r="F323" s="460" t="s">
        <v>127</v>
      </c>
      <c r="G323" s="470" t="s">
        <v>128</v>
      </c>
      <c r="H323" s="473" t="s">
        <v>129</v>
      </c>
      <c r="I323" s="487" t="s">
        <v>670</v>
      </c>
      <c r="J323" s="494" t="s">
        <v>668</v>
      </c>
      <c r="K323" s="491" t="s">
        <v>671</v>
      </c>
      <c r="L323" s="53"/>
      <c r="M323" s="474" t="s">
        <v>672</v>
      </c>
      <c r="N323" s="488" t="s">
        <v>668</v>
      </c>
      <c r="O323" s="491" t="s">
        <v>671</v>
      </c>
      <c r="P323" s="53"/>
      <c r="Q323" s="458"/>
      <c r="R323" s="489"/>
      <c r="S323" s="492"/>
    </row>
    <row r="324" spans="2:19" ht="13.5" thickBot="1" x14ac:dyDescent="0.25">
      <c r="B324" s="466"/>
      <c r="C324" s="461"/>
      <c r="D324" s="461"/>
      <c r="E324" s="461"/>
      <c r="F324" s="461"/>
      <c r="G324" s="471"/>
      <c r="H324" s="473"/>
      <c r="I324" s="463"/>
      <c r="J324" s="495"/>
      <c r="K324" s="492"/>
      <c r="L324" s="53"/>
      <c r="M324" s="475"/>
      <c r="N324" s="489"/>
      <c r="O324" s="492"/>
      <c r="P324" s="53"/>
      <c r="Q324" s="458"/>
      <c r="R324" s="489"/>
      <c r="S324" s="492"/>
    </row>
    <row r="325" spans="2:19" ht="13.5" thickBot="1" x14ac:dyDescent="0.25">
      <c r="B325" s="466"/>
      <c r="C325" s="461"/>
      <c r="D325" s="461"/>
      <c r="E325" s="461"/>
      <c r="F325" s="461"/>
      <c r="G325" s="471"/>
      <c r="H325" s="473"/>
      <c r="I325" s="463"/>
      <c r="J325" s="495"/>
      <c r="K325" s="492"/>
      <c r="L325" s="53"/>
      <c r="M325" s="475"/>
      <c r="N325" s="489"/>
      <c r="O325" s="492"/>
      <c r="P325" s="53"/>
      <c r="Q325" s="458"/>
      <c r="R325" s="489"/>
      <c r="S325" s="492"/>
    </row>
    <row r="326" spans="2:19" ht="13.5" thickBot="1" x14ac:dyDescent="0.25">
      <c r="B326" s="466"/>
      <c r="C326" s="462"/>
      <c r="D326" s="462"/>
      <c r="E326" s="462"/>
      <c r="F326" s="462"/>
      <c r="G326" s="472"/>
      <c r="H326" s="473"/>
      <c r="I326" s="464"/>
      <c r="J326" s="496"/>
      <c r="K326" s="493"/>
      <c r="L326" s="53"/>
      <c r="M326" s="476"/>
      <c r="N326" s="490"/>
      <c r="O326" s="493"/>
      <c r="P326" s="53"/>
      <c r="Q326" s="459"/>
      <c r="R326" s="490"/>
      <c r="S326" s="493"/>
    </row>
    <row r="327" spans="2:19" ht="16.5" thickTop="1" x14ac:dyDescent="0.2">
      <c r="B327" s="83">
        <v>1</v>
      </c>
      <c r="C327" s="477" t="s">
        <v>26</v>
      </c>
      <c r="D327" s="482"/>
      <c r="E327" s="482"/>
      <c r="F327" s="482"/>
      <c r="G327" s="482"/>
      <c r="H327" s="483"/>
      <c r="I327" s="35">
        <f>I382+I379+I373+I349+I328</f>
        <v>1831905</v>
      </c>
      <c r="J327" s="35">
        <f>J382+J379+J373+J349+J328</f>
        <v>0</v>
      </c>
      <c r="K327" s="93">
        <f>J327+I327</f>
        <v>1831905</v>
      </c>
      <c r="L327" s="360"/>
      <c r="M327" s="348">
        <f>M328+M349+M373+M379+M382</f>
        <v>128293</v>
      </c>
      <c r="N327" s="35">
        <f>N328+N349+N373+N379+N382</f>
        <v>0</v>
      </c>
      <c r="O327" s="93">
        <f>N327+M327</f>
        <v>128293</v>
      </c>
      <c r="P327" s="360"/>
      <c r="Q327" s="348">
        <f t="shared" ref="Q327:Q390" si="40">I327+M327</f>
        <v>1960198</v>
      </c>
      <c r="R327" s="35">
        <f t="shared" ref="R327:R355" si="41">J327+N327</f>
        <v>0</v>
      </c>
      <c r="S327" s="93">
        <f>K327+O327</f>
        <v>1960198</v>
      </c>
    </row>
    <row r="328" spans="2:19" ht="15" x14ac:dyDescent="0.2">
      <c r="B328" s="83">
        <f>B327+1</f>
        <v>2</v>
      </c>
      <c r="C328" s="239">
        <v>1</v>
      </c>
      <c r="D328" s="444" t="s">
        <v>162</v>
      </c>
      <c r="E328" s="445"/>
      <c r="F328" s="445"/>
      <c r="G328" s="445"/>
      <c r="H328" s="446"/>
      <c r="I328" s="36">
        <f>I329+I330+I331+I339+I341+I342</f>
        <v>1223820</v>
      </c>
      <c r="J328" s="36">
        <f>J329+J330+J331+J339+J341+J342</f>
        <v>0</v>
      </c>
      <c r="K328" s="84">
        <f t="shared" ref="K328:K391" si="42">J328+I328</f>
        <v>1223820</v>
      </c>
      <c r="L328" s="353"/>
      <c r="M328" s="342">
        <f>M342</f>
        <v>80883</v>
      </c>
      <c r="N328" s="36">
        <f>N342</f>
        <v>0</v>
      </c>
      <c r="O328" s="84">
        <f t="shared" ref="O328:O391" si="43">N328+M328</f>
        <v>80883</v>
      </c>
      <c r="P328" s="353"/>
      <c r="Q328" s="342">
        <f>I328+M328</f>
        <v>1304703</v>
      </c>
      <c r="R328" s="36">
        <f>J328+N328</f>
        <v>0</v>
      </c>
      <c r="S328" s="84">
        <f t="shared" ref="S328:S355" si="44">K328+O328</f>
        <v>1304703</v>
      </c>
    </row>
    <row r="329" spans="2:19" x14ac:dyDescent="0.2">
      <c r="B329" s="83">
        <f t="shared" ref="B329:B392" si="45">B328+1</f>
        <v>3</v>
      </c>
      <c r="C329" s="7"/>
      <c r="D329" s="7"/>
      <c r="E329" s="7"/>
      <c r="F329" s="25" t="s">
        <v>161</v>
      </c>
      <c r="G329" s="7">
        <v>610</v>
      </c>
      <c r="H329" s="7" t="s">
        <v>142</v>
      </c>
      <c r="I329" s="23">
        <f>750000-5000</f>
        <v>745000</v>
      </c>
      <c r="J329" s="23">
        <v>-2000</v>
      </c>
      <c r="K329" s="86">
        <f t="shared" si="42"/>
        <v>743000</v>
      </c>
      <c r="L329" s="355"/>
      <c r="M329" s="344"/>
      <c r="N329" s="246"/>
      <c r="O329" s="86">
        <f t="shared" si="43"/>
        <v>0</v>
      </c>
      <c r="P329" s="355"/>
      <c r="Q329" s="344">
        <f t="shared" si="40"/>
        <v>745000</v>
      </c>
      <c r="R329" s="23">
        <f t="shared" si="41"/>
        <v>-2000</v>
      </c>
      <c r="S329" s="86">
        <f t="shared" si="44"/>
        <v>743000</v>
      </c>
    </row>
    <row r="330" spans="2:19" x14ac:dyDescent="0.2">
      <c r="B330" s="83">
        <f t="shared" si="45"/>
        <v>4</v>
      </c>
      <c r="C330" s="7"/>
      <c r="D330" s="7"/>
      <c r="E330" s="7"/>
      <c r="F330" s="25" t="s">
        <v>161</v>
      </c>
      <c r="G330" s="7">
        <v>620</v>
      </c>
      <c r="H330" s="7" t="s">
        <v>135</v>
      </c>
      <c r="I330" s="23">
        <v>261000</v>
      </c>
      <c r="J330" s="23">
        <v>7000</v>
      </c>
      <c r="K330" s="86">
        <f t="shared" si="42"/>
        <v>268000</v>
      </c>
      <c r="L330" s="355"/>
      <c r="M330" s="344"/>
      <c r="N330" s="246"/>
      <c r="O330" s="86">
        <f t="shared" si="43"/>
        <v>0</v>
      </c>
      <c r="P330" s="355"/>
      <c r="Q330" s="344">
        <f t="shared" si="40"/>
        <v>261000</v>
      </c>
      <c r="R330" s="23">
        <f t="shared" si="41"/>
        <v>7000</v>
      </c>
      <c r="S330" s="86">
        <f t="shared" si="44"/>
        <v>268000</v>
      </c>
    </row>
    <row r="331" spans="2:19" x14ac:dyDescent="0.2">
      <c r="B331" s="83">
        <f t="shared" si="45"/>
        <v>5</v>
      </c>
      <c r="C331" s="7"/>
      <c r="D331" s="7"/>
      <c r="E331" s="7"/>
      <c r="F331" s="25" t="s">
        <v>161</v>
      </c>
      <c r="G331" s="7">
        <v>630</v>
      </c>
      <c r="H331" s="7" t="s">
        <v>132</v>
      </c>
      <c r="I331" s="23">
        <f>I338+I337+I336+I335+I334+I333+I332</f>
        <v>211650</v>
      </c>
      <c r="J331" s="23">
        <f>SUM(J332:J338)</f>
        <v>-5000</v>
      </c>
      <c r="K331" s="86">
        <f t="shared" si="42"/>
        <v>206650</v>
      </c>
      <c r="L331" s="355"/>
      <c r="M331" s="344"/>
      <c r="N331" s="246"/>
      <c r="O331" s="86">
        <f t="shared" si="43"/>
        <v>0</v>
      </c>
      <c r="P331" s="355"/>
      <c r="Q331" s="344">
        <f t="shared" si="40"/>
        <v>211650</v>
      </c>
      <c r="R331" s="23">
        <f t="shared" si="41"/>
        <v>-5000</v>
      </c>
      <c r="S331" s="86">
        <f t="shared" si="44"/>
        <v>206650</v>
      </c>
    </row>
    <row r="332" spans="2:19" x14ac:dyDescent="0.2">
      <c r="B332" s="83">
        <f t="shared" si="45"/>
        <v>6</v>
      </c>
      <c r="C332" s="3"/>
      <c r="D332" s="3"/>
      <c r="E332" s="3"/>
      <c r="F332" s="26" t="s">
        <v>161</v>
      </c>
      <c r="G332" s="3">
        <v>631</v>
      </c>
      <c r="H332" s="3" t="s">
        <v>138</v>
      </c>
      <c r="I332" s="19">
        <v>8000</v>
      </c>
      <c r="J332" s="19">
        <v>-2000</v>
      </c>
      <c r="K332" s="87">
        <f t="shared" si="42"/>
        <v>6000</v>
      </c>
      <c r="L332" s="356"/>
      <c r="M332" s="345"/>
      <c r="N332" s="208"/>
      <c r="O332" s="87">
        <f t="shared" si="43"/>
        <v>0</v>
      </c>
      <c r="P332" s="356"/>
      <c r="Q332" s="345">
        <f t="shared" si="40"/>
        <v>8000</v>
      </c>
      <c r="R332" s="19">
        <f t="shared" si="41"/>
        <v>-2000</v>
      </c>
      <c r="S332" s="87">
        <f t="shared" si="44"/>
        <v>6000</v>
      </c>
    </row>
    <row r="333" spans="2:19" x14ac:dyDescent="0.2">
      <c r="B333" s="83">
        <f t="shared" si="45"/>
        <v>7</v>
      </c>
      <c r="C333" s="3"/>
      <c r="D333" s="3"/>
      <c r="E333" s="3"/>
      <c r="F333" s="26" t="s">
        <v>161</v>
      </c>
      <c r="G333" s="3">
        <v>632</v>
      </c>
      <c r="H333" s="3" t="s">
        <v>145</v>
      </c>
      <c r="I333" s="19">
        <v>26000</v>
      </c>
      <c r="J333" s="19"/>
      <c r="K333" s="87">
        <f t="shared" si="42"/>
        <v>26000</v>
      </c>
      <c r="L333" s="356"/>
      <c r="M333" s="345"/>
      <c r="N333" s="208"/>
      <c r="O333" s="87">
        <f t="shared" si="43"/>
        <v>0</v>
      </c>
      <c r="P333" s="356"/>
      <c r="Q333" s="345">
        <f t="shared" si="40"/>
        <v>26000</v>
      </c>
      <c r="R333" s="19">
        <f t="shared" si="41"/>
        <v>0</v>
      </c>
      <c r="S333" s="87">
        <f t="shared" si="44"/>
        <v>26000</v>
      </c>
    </row>
    <row r="334" spans="2:19" x14ac:dyDescent="0.2">
      <c r="B334" s="83">
        <f t="shared" si="45"/>
        <v>8</v>
      </c>
      <c r="C334" s="3"/>
      <c r="D334" s="3"/>
      <c r="E334" s="3"/>
      <c r="F334" s="26" t="s">
        <v>161</v>
      </c>
      <c r="G334" s="3">
        <v>633</v>
      </c>
      <c r="H334" s="3" t="s">
        <v>136</v>
      </c>
      <c r="I334" s="19">
        <f>75250-1100</f>
        <v>74150</v>
      </c>
      <c r="J334" s="19">
        <v>-3000</v>
      </c>
      <c r="K334" s="87">
        <f t="shared" si="42"/>
        <v>71150</v>
      </c>
      <c r="L334" s="356"/>
      <c r="M334" s="345"/>
      <c r="N334" s="208"/>
      <c r="O334" s="87">
        <f t="shared" si="43"/>
        <v>0</v>
      </c>
      <c r="P334" s="356"/>
      <c r="Q334" s="345">
        <f t="shared" si="40"/>
        <v>74150</v>
      </c>
      <c r="R334" s="19">
        <f t="shared" si="41"/>
        <v>-3000</v>
      </c>
      <c r="S334" s="87">
        <f t="shared" si="44"/>
        <v>71150</v>
      </c>
    </row>
    <row r="335" spans="2:19" x14ac:dyDescent="0.2">
      <c r="B335" s="83">
        <f t="shared" si="45"/>
        <v>9</v>
      </c>
      <c r="C335" s="3"/>
      <c r="D335" s="3"/>
      <c r="E335" s="3"/>
      <c r="F335" s="26" t="s">
        <v>161</v>
      </c>
      <c r="G335" s="3">
        <v>634</v>
      </c>
      <c r="H335" s="3" t="s">
        <v>143</v>
      </c>
      <c r="I335" s="19">
        <v>34530</v>
      </c>
      <c r="J335" s="19"/>
      <c r="K335" s="87">
        <f t="shared" si="42"/>
        <v>34530</v>
      </c>
      <c r="L335" s="356"/>
      <c r="M335" s="345"/>
      <c r="N335" s="208"/>
      <c r="O335" s="87">
        <f t="shared" si="43"/>
        <v>0</v>
      </c>
      <c r="P335" s="356"/>
      <c r="Q335" s="345">
        <f t="shared" si="40"/>
        <v>34530</v>
      </c>
      <c r="R335" s="19">
        <f t="shared" si="41"/>
        <v>0</v>
      </c>
      <c r="S335" s="87">
        <f t="shared" si="44"/>
        <v>34530</v>
      </c>
    </row>
    <row r="336" spans="2:19" x14ac:dyDescent="0.2">
      <c r="B336" s="83">
        <f t="shared" si="45"/>
        <v>10</v>
      </c>
      <c r="C336" s="3"/>
      <c r="D336" s="3"/>
      <c r="E336" s="3"/>
      <c r="F336" s="26" t="s">
        <v>161</v>
      </c>
      <c r="G336" s="3">
        <v>635</v>
      </c>
      <c r="H336" s="3" t="s">
        <v>144</v>
      </c>
      <c r="I336" s="19">
        <f>7000+8500</f>
        <v>15500</v>
      </c>
      <c r="J336" s="19"/>
      <c r="K336" s="87">
        <f t="shared" si="42"/>
        <v>15500</v>
      </c>
      <c r="L336" s="356"/>
      <c r="M336" s="345"/>
      <c r="N336" s="208"/>
      <c r="O336" s="87">
        <f t="shared" si="43"/>
        <v>0</v>
      </c>
      <c r="P336" s="356"/>
      <c r="Q336" s="345">
        <f t="shared" si="40"/>
        <v>15500</v>
      </c>
      <c r="R336" s="19">
        <f t="shared" si="41"/>
        <v>0</v>
      </c>
      <c r="S336" s="87">
        <f t="shared" si="44"/>
        <v>15500</v>
      </c>
    </row>
    <row r="337" spans="2:19" x14ac:dyDescent="0.2">
      <c r="B337" s="83">
        <f t="shared" si="45"/>
        <v>11</v>
      </c>
      <c r="C337" s="3"/>
      <c r="D337" s="3"/>
      <c r="E337" s="3"/>
      <c r="F337" s="26" t="s">
        <v>161</v>
      </c>
      <c r="G337" s="3">
        <v>636</v>
      </c>
      <c r="H337" s="3" t="s">
        <v>137</v>
      </c>
      <c r="I337" s="19">
        <f>900+1100</f>
        <v>2000</v>
      </c>
      <c r="J337" s="19"/>
      <c r="K337" s="87">
        <f t="shared" si="42"/>
        <v>2000</v>
      </c>
      <c r="L337" s="356"/>
      <c r="M337" s="345"/>
      <c r="N337" s="208"/>
      <c r="O337" s="87">
        <f t="shared" si="43"/>
        <v>0</v>
      </c>
      <c r="P337" s="356"/>
      <c r="Q337" s="345">
        <f t="shared" si="40"/>
        <v>2000</v>
      </c>
      <c r="R337" s="19">
        <f t="shared" si="41"/>
        <v>0</v>
      </c>
      <c r="S337" s="87">
        <f t="shared" si="44"/>
        <v>2000</v>
      </c>
    </row>
    <row r="338" spans="2:19" x14ac:dyDescent="0.2">
      <c r="B338" s="83">
        <f t="shared" si="45"/>
        <v>12</v>
      </c>
      <c r="C338" s="3"/>
      <c r="D338" s="3"/>
      <c r="E338" s="3"/>
      <c r="F338" s="26" t="s">
        <v>161</v>
      </c>
      <c r="G338" s="3">
        <v>637</v>
      </c>
      <c r="H338" s="3" t="s">
        <v>133</v>
      </c>
      <c r="I338" s="19">
        <v>51470</v>
      </c>
      <c r="J338" s="19"/>
      <c r="K338" s="87">
        <f t="shared" si="42"/>
        <v>51470</v>
      </c>
      <c r="L338" s="356"/>
      <c r="M338" s="345"/>
      <c r="N338" s="208"/>
      <c r="O338" s="87">
        <f t="shared" si="43"/>
        <v>0</v>
      </c>
      <c r="P338" s="356"/>
      <c r="Q338" s="345">
        <f t="shared" si="40"/>
        <v>51470</v>
      </c>
      <c r="R338" s="19">
        <f t="shared" si="41"/>
        <v>0</v>
      </c>
      <c r="S338" s="87">
        <f t="shared" si="44"/>
        <v>51470</v>
      </c>
    </row>
    <row r="339" spans="2:19" x14ac:dyDescent="0.2">
      <c r="B339" s="83">
        <f t="shared" si="45"/>
        <v>13</v>
      </c>
      <c r="C339" s="7"/>
      <c r="D339" s="7"/>
      <c r="E339" s="7"/>
      <c r="F339" s="25" t="s">
        <v>169</v>
      </c>
      <c r="G339" s="7">
        <v>630</v>
      </c>
      <c r="H339" s="7" t="s">
        <v>132</v>
      </c>
      <c r="I339" s="23">
        <f>I340</f>
        <v>500</v>
      </c>
      <c r="J339" s="23"/>
      <c r="K339" s="86">
        <f t="shared" si="42"/>
        <v>500</v>
      </c>
      <c r="L339" s="355"/>
      <c r="M339" s="344"/>
      <c r="N339" s="246"/>
      <c r="O339" s="86">
        <f t="shared" si="43"/>
        <v>0</v>
      </c>
      <c r="P339" s="355"/>
      <c r="Q339" s="344">
        <f t="shared" si="40"/>
        <v>500</v>
      </c>
      <c r="R339" s="23">
        <f t="shared" si="41"/>
        <v>0</v>
      </c>
      <c r="S339" s="86">
        <f t="shared" si="44"/>
        <v>500</v>
      </c>
    </row>
    <row r="340" spans="2:19" x14ac:dyDescent="0.2">
      <c r="B340" s="83">
        <f t="shared" si="45"/>
        <v>14</v>
      </c>
      <c r="C340" s="3"/>
      <c r="D340" s="3"/>
      <c r="E340" s="3"/>
      <c r="F340" s="26" t="s">
        <v>169</v>
      </c>
      <c r="G340" s="3">
        <v>637</v>
      </c>
      <c r="H340" s="3" t="s">
        <v>133</v>
      </c>
      <c r="I340" s="19">
        <v>500</v>
      </c>
      <c r="J340" s="19"/>
      <c r="K340" s="87">
        <f t="shared" si="42"/>
        <v>500</v>
      </c>
      <c r="L340" s="356"/>
      <c r="M340" s="345"/>
      <c r="N340" s="208"/>
      <c r="O340" s="87">
        <f t="shared" si="43"/>
        <v>0</v>
      </c>
      <c r="P340" s="356"/>
      <c r="Q340" s="345">
        <f t="shared" si="40"/>
        <v>500</v>
      </c>
      <c r="R340" s="19">
        <f t="shared" si="41"/>
        <v>0</v>
      </c>
      <c r="S340" s="87">
        <f t="shared" si="44"/>
        <v>500</v>
      </c>
    </row>
    <row r="341" spans="2:19" x14ac:dyDescent="0.2">
      <c r="B341" s="83">
        <f t="shared" si="45"/>
        <v>15</v>
      </c>
      <c r="C341" s="7"/>
      <c r="D341" s="7"/>
      <c r="E341" s="7"/>
      <c r="F341" s="25" t="s">
        <v>161</v>
      </c>
      <c r="G341" s="7">
        <v>640</v>
      </c>
      <c r="H341" s="7" t="s">
        <v>140</v>
      </c>
      <c r="I341" s="23">
        <f>670+5000</f>
        <v>5670</v>
      </c>
      <c r="J341" s="23"/>
      <c r="K341" s="86">
        <f t="shared" si="42"/>
        <v>5670</v>
      </c>
      <c r="L341" s="355"/>
      <c r="M341" s="344"/>
      <c r="N341" s="246"/>
      <c r="O341" s="86">
        <f t="shared" si="43"/>
        <v>0</v>
      </c>
      <c r="P341" s="355"/>
      <c r="Q341" s="344">
        <f t="shared" si="40"/>
        <v>5670</v>
      </c>
      <c r="R341" s="23">
        <f t="shared" si="41"/>
        <v>0</v>
      </c>
      <c r="S341" s="86">
        <f t="shared" si="44"/>
        <v>5670</v>
      </c>
    </row>
    <row r="342" spans="2:19" x14ac:dyDescent="0.2">
      <c r="B342" s="83">
        <f t="shared" si="45"/>
        <v>16</v>
      </c>
      <c r="C342" s="7"/>
      <c r="D342" s="7"/>
      <c r="E342" s="7"/>
      <c r="F342" s="25" t="s">
        <v>161</v>
      </c>
      <c r="G342" s="7">
        <v>710</v>
      </c>
      <c r="H342" s="7" t="s">
        <v>187</v>
      </c>
      <c r="I342" s="23"/>
      <c r="J342" s="23"/>
      <c r="K342" s="86">
        <f t="shared" si="42"/>
        <v>0</v>
      </c>
      <c r="L342" s="355"/>
      <c r="M342" s="344">
        <f>M343+M345+M347</f>
        <v>80883</v>
      </c>
      <c r="N342" s="246"/>
      <c r="O342" s="86">
        <f t="shared" si="43"/>
        <v>80883</v>
      </c>
      <c r="P342" s="355"/>
      <c r="Q342" s="344">
        <f t="shared" si="40"/>
        <v>80883</v>
      </c>
      <c r="R342" s="23">
        <f t="shared" si="41"/>
        <v>0</v>
      </c>
      <c r="S342" s="86">
        <f t="shared" si="44"/>
        <v>80883</v>
      </c>
    </row>
    <row r="343" spans="2:19" x14ac:dyDescent="0.2">
      <c r="B343" s="83">
        <f t="shared" si="45"/>
        <v>17</v>
      </c>
      <c r="C343" s="3"/>
      <c r="D343" s="3"/>
      <c r="E343" s="3"/>
      <c r="F343" s="26" t="s">
        <v>161</v>
      </c>
      <c r="G343" s="3">
        <v>713</v>
      </c>
      <c r="H343" s="3" t="s">
        <v>234</v>
      </c>
      <c r="I343" s="19"/>
      <c r="J343" s="19"/>
      <c r="K343" s="87">
        <f t="shared" si="42"/>
        <v>0</v>
      </c>
      <c r="L343" s="356"/>
      <c r="M343" s="345">
        <f>M344</f>
        <v>2200</v>
      </c>
      <c r="N343" s="208"/>
      <c r="O343" s="87">
        <f t="shared" si="43"/>
        <v>2200</v>
      </c>
      <c r="P343" s="356"/>
      <c r="Q343" s="345">
        <f t="shared" si="40"/>
        <v>2200</v>
      </c>
      <c r="R343" s="19">
        <f t="shared" si="41"/>
        <v>0</v>
      </c>
      <c r="S343" s="87">
        <f t="shared" si="44"/>
        <v>2200</v>
      </c>
    </row>
    <row r="344" spans="2:19" x14ac:dyDescent="0.2">
      <c r="B344" s="83">
        <f t="shared" si="45"/>
        <v>18</v>
      </c>
      <c r="C344" s="4"/>
      <c r="D344" s="4"/>
      <c r="E344" s="4"/>
      <c r="F344" s="31"/>
      <c r="G344" s="4"/>
      <c r="H344" s="4" t="s">
        <v>369</v>
      </c>
      <c r="I344" s="21"/>
      <c r="J344" s="21"/>
      <c r="K344" s="88">
        <f t="shared" si="42"/>
        <v>0</v>
      </c>
      <c r="L344" s="357"/>
      <c r="M344" s="346">
        <f>2500-300</f>
        <v>2200</v>
      </c>
      <c r="N344" s="247"/>
      <c r="O344" s="88">
        <f t="shared" si="43"/>
        <v>2200</v>
      </c>
      <c r="P344" s="357"/>
      <c r="Q344" s="346">
        <f t="shared" si="40"/>
        <v>2200</v>
      </c>
      <c r="R344" s="21">
        <f t="shared" si="41"/>
        <v>0</v>
      </c>
      <c r="S344" s="88">
        <f t="shared" si="44"/>
        <v>2200</v>
      </c>
    </row>
    <row r="345" spans="2:19" x14ac:dyDescent="0.2">
      <c r="B345" s="83">
        <f t="shared" si="45"/>
        <v>19</v>
      </c>
      <c r="C345" s="3"/>
      <c r="D345" s="3"/>
      <c r="E345" s="3"/>
      <c r="F345" s="26" t="s">
        <v>161</v>
      </c>
      <c r="G345" s="3">
        <v>714</v>
      </c>
      <c r="H345" s="3" t="s">
        <v>188</v>
      </c>
      <c r="I345" s="19"/>
      <c r="J345" s="19"/>
      <c r="K345" s="87">
        <f t="shared" si="42"/>
        <v>0</v>
      </c>
      <c r="L345" s="356"/>
      <c r="M345" s="345">
        <f>SUM(M346:M346)</f>
        <v>75300</v>
      </c>
      <c r="N345" s="208"/>
      <c r="O345" s="87">
        <f t="shared" si="43"/>
        <v>75300</v>
      </c>
      <c r="P345" s="356"/>
      <c r="Q345" s="345">
        <f t="shared" si="40"/>
        <v>75300</v>
      </c>
      <c r="R345" s="19">
        <f t="shared" si="41"/>
        <v>0</v>
      </c>
      <c r="S345" s="87">
        <f t="shared" si="44"/>
        <v>75300</v>
      </c>
    </row>
    <row r="346" spans="2:19" x14ac:dyDescent="0.2">
      <c r="B346" s="83">
        <f t="shared" si="45"/>
        <v>20</v>
      </c>
      <c r="C346" s="4"/>
      <c r="D346" s="4"/>
      <c r="E346" s="4"/>
      <c r="F346" s="31"/>
      <c r="G346" s="4"/>
      <c r="H346" s="13" t="s">
        <v>499</v>
      </c>
      <c r="I346" s="21"/>
      <c r="J346" s="21"/>
      <c r="K346" s="88">
        <f t="shared" si="42"/>
        <v>0</v>
      </c>
      <c r="L346" s="357"/>
      <c r="M346" s="346">
        <f>75000+300</f>
        <v>75300</v>
      </c>
      <c r="N346" s="247"/>
      <c r="O346" s="88">
        <f t="shared" si="43"/>
        <v>75300</v>
      </c>
      <c r="P346" s="357"/>
      <c r="Q346" s="346">
        <f t="shared" si="40"/>
        <v>75300</v>
      </c>
      <c r="R346" s="21">
        <f t="shared" si="41"/>
        <v>0</v>
      </c>
      <c r="S346" s="88">
        <f t="shared" si="44"/>
        <v>75300</v>
      </c>
    </row>
    <row r="347" spans="2:19" x14ac:dyDescent="0.2">
      <c r="B347" s="83">
        <f t="shared" si="45"/>
        <v>21</v>
      </c>
      <c r="C347" s="4"/>
      <c r="D347" s="4"/>
      <c r="E347" s="4"/>
      <c r="F347" s="31"/>
      <c r="G347" s="3">
        <v>717</v>
      </c>
      <c r="H347" s="3" t="s">
        <v>197</v>
      </c>
      <c r="I347" s="21"/>
      <c r="J347" s="21"/>
      <c r="K347" s="88">
        <f t="shared" si="42"/>
        <v>0</v>
      </c>
      <c r="L347" s="357"/>
      <c r="M347" s="345">
        <f>M348</f>
        <v>3383</v>
      </c>
      <c r="N347" s="208"/>
      <c r="O347" s="87">
        <f t="shared" si="43"/>
        <v>3383</v>
      </c>
      <c r="P347" s="356"/>
      <c r="Q347" s="345">
        <f t="shared" si="40"/>
        <v>3383</v>
      </c>
      <c r="R347" s="19">
        <f t="shared" si="41"/>
        <v>0</v>
      </c>
      <c r="S347" s="87">
        <f t="shared" si="44"/>
        <v>3383</v>
      </c>
    </row>
    <row r="348" spans="2:19" x14ac:dyDescent="0.2">
      <c r="B348" s="83">
        <f t="shared" si="45"/>
        <v>22</v>
      </c>
      <c r="C348" s="4"/>
      <c r="D348" s="4"/>
      <c r="E348" s="4"/>
      <c r="F348" s="31"/>
      <c r="G348" s="4"/>
      <c r="H348" s="13" t="s">
        <v>556</v>
      </c>
      <c r="I348" s="21"/>
      <c r="J348" s="21"/>
      <c r="K348" s="88">
        <f t="shared" si="42"/>
        <v>0</v>
      </c>
      <c r="L348" s="357"/>
      <c r="M348" s="346">
        <v>3383</v>
      </c>
      <c r="N348" s="247"/>
      <c r="O348" s="88">
        <f t="shared" si="43"/>
        <v>3383</v>
      </c>
      <c r="P348" s="357"/>
      <c r="Q348" s="346">
        <f t="shared" si="40"/>
        <v>3383</v>
      </c>
      <c r="R348" s="21">
        <f t="shared" si="41"/>
        <v>0</v>
      </c>
      <c r="S348" s="88">
        <f t="shared" si="44"/>
        <v>3383</v>
      </c>
    </row>
    <row r="349" spans="2:19" ht="15" x14ac:dyDescent="0.2">
      <c r="B349" s="83">
        <f t="shared" si="45"/>
        <v>23</v>
      </c>
      <c r="C349" s="239">
        <v>2</v>
      </c>
      <c r="D349" s="444" t="s">
        <v>221</v>
      </c>
      <c r="E349" s="445"/>
      <c r="F349" s="445"/>
      <c r="G349" s="445"/>
      <c r="H349" s="446"/>
      <c r="I349" s="36">
        <f>I350+I359</f>
        <v>569915</v>
      </c>
      <c r="J349" s="36"/>
      <c r="K349" s="84">
        <f t="shared" si="42"/>
        <v>569915</v>
      </c>
      <c r="L349" s="353"/>
      <c r="M349" s="342">
        <f>M359+M352</f>
        <v>44410</v>
      </c>
      <c r="N349" s="36">
        <f>N359+N352</f>
        <v>0</v>
      </c>
      <c r="O349" s="84">
        <f t="shared" si="43"/>
        <v>44410</v>
      </c>
      <c r="P349" s="353"/>
      <c r="Q349" s="342">
        <f t="shared" si="40"/>
        <v>614325</v>
      </c>
      <c r="R349" s="36">
        <f t="shared" si="41"/>
        <v>0</v>
      </c>
      <c r="S349" s="84">
        <f t="shared" si="44"/>
        <v>614325</v>
      </c>
    </row>
    <row r="350" spans="2:19" x14ac:dyDescent="0.2">
      <c r="B350" s="83">
        <f t="shared" si="45"/>
        <v>24</v>
      </c>
      <c r="C350" s="7"/>
      <c r="D350" s="7"/>
      <c r="E350" s="7"/>
      <c r="F350" s="25" t="s">
        <v>220</v>
      </c>
      <c r="G350" s="7">
        <v>630</v>
      </c>
      <c r="H350" s="7" t="s">
        <v>132</v>
      </c>
      <c r="I350" s="23">
        <f>I351</f>
        <v>300</v>
      </c>
      <c r="J350" s="23"/>
      <c r="K350" s="86">
        <f t="shared" si="42"/>
        <v>300</v>
      </c>
      <c r="L350" s="355"/>
      <c r="M350" s="344"/>
      <c r="N350" s="246"/>
      <c r="O350" s="86">
        <f t="shared" si="43"/>
        <v>0</v>
      </c>
      <c r="P350" s="355"/>
      <c r="Q350" s="344">
        <f t="shared" si="40"/>
        <v>300</v>
      </c>
      <c r="R350" s="23">
        <f t="shared" si="41"/>
        <v>0</v>
      </c>
      <c r="S350" s="86">
        <f t="shared" si="44"/>
        <v>300</v>
      </c>
    </row>
    <row r="351" spans="2:19" x14ac:dyDescent="0.2">
      <c r="B351" s="83">
        <f t="shared" si="45"/>
        <v>25</v>
      </c>
      <c r="C351" s="3"/>
      <c r="D351" s="3"/>
      <c r="E351" s="3"/>
      <c r="F351" s="26" t="s">
        <v>220</v>
      </c>
      <c r="G351" s="3">
        <v>632</v>
      </c>
      <c r="H351" s="3" t="s">
        <v>145</v>
      </c>
      <c r="I351" s="19">
        <v>300</v>
      </c>
      <c r="J351" s="19"/>
      <c r="K351" s="87">
        <f t="shared" si="42"/>
        <v>300</v>
      </c>
      <c r="L351" s="356"/>
      <c r="M351" s="345"/>
      <c r="N351" s="208"/>
      <c r="O351" s="87">
        <f t="shared" si="43"/>
        <v>0</v>
      </c>
      <c r="P351" s="356"/>
      <c r="Q351" s="345">
        <f t="shared" si="40"/>
        <v>300</v>
      </c>
      <c r="R351" s="19">
        <f t="shared" si="41"/>
        <v>0</v>
      </c>
      <c r="S351" s="87">
        <f t="shared" si="44"/>
        <v>300</v>
      </c>
    </row>
    <row r="352" spans="2:19" x14ac:dyDescent="0.2">
      <c r="B352" s="83">
        <f t="shared" si="45"/>
        <v>26</v>
      </c>
      <c r="C352" s="3"/>
      <c r="D352" s="3"/>
      <c r="E352" s="3"/>
      <c r="F352" s="25" t="s">
        <v>220</v>
      </c>
      <c r="G352" s="7">
        <v>710</v>
      </c>
      <c r="H352" s="7" t="s">
        <v>187</v>
      </c>
      <c r="I352" s="23"/>
      <c r="J352" s="23"/>
      <c r="K352" s="86">
        <f t="shared" si="42"/>
        <v>0</v>
      </c>
      <c r="L352" s="355"/>
      <c r="M352" s="344">
        <f>M357+M354+M353</f>
        <v>36860</v>
      </c>
      <c r="N352" s="246"/>
      <c r="O352" s="86">
        <f t="shared" si="43"/>
        <v>36860</v>
      </c>
      <c r="P352" s="355"/>
      <c r="Q352" s="344">
        <f t="shared" si="40"/>
        <v>36860</v>
      </c>
      <c r="R352" s="23">
        <f t="shared" si="41"/>
        <v>0</v>
      </c>
      <c r="S352" s="86">
        <f t="shared" si="44"/>
        <v>36860</v>
      </c>
    </row>
    <row r="353" spans="2:19" x14ac:dyDescent="0.2">
      <c r="B353" s="83">
        <f t="shared" si="45"/>
        <v>27</v>
      </c>
      <c r="C353" s="3"/>
      <c r="D353" s="3"/>
      <c r="E353" s="3"/>
      <c r="F353" s="26" t="s">
        <v>220</v>
      </c>
      <c r="G353" s="3">
        <v>713</v>
      </c>
      <c r="H353" s="3" t="s">
        <v>631</v>
      </c>
      <c r="I353" s="23"/>
      <c r="J353" s="23"/>
      <c r="K353" s="86">
        <f t="shared" si="42"/>
        <v>0</v>
      </c>
      <c r="L353" s="355"/>
      <c r="M353" s="363">
        <v>16860</v>
      </c>
      <c r="N353" s="254"/>
      <c r="O353" s="123">
        <f t="shared" si="43"/>
        <v>16860</v>
      </c>
      <c r="P353" s="356"/>
      <c r="Q353" s="363">
        <f t="shared" si="40"/>
        <v>16860</v>
      </c>
      <c r="R353" s="20">
        <f t="shared" si="41"/>
        <v>0</v>
      </c>
      <c r="S353" s="123">
        <f t="shared" si="44"/>
        <v>16860</v>
      </c>
    </row>
    <row r="354" spans="2:19" x14ac:dyDescent="0.2">
      <c r="B354" s="83">
        <f t="shared" si="45"/>
        <v>28</v>
      </c>
      <c r="C354" s="3"/>
      <c r="D354" s="3"/>
      <c r="E354" s="3"/>
      <c r="F354" s="26" t="s">
        <v>220</v>
      </c>
      <c r="G354" s="3">
        <v>716</v>
      </c>
      <c r="H354" s="3" t="s">
        <v>231</v>
      </c>
      <c r="I354" s="23"/>
      <c r="J354" s="23"/>
      <c r="K354" s="86">
        <f t="shared" si="42"/>
        <v>0</v>
      </c>
      <c r="L354" s="355"/>
      <c r="M354" s="363">
        <f>M355+M356</f>
        <v>12000</v>
      </c>
      <c r="N354" s="254"/>
      <c r="O354" s="123">
        <f t="shared" si="43"/>
        <v>12000</v>
      </c>
      <c r="P354" s="356"/>
      <c r="Q354" s="363">
        <f t="shared" si="40"/>
        <v>12000</v>
      </c>
      <c r="R354" s="20">
        <f t="shared" si="41"/>
        <v>0</v>
      </c>
      <c r="S354" s="123">
        <f t="shared" si="44"/>
        <v>12000</v>
      </c>
    </row>
    <row r="355" spans="2:19" x14ac:dyDescent="0.2">
      <c r="B355" s="83">
        <f t="shared" si="45"/>
        <v>29</v>
      </c>
      <c r="C355" s="3"/>
      <c r="D355" s="3"/>
      <c r="E355" s="3"/>
      <c r="F355" s="27"/>
      <c r="G355" s="4"/>
      <c r="H355" s="4" t="s">
        <v>580</v>
      </c>
      <c r="I355" s="23"/>
      <c r="J355" s="23"/>
      <c r="K355" s="86">
        <f t="shared" si="42"/>
        <v>0</v>
      </c>
      <c r="L355" s="355"/>
      <c r="M355" s="384">
        <v>11000</v>
      </c>
      <c r="N355" s="257"/>
      <c r="O355" s="209">
        <f t="shared" si="43"/>
        <v>11000</v>
      </c>
      <c r="P355" s="385"/>
      <c r="Q355" s="384">
        <f t="shared" si="40"/>
        <v>11000</v>
      </c>
      <c r="R355" s="167">
        <f t="shared" si="41"/>
        <v>0</v>
      </c>
      <c r="S355" s="209">
        <f t="shared" si="44"/>
        <v>11000</v>
      </c>
    </row>
    <row r="356" spans="2:19" x14ac:dyDescent="0.2">
      <c r="B356" s="83">
        <f t="shared" si="45"/>
        <v>30</v>
      </c>
      <c r="C356" s="3"/>
      <c r="D356" s="3"/>
      <c r="E356" s="3"/>
      <c r="F356" s="27"/>
      <c r="G356" s="4"/>
      <c r="H356" s="4" t="s">
        <v>527</v>
      </c>
      <c r="I356" s="23"/>
      <c r="J356" s="23"/>
      <c r="K356" s="86">
        <f t="shared" si="42"/>
        <v>0</v>
      </c>
      <c r="L356" s="355"/>
      <c r="M356" s="384">
        <v>1000</v>
      </c>
      <c r="N356" s="257"/>
      <c r="O356" s="209">
        <f t="shared" si="43"/>
        <v>1000</v>
      </c>
      <c r="P356" s="385"/>
      <c r="Q356" s="384">
        <f>M356</f>
        <v>1000</v>
      </c>
      <c r="R356" s="167">
        <f t="shared" ref="R356:S356" si="46">N356</f>
        <v>0</v>
      </c>
      <c r="S356" s="209">
        <f t="shared" si="46"/>
        <v>1000</v>
      </c>
    </row>
    <row r="357" spans="2:19" x14ac:dyDescent="0.2">
      <c r="B357" s="83">
        <f t="shared" si="45"/>
        <v>31</v>
      </c>
      <c r="C357" s="3"/>
      <c r="D357" s="3"/>
      <c r="E357" s="3"/>
      <c r="F357" s="26"/>
      <c r="G357" s="3">
        <v>717</v>
      </c>
      <c r="H357" s="3" t="s">
        <v>197</v>
      </c>
      <c r="I357" s="19"/>
      <c r="J357" s="19"/>
      <c r="K357" s="87">
        <f t="shared" si="42"/>
        <v>0</v>
      </c>
      <c r="L357" s="356"/>
      <c r="M357" s="345">
        <f>M358</f>
        <v>8000</v>
      </c>
      <c r="N357" s="208"/>
      <c r="O357" s="87">
        <f t="shared" si="43"/>
        <v>8000</v>
      </c>
      <c r="P357" s="356"/>
      <c r="Q357" s="345">
        <f t="shared" si="40"/>
        <v>8000</v>
      </c>
      <c r="R357" s="19">
        <f t="shared" ref="R357:R392" si="47">J357+N357</f>
        <v>0</v>
      </c>
      <c r="S357" s="87">
        <f t="shared" ref="S357:S392" si="48">K357+O357</f>
        <v>8000</v>
      </c>
    </row>
    <row r="358" spans="2:19" x14ac:dyDescent="0.2">
      <c r="B358" s="83">
        <f t="shared" si="45"/>
        <v>32</v>
      </c>
      <c r="C358" s="3"/>
      <c r="D358" s="3"/>
      <c r="E358" s="3"/>
      <c r="F358" s="26"/>
      <c r="G358" s="3"/>
      <c r="H358" s="4" t="s">
        <v>527</v>
      </c>
      <c r="I358" s="21"/>
      <c r="J358" s="21"/>
      <c r="K358" s="88">
        <f t="shared" si="42"/>
        <v>0</v>
      </c>
      <c r="L358" s="357"/>
      <c r="M358" s="346">
        <v>8000</v>
      </c>
      <c r="N358" s="247"/>
      <c r="O358" s="88">
        <f t="shared" si="43"/>
        <v>8000</v>
      </c>
      <c r="P358" s="357"/>
      <c r="Q358" s="346">
        <f t="shared" si="40"/>
        <v>8000</v>
      </c>
      <c r="R358" s="21">
        <f t="shared" si="47"/>
        <v>0</v>
      </c>
      <c r="S358" s="88">
        <f t="shared" si="48"/>
        <v>8000</v>
      </c>
    </row>
    <row r="359" spans="2:19" ht="15" x14ac:dyDescent="0.25">
      <c r="B359" s="83">
        <f t="shared" si="45"/>
        <v>33</v>
      </c>
      <c r="C359" s="10"/>
      <c r="D359" s="10"/>
      <c r="E359" s="10">
        <v>2</v>
      </c>
      <c r="F359" s="28"/>
      <c r="G359" s="10"/>
      <c r="H359" s="10" t="s">
        <v>408</v>
      </c>
      <c r="I359" s="38">
        <f>I360+I361+I362+I369+I370</f>
        <v>569615</v>
      </c>
      <c r="J359" s="38"/>
      <c r="K359" s="94">
        <f t="shared" si="42"/>
        <v>569615</v>
      </c>
      <c r="L359" s="365"/>
      <c r="M359" s="362">
        <f>M370</f>
        <v>7550</v>
      </c>
      <c r="N359" s="253"/>
      <c r="O359" s="94">
        <f t="shared" si="43"/>
        <v>7550</v>
      </c>
      <c r="P359" s="365"/>
      <c r="Q359" s="362">
        <f t="shared" si="40"/>
        <v>577165</v>
      </c>
      <c r="R359" s="38">
        <f t="shared" si="47"/>
        <v>0</v>
      </c>
      <c r="S359" s="94">
        <f t="shared" si="48"/>
        <v>577165</v>
      </c>
    </row>
    <row r="360" spans="2:19" x14ac:dyDescent="0.2">
      <c r="B360" s="83">
        <f t="shared" si="45"/>
        <v>34</v>
      </c>
      <c r="C360" s="7"/>
      <c r="D360" s="7"/>
      <c r="E360" s="7"/>
      <c r="F360" s="25" t="s">
        <v>220</v>
      </c>
      <c r="G360" s="7">
        <v>610</v>
      </c>
      <c r="H360" s="7" t="s">
        <v>142</v>
      </c>
      <c r="I360" s="23">
        <v>41315</v>
      </c>
      <c r="J360" s="23"/>
      <c r="K360" s="86">
        <f t="shared" si="42"/>
        <v>41315</v>
      </c>
      <c r="L360" s="355"/>
      <c r="M360" s="344"/>
      <c r="N360" s="246"/>
      <c r="O360" s="86">
        <f t="shared" si="43"/>
        <v>0</v>
      </c>
      <c r="P360" s="355"/>
      <c r="Q360" s="344">
        <f t="shared" si="40"/>
        <v>41315</v>
      </c>
      <c r="R360" s="23">
        <f t="shared" si="47"/>
        <v>0</v>
      </c>
      <c r="S360" s="86">
        <f t="shared" si="48"/>
        <v>41315</v>
      </c>
    </row>
    <row r="361" spans="2:19" x14ac:dyDescent="0.2">
      <c r="B361" s="83">
        <f t="shared" si="45"/>
        <v>35</v>
      </c>
      <c r="C361" s="7"/>
      <c r="D361" s="7"/>
      <c r="E361" s="7"/>
      <c r="F361" s="25" t="s">
        <v>220</v>
      </c>
      <c r="G361" s="7">
        <v>620</v>
      </c>
      <c r="H361" s="7" t="s">
        <v>135</v>
      </c>
      <c r="I361" s="23">
        <v>18700</v>
      </c>
      <c r="J361" s="23"/>
      <c r="K361" s="86">
        <f t="shared" si="42"/>
        <v>18700</v>
      </c>
      <c r="L361" s="355"/>
      <c r="M361" s="344"/>
      <c r="N361" s="246"/>
      <c r="O361" s="86">
        <f t="shared" si="43"/>
        <v>0</v>
      </c>
      <c r="P361" s="355"/>
      <c r="Q361" s="344">
        <f t="shared" si="40"/>
        <v>18700</v>
      </c>
      <c r="R361" s="23">
        <f t="shared" si="47"/>
        <v>0</v>
      </c>
      <c r="S361" s="86">
        <f t="shared" si="48"/>
        <v>18700</v>
      </c>
    </row>
    <row r="362" spans="2:19" x14ac:dyDescent="0.2">
      <c r="B362" s="83">
        <f t="shared" si="45"/>
        <v>36</v>
      </c>
      <c r="C362" s="7"/>
      <c r="D362" s="7"/>
      <c r="E362" s="7"/>
      <c r="F362" s="25" t="s">
        <v>220</v>
      </c>
      <c r="G362" s="7">
        <v>630</v>
      </c>
      <c r="H362" s="7" t="s">
        <v>132</v>
      </c>
      <c r="I362" s="23">
        <f>SUM(I363:I368)</f>
        <v>507550</v>
      </c>
      <c r="J362" s="23"/>
      <c r="K362" s="86">
        <f t="shared" si="42"/>
        <v>507550</v>
      </c>
      <c r="L362" s="355"/>
      <c r="M362" s="344"/>
      <c r="N362" s="246"/>
      <c r="O362" s="86">
        <f t="shared" si="43"/>
        <v>0</v>
      </c>
      <c r="P362" s="355"/>
      <c r="Q362" s="344">
        <f t="shared" si="40"/>
        <v>507550</v>
      </c>
      <c r="R362" s="23">
        <f t="shared" si="47"/>
        <v>0</v>
      </c>
      <c r="S362" s="86">
        <f t="shared" si="48"/>
        <v>507550</v>
      </c>
    </row>
    <row r="363" spans="2:19" x14ac:dyDescent="0.2">
      <c r="B363" s="83">
        <f t="shared" si="45"/>
        <v>37</v>
      </c>
      <c r="C363" s="3"/>
      <c r="D363" s="3"/>
      <c r="E363" s="3"/>
      <c r="F363" s="26" t="s">
        <v>220</v>
      </c>
      <c r="G363" s="3">
        <v>632</v>
      </c>
      <c r="H363" s="3" t="s">
        <v>145</v>
      </c>
      <c r="I363" s="19">
        <v>415000</v>
      </c>
      <c r="J363" s="19"/>
      <c r="K363" s="87">
        <f t="shared" si="42"/>
        <v>415000</v>
      </c>
      <c r="L363" s="356"/>
      <c r="M363" s="345"/>
      <c r="N363" s="208"/>
      <c r="O363" s="87">
        <f t="shared" si="43"/>
        <v>0</v>
      </c>
      <c r="P363" s="356"/>
      <c r="Q363" s="345">
        <f t="shared" si="40"/>
        <v>415000</v>
      </c>
      <c r="R363" s="19">
        <f t="shared" si="47"/>
        <v>0</v>
      </c>
      <c r="S363" s="87">
        <f t="shared" si="48"/>
        <v>415000</v>
      </c>
    </row>
    <row r="364" spans="2:19" x14ac:dyDescent="0.2">
      <c r="B364" s="83">
        <f t="shared" si="45"/>
        <v>38</v>
      </c>
      <c r="C364" s="3"/>
      <c r="D364" s="3"/>
      <c r="E364" s="3"/>
      <c r="F364" s="26" t="s">
        <v>220</v>
      </c>
      <c r="G364" s="3">
        <v>633</v>
      </c>
      <c r="H364" s="3" t="s">
        <v>136</v>
      </c>
      <c r="I364" s="19">
        <v>26100</v>
      </c>
      <c r="J364" s="19"/>
      <c r="K364" s="87">
        <f t="shared" si="42"/>
        <v>26100</v>
      </c>
      <c r="L364" s="356"/>
      <c r="M364" s="345"/>
      <c r="N364" s="208"/>
      <c r="O364" s="87">
        <f t="shared" si="43"/>
        <v>0</v>
      </c>
      <c r="P364" s="356"/>
      <c r="Q364" s="345">
        <f t="shared" si="40"/>
        <v>26100</v>
      </c>
      <c r="R364" s="19">
        <f t="shared" si="47"/>
        <v>0</v>
      </c>
      <c r="S364" s="87">
        <f t="shared" si="48"/>
        <v>26100</v>
      </c>
    </row>
    <row r="365" spans="2:19" x14ac:dyDescent="0.2">
      <c r="B365" s="83">
        <f t="shared" si="45"/>
        <v>39</v>
      </c>
      <c r="C365" s="3"/>
      <c r="D365" s="3"/>
      <c r="E365" s="3"/>
      <c r="F365" s="26" t="s">
        <v>220</v>
      </c>
      <c r="G365" s="3">
        <v>634</v>
      </c>
      <c r="H365" s="3" t="s">
        <v>143</v>
      </c>
      <c r="I365" s="19">
        <v>6000</v>
      </c>
      <c r="J365" s="19"/>
      <c r="K365" s="87">
        <f t="shared" si="42"/>
        <v>6000</v>
      </c>
      <c r="L365" s="356"/>
      <c r="M365" s="345"/>
      <c r="N365" s="208"/>
      <c r="O365" s="87">
        <f t="shared" si="43"/>
        <v>0</v>
      </c>
      <c r="P365" s="356"/>
      <c r="Q365" s="345">
        <f t="shared" si="40"/>
        <v>6000</v>
      </c>
      <c r="R365" s="19">
        <f t="shared" si="47"/>
        <v>0</v>
      </c>
      <c r="S365" s="87">
        <f t="shared" si="48"/>
        <v>6000</v>
      </c>
    </row>
    <row r="366" spans="2:19" x14ac:dyDescent="0.2">
      <c r="B366" s="83">
        <f t="shared" si="45"/>
        <v>40</v>
      </c>
      <c r="C366" s="3"/>
      <c r="D366" s="3"/>
      <c r="E366" s="3"/>
      <c r="F366" s="26" t="s">
        <v>220</v>
      </c>
      <c r="G366" s="3">
        <v>635</v>
      </c>
      <c r="H366" s="3" t="s">
        <v>144</v>
      </c>
      <c r="I366" s="19">
        <v>9000</v>
      </c>
      <c r="J366" s="19"/>
      <c r="K366" s="87">
        <f t="shared" si="42"/>
        <v>9000</v>
      </c>
      <c r="L366" s="356"/>
      <c r="M366" s="345"/>
      <c r="N366" s="208"/>
      <c r="O366" s="87">
        <f t="shared" si="43"/>
        <v>0</v>
      </c>
      <c r="P366" s="356"/>
      <c r="Q366" s="345">
        <f t="shared" si="40"/>
        <v>9000</v>
      </c>
      <c r="R366" s="19">
        <f t="shared" si="47"/>
        <v>0</v>
      </c>
      <c r="S366" s="87">
        <f t="shared" si="48"/>
        <v>9000</v>
      </c>
    </row>
    <row r="367" spans="2:19" x14ac:dyDescent="0.2">
      <c r="B367" s="83">
        <f t="shared" si="45"/>
        <v>41</v>
      </c>
      <c r="C367" s="3"/>
      <c r="D367" s="3"/>
      <c r="E367" s="3"/>
      <c r="F367" s="26" t="s">
        <v>220</v>
      </c>
      <c r="G367" s="3">
        <v>637</v>
      </c>
      <c r="H367" s="3" t="s">
        <v>133</v>
      </c>
      <c r="I367" s="19">
        <v>27450</v>
      </c>
      <c r="J367" s="19"/>
      <c r="K367" s="87">
        <f t="shared" si="42"/>
        <v>27450</v>
      </c>
      <c r="L367" s="356"/>
      <c r="M367" s="345"/>
      <c r="N367" s="208"/>
      <c r="O367" s="87">
        <f t="shared" si="43"/>
        <v>0</v>
      </c>
      <c r="P367" s="356"/>
      <c r="Q367" s="345">
        <f t="shared" si="40"/>
        <v>27450</v>
      </c>
      <c r="R367" s="19">
        <f t="shared" si="47"/>
        <v>0</v>
      </c>
      <c r="S367" s="87">
        <f t="shared" si="48"/>
        <v>27450</v>
      </c>
    </row>
    <row r="368" spans="2:19" ht="24" x14ac:dyDescent="0.2">
      <c r="B368" s="83">
        <f t="shared" si="45"/>
        <v>42</v>
      </c>
      <c r="C368" s="47"/>
      <c r="D368" s="47"/>
      <c r="E368" s="47"/>
      <c r="F368" s="48" t="s">
        <v>220</v>
      </c>
      <c r="G368" s="47">
        <v>637</v>
      </c>
      <c r="H368" s="49" t="s">
        <v>382</v>
      </c>
      <c r="I368" s="92">
        <v>24000</v>
      </c>
      <c r="J368" s="92"/>
      <c r="K368" s="387">
        <f t="shared" si="42"/>
        <v>24000</v>
      </c>
      <c r="L368" s="386"/>
      <c r="M368" s="364"/>
      <c r="N368" s="258"/>
      <c r="O368" s="111">
        <f t="shared" si="43"/>
        <v>0</v>
      </c>
      <c r="P368" s="386"/>
      <c r="Q368" s="364">
        <f t="shared" si="40"/>
        <v>24000</v>
      </c>
      <c r="R368" s="50">
        <f t="shared" si="47"/>
        <v>0</v>
      </c>
      <c r="S368" s="111">
        <f t="shared" si="48"/>
        <v>24000</v>
      </c>
    </row>
    <row r="369" spans="2:19" x14ac:dyDescent="0.2">
      <c r="B369" s="83">
        <f t="shared" si="45"/>
        <v>43</v>
      </c>
      <c r="C369" s="7"/>
      <c r="D369" s="7"/>
      <c r="E369" s="7"/>
      <c r="F369" s="25" t="s">
        <v>220</v>
      </c>
      <c r="G369" s="7">
        <v>640</v>
      </c>
      <c r="H369" s="7" t="s">
        <v>140</v>
      </c>
      <c r="I369" s="23">
        <v>2050</v>
      </c>
      <c r="J369" s="23"/>
      <c r="K369" s="86">
        <f t="shared" si="42"/>
        <v>2050</v>
      </c>
      <c r="L369" s="355"/>
      <c r="M369" s="344"/>
      <c r="N369" s="246"/>
      <c r="O369" s="86">
        <f t="shared" si="43"/>
        <v>0</v>
      </c>
      <c r="P369" s="355"/>
      <c r="Q369" s="344">
        <f t="shared" si="40"/>
        <v>2050</v>
      </c>
      <c r="R369" s="23">
        <f t="shared" si="47"/>
        <v>0</v>
      </c>
      <c r="S369" s="86">
        <f t="shared" si="48"/>
        <v>2050</v>
      </c>
    </row>
    <row r="370" spans="2:19" x14ac:dyDescent="0.2">
      <c r="B370" s="83">
        <f t="shared" si="45"/>
        <v>44</v>
      </c>
      <c r="C370" s="7"/>
      <c r="D370" s="7"/>
      <c r="E370" s="7"/>
      <c r="F370" s="25" t="s">
        <v>220</v>
      </c>
      <c r="G370" s="7">
        <v>710</v>
      </c>
      <c r="H370" s="7" t="s">
        <v>187</v>
      </c>
      <c r="I370" s="23"/>
      <c r="J370" s="23"/>
      <c r="K370" s="86">
        <f t="shared" si="42"/>
        <v>0</v>
      </c>
      <c r="L370" s="355"/>
      <c r="M370" s="344">
        <f>M371</f>
        <v>7550</v>
      </c>
      <c r="N370" s="246"/>
      <c r="O370" s="86">
        <f t="shared" si="43"/>
        <v>7550</v>
      </c>
      <c r="P370" s="355"/>
      <c r="Q370" s="344">
        <f t="shared" si="40"/>
        <v>7550</v>
      </c>
      <c r="R370" s="23">
        <f t="shared" si="47"/>
        <v>0</v>
      </c>
      <c r="S370" s="86">
        <f t="shared" si="48"/>
        <v>7550</v>
      </c>
    </row>
    <row r="371" spans="2:19" x14ac:dyDescent="0.2">
      <c r="B371" s="83">
        <f t="shared" si="45"/>
        <v>45</v>
      </c>
      <c r="C371" s="3"/>
      <c r="D371" s="3"/>
      <c r="E371" s="3"/>
      <c r="F371" s="26" t="s">
        <v>220</v>
      </c>
      <c r="G371" s="3">
        <v>713</v>
      </c>
      <c r="H371" s="3" t="s">
        <v>234</v>
      </c>
      <c r="I371" s="19"/>
      <c r="J371" s="19"/>
      <c r="K371" s="87">
        <f t="shared" si="42"/>
        <v>0</v>
      </c>
      <c r="L371" s="356"/>
      <c r="M371" s="345">
        <f>M372</f>
        <v>7550</v>
      </c>
      <c r="N371" s="208"/>
      <c r="O371" s="87">
        <f t="shared" si="43"/>
        <v>7550</v>
      </c>
      <c r="P371" s="356"/>
      <c r="Q371" s="345">
        <f t="shared" si="40"/>
        <v>7550</v>
      </c>
      <c r="R371" s="19">
        <f t="shared" si="47"/>
        <v>0</v>
      </c>
      <c r="S371" s="87">
        <f t="shared" si="48"/>
        <v>7550</v>
      </c>
    </row>
    <row r="372" spans="2:19" x14ac:dyDescent="0.2">
      <c r="B372" s="83">
        <f t="shared" si="45"/>
        <v>46</v>
      </c>
      <c r="C372" s="4"/>
      <c r="D372" s="4"/>
      <c r="E372" s="4"/>
      <c r="F372" s="31"/>
      <c r="G372" s="4"/>
      <c r="H372" s="4" t="s">
        <v>470</v>
      </c>
      <c r="I372" s="21"/>
      <c r="J372" s="21"/>
      <c r="K372" s="88">
        <f t="shared" si="42"/>
        <v>0</v>
      </c>
      <c r="L372" s="357"/>
      <c r="M372" s="346">
        <v>7550</v>
      </c>
      <c r="N372" s="247"/>
      <c r="O372" s="88">
        <f t="shared" si="43"/>
        <v>7550</v>
      </c>
      <c r="P372" s="357"/>
      <c r="Q372" s="346">
        <f t="shared" si="40"/>
        <v>7550</v>
      </c>
      <c r="R372" s="21">
        <f t="shared" si="47"/>
        <v>0</v>
      </c>
      <c r="S372" s="88">
        <f t="shared" si="48"/>
        <v>7550</v>
      </c>
    </row>
    <row r="373" spans="2:19" ht="15" x14ac:dyDescent="0.2">
      <c r="B373" s="83">
        <f t="shared" si="45"/>
        <v>47</v>
      </c>
      <c r="C373" s="239">
        <v>3</v>
      </c>
      <c r="D373" s="444" t="s">
        <v>244</v>
      </c>
      <c r="E373" s="445"/>
      <c r="F373" s="445"/>
      <c r="G373" s="445"/>
      <c r="H373" s="446"/>
      <c r="I373" s="36">
        <f>I374</f>
        <v>7000</v>
      </c>
      <c r="J373" s="36"/>
      <c r="K373" s="84">
        <f t="shared" si="42"/>
        <v>7000</v>
      </c>
      <c r="L373" s="353"/>
      <c r="M373" s="342">
        <f>M376</f>
        <v>3000</v>
      </c>
      <c r="N373" s="36">
        <f>N376</f>
        <v>0</v>
      </c>
      <c r="O373" s="84">
        <f t="shared" si="43"/>
        <v>3000</v>
      </c>
      <c r="P373" s="353"/>
      <c r="Q373" s="342">
        <f t="shared" si="40"/>
        <v>10000</v>
      </c>
      <c r="R373" s="36">
        <f t="shared" si="47"/>
        <v>0</v>
      </c>
      <c r="S373" s="84">
        <f t="shared" si="48"/>
        <v>10000</v>
      </c>
    </row>
    <row r="374" spans="2:19" x14ac:dyDescent="0.2">
      <c r="B374" s="83">
        <f t="shared" si="45"/>
        <v>48</v>
      </c>
      <c r="C374" s="7"/>
      <c r="D374" s="7"/>
      <c r="E374" s="7"/>
      <c r="F374" s="25" t="s">
        <v>207</v>
      </c>
      <c r="G374" s="7">
        <v>630</v>
      </c>
      <c r="H374" s="7" t="s">
        <v>132</v>
      </c>
      <c r="I374" s="23">
        <f>I375</f>
        <v>7000</v>
      </c>
      <c r="J374" s="23"/>
      <c r="K374" s="86">
        <f t="shared" si="42"/>
        <v>7000</v>
      </c>
      <c r="L374" s="355"/>
      <c r="M374" s="344"/>
      <c r="N374" s="246"/>
      <c r="O374" s="86">
        <f t="shared" si="43"/>
        <v>0</v>
      </c>
      <c r="P374" s="355"/>
      <c r="Q374" s="344">
        <f t="shared" si="40"/>
        <v>7000</v>
      </c>
      <c r="R374" s="23">
        <f t="shared" si="47"/>
        <v>0</v>
      </c>
      <c r="S374" s="86">
        <f t="shared" si="48"/>
        <v>7000</v>
      </c>
    </row>
    <row r="375" spans="2:19" x14ac:dyDescent="0.2">
      <c r="B375" s="83">
        <f t="shared" si="45"/>
        <v>49</v>
      </c>
      <c r="C375" s="3"/>
      <c r="D375" s="3"/>
      <c r="E375" s="3"/>
      <c r="F375" s="26" t="s">
        <v>207</v>
      </c>
      <c r="G375" s="3">
        <v>635</v>
      </c>
      <c r="H375" s="3" t="s">
        <v>144</v>
      </c>
      <c r="I375" s="19">
        <v>7000</v>
      </c>
      <c r="J375" s="19"/>
      <c r="K375" s="87">
        <f t="shared" si="42"/>
        <v>7000</v>
      </c>
      <c r="L375" s="356"/>
      <c r="M375" s="345"/>
      <c r="N375" s="208"/>
      <c r="O375" s="87">
        <f t="shared" si="43"/>
        <v>0</v>
      </c>
      <c r="P375" s="356"/>
      <c r="Q375" s="345">
        <f t="shared" si="40"/>
        <v>7000</v>
      </c>
      <c r="R375" s="19">
        <f t="shared" si="47"/>
        <v>0</v>
      </c>
      <c r="S375" s="87">
        <f t="shared" si="48"/>
        <v>7000</v>
      </c>
    </row>
    <row r="376" spans="2:19" x14ac:dyDescent="0.2">
      <c r="B376" s="83">
        <f t="shared" si="45"/>
        <v>50</v>
      </c>
      <c r="C376" s="7"/>
      <c r="D376" s="7"/>
      <c r="E376" s="7"/>
      <c r="F376" s="25" t="s">
        <v>207</v>
      </c>
      <c r="G376" s="7">
        <v>710</v>
      </c>
      <c r="H376" s="7" t="s">
        <v>187</v>
      </c>
      <c r="I376" s="23"/>
      <c r="J376" s="23"/>
      <c r="K376" s="86">
        <f t="shared" si="42"/>
        <v>0</v>
      </c>
      <c r="L376" s="355"/>
      <c r="M376" s="344">
        <f>M377</f>
        <v>3000</v>
      </c>
      <c r="N376" s="246"/>
      <c r="O376" s="86">
        <f t="shared" si="43"/>
        <v>3000</v>
      </c>
      <c r="P376" s="355"/>
      <c r="Q376" s="344">
        <f t="shared" si="40"/>
        <v>3000</v>
      </c>
      <c r="R376" s="23">
        <f t="shared" si="47"/>
        <v>0</v>
      </c>
      <c r="S376" s="86">
        <f t="shared" si="48"/>
        <v>3000</v>
      </c>
    </row>
    <row r="377" spans="2:19" x14ac:dyDescent="0.2">
      <c r="B377" s="83">
        <f t="shared" si="45"/>
        <v>51</v>
      </c>
      <c r="C377" s="3"/>
      <c r="D377" s="3"/>
      <c r="E377" s="3"/>
      <c r="F377" s="26" t="s">
        <v>207</v>
      </c>
      <c r="G377" s="3">
        <v>713</v>
      </c>
      <c r="H377" s="3" t="s">
        <v>234</v>
      </c>
      <c r="I377" s="19"/>
      <c r="J377" s="19"/>
      <c r="K377" s="87">
        <f t="shared" si="42"/>
        <v>0</v>
      </c>
      <c r="L377" s="356"/>
      <c r="M377" s="345">
        <f>M378</f>
        <v>3000</v>
      </c>
      <c r="N377" s="208"/>
      <c r="O377" s="87">
        <f t="shared" si="43"/>
        <v>3000</v>
      </c>
      <c r="P377" s="356"/>
      <c r="Q377" s="345">
        <f t="shared" si="40"/>
        <v>3000</v>
      </c>
      <c r="R377" s="19">
        <f t="shared" si="47"/>
        <v>0</v>
      </c>
      <c r="S377" s="87">
        <f t="shared" si="48"/>
        <v>3000</v>
      </c>
    </row>
    <row r="378" spans="2:19" x14ac:dyDescent="0.2">
      <c r="B378" s="83">
        <f t="shared" si="45"/>
        <v>52</v>
      </c>
      <c r="C378" s="4"/>
      <c r="D378" s="4"/>
      <c r="E378" s="4"/>
      <c r="F378" s="31"/>
      <c r="G378" s="4"/>
      <c r="H378" s="4" t="s">
        <v>370</v>
      </c>
      <c r="I378" s="21"/>
      <c r="J378" s="21"/>
      <c r="K378" s="88">
        <f t="shared" si="42"/>
        <v>0</v>
      </c>
      <c r="L378" s="357"/>
      <c r="M378" s="346">
        <v>3000</v>
      </c>
      <c r="N378" s="247"/>
      <c r="O378" s="88">
        <f t="shared" si="43"/>
        <v>3000</v>
      </c>
      <c r="P378" s="357"/>
      <c r="Q378" s="346">
        <f t="shared" si="40"/>
        <v>3000</v>
      </c>
      <c r="R378" s="21">
        <f t="shared" si="47"/>
        <v>0</v>
      </c>
      <c r="S378" s="88">
        <f t="shared" si="48"/>
        <v>3000</v>
      </c>
    </row>
    <row r="379" spans="2:19" ht="15" x14ac:dyDescent="0.2">
      <c r="B379" s="83">
        <f t="shared" si="45"/>
        <v>53</v>
      </c>
      <c r="C379" s="239">
        <v>4</v>
      </c>
      <c r="D379" s="444" t="s">
        <v>168</v>
      </c>
      <c r="E379" s="445"/>
      <c r="F379" s="445"/>
      <c r="G379" s="445"/>
      <c r="H379" s="446"/>
      <c r="I379" s="36">
        <f>I380</f>
        <v>8300</v>
      </c>
      <c r="J379" s="36"/>
      <c r="K379" s="84">
        <f t="shared" si="42"/>
        <v>8300</v>
      </c>
      <c r="L379" s="353"/>
      <c r="M379" s="342">
        <v>0</v>
      </c>
      <c r="N379" s="244">
        <v>0</v>
      </c>
      <c r="O379" s="84">
        <f t="shared" si="43"/>
        <v>0</v>
      </c>
      <c r="P379" s="353"/>
      <c r="Q379" s="342">
        <f t="shared" si="40"/>
        <v>8300</v>
      </c>
      <c r="R379" s="36">
        <f t="shared" si="47"/>
        <v>0</v>
      </c>
      <c r="S379" s="84">
        <f t="shared" si="48"/>
        <v>8300</v>
      </c>
    </row>
    <row r="380" spans="2:19" x14ac:dyDescent="0.2">
      <c r="B380" s="83">
        <f t="shared" si="45"/>
        <v>54</v>
      </c>
      <c r="C380" s="7"/>
      <c r="D380" s="7"/>
      <c r="E380" s="7"/>
      <c r="F380" s="25" t="s">
        <v>167</v>
      </c>
      <c r="G380" s="7">
        <v>630</v>
      </c>
      <c r="H380" s="7" t="s">
        <v>132</v>
      </c>
      <c r="I380" s="23">
        <f>I381</f>
        <v>8300</v>
      </c>
      <c r="J380" s="23"/>
      <c r="K380" s="86">
        <f t="shared" si="42"/>
        <v>8300</v>
      </c>
      <c r="L380" s="355"/>
      <c r="M380" s="344"/>
      <c r="N380" s="246"/>
      <c r="O380" s="86">
        <f t="shared" si="43"/>
        <v>0</v>
      </c>
      <c r="P380" s="355"/>
      <c r="Q380" s="344">
        <f t="shared" si="40"/>
        <v>8300</v>
      </c>
      <c r="R380" s="23">
        <f t="shared" si="47"/>
        <v>0</v>
      </c>
      <c r="S380" s="86">
        <f t="shared" si="48"/>
        <v>8300</v>
      </c>
    </row>
    <row r="381" spans="2:19" x14ac:dyDescent="0.2">
      <c r="B381" s="83">
        <f t="shared" si="45"/>
        <v>55</v>
      </c>
      <c r="C381" s="3"/>
      <c r="D381" s="3"/>
      <c r="E381" s="3"/>
      <c r="F381" s="26" t="s">
        <v>167</v>
      </c>
      <c r="G381" s="3">
        <v>637</v>
      </c>
      <c r="H381" s="3" t="s">
        <v>133</v>
      </c>
      <c r="I381" s="19">
        <v>8300</v>
      </c>
      <c r="J381" s="19"/>
      <c r="K381" s="87">
        <f t="shared" si="42"/>
        <v>8300</v>
      </c>
      <c r="L381" s="356"/>
      <c r="M381" s="345"/>
      <c r="N381" s="208"/>
      <c r="O381" s="87">
        <f t="shared" si="43"/>
        <v>0</v>
      </c>
      <c r="P381" s="356"/>
      <c r="Q381" s="345">
        <f t="shared" si="40"/>
        <v>8300</v>
      </c>
      <c r="R381" s="19">
        <f t="shared" si="47"/>
        <v>0</v>
      </c>
      <c r="S381" s="87">
        <f t="shared" si="48"/>
        <v>8300</v>
      </c>
    </row>
    <row r="382" spans="2:19" ht="15" x14ac:dyDescent="0.2">
      <c r="B382" s="83">
        <f t="shared" si="45"/>
        <v>56</v>
      </c>
      <c r="C382" s="239">
        <v>5</v>
      </c>
      <c r="D382" s="444" t="s">
        <v>158</v>
      </c>
      <c r="E382" s="445"/>
      <c r="F382" s="445"/>
      <c r="G382" s="445"/>
      <c r="H382" s="446"/>
      <c r="I382" s="36">
        <f>I383+I388</f>
        <v>22870</v>
      </c>
      <c r="J382" s="36"/>
      <c r="K382" s="84">
        <f t="shared" si="42"/>
        <v>22870</v>
      </c>
      <c r="L382" s="353"/>
      <c r="M382" s="342">
        <v>0</v>
      </c>
      <c r="N382" s="244">
        <v>0</v>
      </c>
      <c r="O382" s="84">
        <f t="shared" si="43"/>
        <v>0</v>
      </c>
      <c r="P382" s="353"/>
      <c r="Q382" s="342">
        <f t="shared" si="40"/>
        <v>22870</v>
      </c>
      <c r="R382" s="36">
        <f t="shared" si="47"/>
        <v>0</v>
      </c>
      <c r="S382" s="84">
        <f t="shared" si="48"/>
        <v>22870</v>
      </c>
    </row>
    <row r="383" spans="2:19" x14ac:dyDescent="0.2">
      <c r="B383" s="83">
        <f t="shared" si="45"/>
        <v>57</v>
      </c>
      <c r="C383" s="7"/>
      <c r="D383" s="7"/>
      <c r="E383" s="7"/>
      <c r="F383" s="25" t="s">
        <v>157</v>
      </c>
      <c r="G383" s="7">
        <v>630</v>
      </c>
      <c r="H383" s="7" t="s">
        <v>132</v>
      </c>
      <c r="I383" s="23">
        <f>I387+I385+I384+I386</f>
        <v>13870</v>
      </c>
      <c r="J383" s="23"/>
      <c r="K383" s="86">
        <f t="shared" si="42"/>
        <v>13870</v>
      </c>
      <c r="L383" s="355"/>
      <c r="M383" s="344"/>
      <c r="N383" s="246"/>
      <c r="O383" s="86">
        <f t="shared" si="43"/>
        <v>0</v>
      </c>
      <c r="P383" s="355"/>
      <c r="Q383" s="344">
        <f t="shared" si="40"/>
        <v>13870</v>
      </c>
      <c r="R383" s="23">
        <f t="shared" si="47"/>
        <v>0</v>
      </c>
      <c r="S383" s="86">
        <f t="shared" si="48"/>
        <v>13870</v>
      </c>
    </row>
    <row r="384" spans="2:19" x14ac:dyDescent="0.2">
      <c r="B384" s="83">
        <f t="shared" si="45"/>
        <v>58</v>
      </c>
      <c r="C384" s="7"/>
      <c r="D384" s="7"/>
      <c r="E384" s="7"/>
      <c r="F384" s="26" t="s">
        <v>157</v>
      </c>
      <c r="G384" s="3">
        <v>633</v>
      </c>
      <c r="H384" s="3" t="s">
        <v>623</v>
      </c>
      <c r="I384" s="19">
        <v>3000</v>
      </c>
      <c r="J384" s="19"/>
      <c r="K384" s="87">
        <f t="shared" si="42"/>
        <v>3000</v>
      </c>
      <c r="L384" s="356"/>
      <c r="M384" s="345"/>
      <c r="N384" s="208"/>
      <c r="O384" s="87">
        <f t="shared" si="43"/>
        <v>0</v>
      </c>
      <c r="P384" s="356"/>
      <c r="Q384" s="345">
        <f t="shared" si="40"/>
        <v>3000</v>
      </c>
      <c r="R384" s="19">
        <f t="shared" si="47"/>
        <v>0</v>
      </c>
      <c r="S384" s="87">
        <f t="shared" si="48"/>
        <v>3000</v>
      </c>
    </row>
    <row r="385" spans="2:19" x14ac:dyDescent="0.2">
      <c r="B385" s="83">
        <f t="shared" si="45"/>
        <v>59</v>
      </c>
      <c r="C385" s="3"/>
      <c r="D385" s="3"/>
      <c r="E385" s="3"/>
      <c r="F385" s="26" t="s">
        <v>157</v>
      </c>
      <c r="G385" s="3">
        <v>634</v>
      </c>
      <c r="H385" s="3" t="s">
        <v>143</v>
      </c>
      <c r="I385" s="19">
        <v>2300</v>
      </c>
      <c r="J385" s="19"/>
      <c r="K385" s="87">
        <f t="shared" si="42"/>
        <v>2300</v>
      </c>
      <c r="L385" s="356"/>
      <c r="M385" s="345"/>
      <c r="N385" s="208"/>
      <c r="O385" s="87">
        <f t="shared" si="43"/>
        <v>0</v>
      </c>
      <c r="P385" s="356"/>
      <c r="Q385" s="345">
        <f t="shared" si="40"/>
        <v>2300</v>
      </c>
      <c r="R385" s="19">
        <f t="shared" si="47"/>
        <v>0</v>
      </c>
      <c r="S385" s="87">
        <f t="shared" si="48"/>
        <v>2300</v>
      </c>
    </row>
    <row r="386" spans="2:19" x14ac:dyDescent="0.2">
      <c r="B386" s="83">
        <f t="shared" si="45"/>
        <v>60</v>
      </c>
      <c r="C386" s="3"/>
      <c r="D386" s="3"/>
      <c r="E386" s="3"/>
      <c r="F386" s="26" t="s">
        <v>157</v>
      </c>
      <c r="G386" s="3">
        <v>635</v>
      </c>
      <c r="H386" s="3" t="s">
        <v>624</v>
      </c>
      <c r="I386" s="19">
        <v>1400</v>
      </c>
      <c r="J386" s="19"/>
      <c r="K386" s="87">
        <f t="shared" si="42"/>
        <v>1400</v>
      </c>
      <c r="L386" s="356"/>
      <c r="M386" s="345"/>
      <c r="N386" s="208"/>
      <c r="O386" s="87">
        <f t="shared" si="43"/>
        <v>0</v>
      </c>
      <c r="P386" s="356"/>
      <c r="Q386" s="345">
        <f t="shared" si="40"/>
        <v>1400</v>
      </c>
      <c r="R386" s="19">
        <f t="shared" si="47"/>
        <v>0</v>
      </c>
      <c r="S386" s="87">
        <f t="shared" si="48"/>
        <v>1400</v>
      </c>
    </row>
    <row r="387" spans="2:19" x14ac:dyDescent="0.2">
      <c r="B387" s="83">
        <f t="shared" si="45"/>
        <v>61</v>
      </c>
      <c r="C387" s="3"/>
      <c r="D387" s="3"/>
      <c r="E387" s="3"/>
      <c r="F387" s="26" t="s">
        <v>157</v>
      </c>
      <c r="G387" s="3">
        <v>637</v>
      </c>
      <c r="H387" s="3" t="s">
        <v>133</v>
      </c>
      <c r="I387" s="19">
        <v>7170</v>
      </c>
      <c r="J387" s="19"/>
      <c r="K387" s="87">
        <f t="shared" si="42"/>
        <v>7170</v>
      </c>
      <c r="L387" s="356"/>
      <c r="M387" s="345"/>
      <c r="N387" s="208"/>
      <c r="O387" s="87">
        <f t="shared" si="43"/>
        <v>0</v>
      </c>
      <c r="P387" s="356"/>
      <c r="Q387" s="345">
        <f t="shared" si="40"/>
        <v>7170</v>
      </c>
      <c r="R387" s="19">
        <f t="shared" si="47"/>
        <v>0</v>
      </c>
      <c r="S387" s="87">
        <f t="shared" si="48"/>
        <v>7170</v>
      </c>
    </row>
    <row r="388" spans="2:19" x14ac:dyDescent="0.2">
      <c r="B388" s="83">
        <f t="shared" si="45"/>
        <v>62</v>
      </c>
      <c r="C388" s="7"/>
      <c r="D388" s="7"/>
      <c r="E388" s="7"/>
      <c r="F388" s="25" t="s">
        <v>157</v>
      </c>
      <c r="G388" s="7">
        <v>640</v>
      </c>
      <c r="H388" s="7" t="s">
        <v>140</v>
      </c>
      <c r="I388" s="23">
        <f>I389</f>
        <v>9000</v>
      </c>
      <c r="J388" s="23"/>
      <c r="K388" s="86">
        <f t="shared" si="42"/>
        <v>9000</v>
      </c>
      <c r="L388" s="355"/>
      <c r="M388" s="344"/>
      <c r="N388" s="246"/>
      <c r="O388" s="86">
        <f t="shared" si="43"/>
        <v>0</v>
      </c>
      <c r="P388" s="355"/>
      <c r="Q388" s="344">
        <f t="shared" si="40"/>
        <v>9000</v>
      </c>
      <c r="R388" s="23">
        <f t="shared" si="47"/>
        <v>0</v>
      </c>
      <c r="S388" s="86">
        <f t="shared" si="48"/>
        <v>9000</v>
      </c>
    </row>
    <row r="389" spans="2:19" x14ac:dyDescent="0.2">
      <c r="B389" s="83">
        <f t="shared" si="45"/>
        <v>63</v>
      </c>
      <c r="C389" s="3"/>
      <c r="D389" s="3"/>
      <c r="E389" s="3"/>
      <c r="F389" s="26" t="s">
        <v>157</v>
      </c>
      <c r="G389" s="3">
        <v>642</v>
      </c>
      <c r="H389" s="3" t="s">
        <v>141</v>
      </c>
      <c r="I389" s="19">
        <f>SUM(I390:I392)</f>
        <v>9000</v>
      </c>
      <c r="J389" s="19"/>
      <c r="K389" s="87">
        <f t="shared" si="42"/>
        <v>9000</v>
      </c>
      <c r="L389" s="356"/>
      <c r="M389" s="345"/>
      <c r="N389" s="208"/>
      <c r="O389" s="87">
        <f t="shared" si="43"/>
        <v>0</v>
      </c>
      <c r="P389" s="356"/>
      <c r="Q389" s="345">
        <f t="shared" si="40"/>
        <v>9000</v>
      </c>
      <c r="R389" s="19">
        <f t="shared" si="47"/>
        <v>0</v>
      </c>
      <c r="S389" s="87">
        <f t="shared" si="48"/>
        <v>9000</v>
      </c>
    </row>
    <row r="390" spans="2:19" x14ac:dyDescent="0.2">
      <c r="B390" s="83">
        <f t="shared" si="45"/>
        <v>64</v>
      </c>
      <c r="C390" s="4"/>
      <c r="D390" s="4"/>
      <c r="E390" s="4"/>
      <c r="F390" s="27"/>
      <c r="G390" s="4"/>
      <c r="H390" s="4" t="s">
        <v>15</v>
      </c>
      <c r="I390" s="21">
        <v>4000</v>
      </c>
      <c r="J390" s="21"/>
      <c r="K390" s="88">
        <f t="shared" si="42"/>
        <v>4000</v>
      </c>
      <c r="L390" s="357"/>
      <c r="M390" s="346"/>
      <c r="N390" s="247"/>
      <c r="O390" s="88">
        <f t="shared" si="43"/>
        <v>0</v>
      </c>
      <c r="P390" s="357"/>
      <c r="Q390" s="346">
        <f t="shared" si="40"/>
        <v>4000</v>
      </c>
      <c r="R390" s="21">
        <f t="shared" si="47"/>
        <v>0</v>
      </c>
      <c r="S390" s="88">
        <f t="shared" si="48"/>
        <v>4000</v>
      </c>
    </row>
    <row r="391" spans="2:19" x14ac:dyDescent="0.2">
      <c r="B391" s="83">
        <f t="shared" si="45"/>
        <v>65</v>
      </c>
      <c r="C391" s="4"/>
      <c r="D391" s="4"/>
      <c r="E391" s="4"/>
      <c r="F391" s="27"/>
      <c r="G391" s="4"/>
      <c r="H391" s="4" t="s">
        <v>16</v>
      </c>
      <c r="I391" s="21">
        <v>4000</v>
      </c>
      <c r="J391" s="21"/>
      <c r="K391" s="88">
        <f t="shared" si="42"/>
        <v>4000</v>
      </c>
      <c r="L391" s="357"/>
      <c r="M391" s="346"/>
      <c r="N391" s="247"/>
      <c r="O391" s="88">
        <f t="shared" si="43"/>
        <v>0</v>
      </c>
      <c r="P391" s="357"/>
      <c r="Q391" s="346">
        <f t="shared" ref="Q391:Q392" si="49">I391+M391</f>
        <v>4000</v>
      </c>
      <c r="R391" s="21">
        <f t="shared" si="47"/>
        <v>0</v>
      </c>
      <c r="S391" s="88">
        <f t="shared" si="48"/>
        <v>4000</v>
      </c>
    </row>
    <row r="392" spans="2:19" ht="13.5" thickBot="1" x14ac:dyDescent="0.25">
      <c r="B392" s="89">
        <f t="shared" si="45"/>
        <v>66</v>
      </c>
      <c r="C392" s="95"/>
      <c r="D392" s="95"/>
      <c r="E392" s="95"/>
      <c r="F392" s="96"/>
      <c r="G392" s="95"/>
      <c r="H392" s="95" t="s">
        <v>17</v>
      </c>
      <c r="I392" s="98">
        <v>1000</v>
      </c>
      <c r="J392" s="98"/>
      <c r="K392" s="99">
        <f t="shared" ref="K392" si="50">J392+I392</f>
        <v>1000</v>
      </c>
      <c r="L392" s="361"/>
      <c r="M392" s="350"/>
      <c r="N392" s="250"/>
      <c r="O392" s="99">
        <f t="shared" ref="O392" si="51">N392+M392</f>
        <v>0</v>
      </c>
      <c r="P392" s="361"/>
      <c r="Q392" s="350">
        <f t="shared" si="49"/>
        <v>1000</v>
      </c>
      <c r="R392" s="98">
        <f t="shared" si="47"/>
        <v>0</v>
      </c>
      <c r="S392" s="99">
        <f t="shared" si="48"/>
        <v>1000</v>
      </c>
    </row>
    <row r="428" spans="2:19" ht="27.75" thickBot="1" x14ac:dyDescent="0.4">
      <c r="B428" s="455" t="s">
        <v>27</v>
      </c>
      <c r="C428" s="456"/>
      <c r="D428" s="456"/>
      <c r="E428" s="456"/>
      <c r="F428" s="456"/>
      <c r="G428" s="456"/>
      <c r="H428" s="456"/>
      <c r="I428" s="456"/>
      <c r="J428" s="456"/>
      <c r="K428" s="456"/>
      <c r="L428" s="456"/>
      <c r="M428" s="456"/>
      <c r="N428" s="456"/>
      <c r="O428" s="456"/>
      <c r="P428" s="456"/>
      <c r="Q428" s="456"/>
    </row>
    <row r="429" spans="2:19" ht="13.5" customHeight="1" thickBot="1" x14ac:dyDescent="0.25">
      <c r="B429" s="452" t="s">
        <v>359</v>
      </c>
      <c r="C429" s="453"/>
      <c r="D429" s="453"/>
      <c r="E429" s="453"/>
      <c r="F429" s="453"/>
      <c r="G429" s="453"/>
      <c r="H429" s="453"/>
      <c r="I429" s="453"/>
      <c r="J429" s="453"/>
      <c r="K429" s="453"/>
      <c r="L429" s="453"/>
      <c r="M429" s="453"/>
      <c r="N429" s="453"/>
      <c r="O429" s="454"/>
      <c r="P429" s="339"/>
      <c r="Q429" s="457" t="s">
        <v>667</v>
      </c>
      <c r="R429" s="488" t="s">
        <v>668</v>
      </c>
      <c r="S429" s="491" t="s">
        <v>669</v>
      </c>
    </row>
    <row r="430" spans="2:19" ht="13.5" customHeight="1" thickBot="1" x14ac:dyDescent="0.25">
      <c r="B430" s="466"/>
      <c r="C430" s="460" t="s">
        <v>125</v>
      </c>
      <c r="D430" s="460" t="s">
        <v>126</v>
      </c>
      <c r="E430" s="460"/>
      <c r="F430" s="460" t="s">
        <v>127</v>
      </c>
      <c r="G430" s="470" t="s">
        <v>128</v>
      </c>
      <c r="H430" s="473" t="s">
        <v>129</v>
      </c>
      <c r="I430" s="463" t="s">
        <v>670</v>
      </c>
      <c r="J430" s="495" t="s">
        <v>668</v>
      </c>
      <c r="K430" s="491" t="s">
        <v>671</v>
      </c>
      <c r="L430" s="53"/>
      <c r="M430" s="474" t="s">
        <v>672</v>
      </c>
      <c r="N430" s="488" t="s">
        <v>668</v>
      </c>
      <c r="O430" s="491" t="s">
        <v>671</v>
      </c>
      <c r="P430" s="53"/>
      <c r="Q430" s="458"/>
      <c r="R430" s="489"/>
      <c r="S430" s="492"/>
    </row>
    <row r="431" spans="2:19" ht="13.5" thickBot="1" x14ac:dyDescent="0.25">
      <c r="B431" s="466"/>
      <c r="C431" s="461"/>
      <c r="D431" s="461"/>
      <c r="E431" s="461"/>
      <c r="F431" s="461"/>
      <c r="G431" s="471"/>
      <c r="H431" s="473"/>
      <c r="I431" s="463"/>
      <c r="J431" s="495"/>
      <c r="K431" s="492"/>
      <c r="L431" s="53"/>
      <c r="M431" s="475"/>
      <c r="N431" s="489"/>
      <c r="O431" s="492"/>
      <c r="P431" s="53"/>
      <c r="Q431" s="458"/>
      <c r="R431" s="489"/>
      <c r="S431" s="492"/>
    </row>
    <row r="432" spans="2:19" ht="13.5" thickBot="1" x14ac:dyDescent="0.25">
      <c r="B432" s="466"/>
      <c r="C432" s="461"/>
      <c r="D432" s="461"/>
      <c r="E432" s="461"/>
      <c r="F432" s="461"/>
      <c r="G432" s="471"/>
      <c r="H432" s="473"/>
      <c r="I432" s="463"/>
      <c r="J432" s="495"/>
      <c r="K432" s="492"/>
      <c r="L432" s="53"/>
      <c r="M432" s="475"/>
      <c r="N432" s="489"/>
      <c r="O432" s="492"/>
      <c r="P432" s="53"/>
      <c r="Q432" s="458"/>
      <c r="R432" s="489"/>
      <c r="S432" s="492"/>
    </row>
    <row r="433" spans="2:19" ht="13.5" thickBot="1" x14ac:dyDescent="0.25">
      <c r="B433" s="466"/>
      <c r="C433" s="462"/>
      <c r="D433" s="462"/>
      <c r="E433" s="462"/>
      <c r="F433" s="462"/>
      <c r="G433" s="472"/>
      <c r="H433" s="473"/>
      <c r="I433" s="464"/>
      <c r="J433" s="496"/>
      <c r="K433" s="493"/>
      <c r="L433" s="53"/>
      <c r="M433" s="476"/>
      <c r="N433" s="490"/>
      <c r="O433" s="493"/>
      <c r="P433" s="53"/>
      <c r="Q433" s="459"/>
      <c r="R433" s="490"/>
      <c r="S433" s="493"/>
    </row>
    <row r="434" spans="2:19" ht="16.5" thickTop="1" x14ac:dyDescent="0.2">
      <c r="B434" s="83">
        <v>1</v>
      </c>
      <c r="C434" s="477" t="s">
        <v>27</v>
      </c>
      <c r="D434" s="482"/>
      <c r="E434" s="482"/>
      <c r="F434" s="482"/>
      <c r="G434" s="482"/>
      <c r="H434" s="483"/>
      <c r="I434" s="35">
        <f>I469+I439+I435</f>
        <v>4321400</v>
      </c>
      <c r="J434" s="35">
        <f>J469+J439+J435</f>
        <v>0</v>
      </c>
      <c r="K434" s="93">
        <f>J434+I434</f>
        <v>4321400</v>
      </c>
      <c r="L434" s="360"/>
      <c r="M434" s="348">
        <f>M435+M439+M469</f>
        <v>7406356</v>
      </c>
      <c r="N434" s="35">
        <f>N435+N439+N469</f>
        <v>-6000</v>
      </c>
      <c r="O434" s="93">
        <f>N434+M434</f>
        <v>7400356</v>
      </c>
      <c r="P434" s="360"/>
      <c r="Q434" s="348">
        <f t="shared" ref="Q434:Q496" si="52">I434+M434</f>
        <v>11727756</v>
      </c>
      <c r="R434" s="35">
        <f t="shared" ref="R434:R470" si="53">J434+N434</f>
        <v>-6000</v>
      </c>
      <c r="S434" s="93">
        <f>K434+O434</f>
        <v>11721756</v>
      </c>
    </row>
    <row r="435" spans="2:19" ht="15" x14ac:dyDescent="0.2">
      <c r="B435" s="83">
        <f>B434+1</f>
        <v>2</v>
      </c>
      <c r="C435" s="239">
        <v>1</v>
      </c>
      <c r="D435" s="444" t="s">
        <v>257</v>
      </c>
      <c r="E435" s="445"/>
      <c r="F435" s="445"/>
      <c r="G435" s="445"/>
      <c r="H435" s="446"/>
      <c r="I435" s="36">
        <f>I436</f>
        <v>2090000</v>
      </c>
      <c r="J435" s="36"/>
      <c r="K435" s="84">
        <f t="shared" ref="K435:K498" si="54">J435+I435</f>
        <v>2090000</v>
      </c>
      <c r="L435" s="353"/>
      <c r="M435" s="342">
        <v>0</v>
      </c>
      <c r="N435" s="244"/>
      <c r="O435" s="84">
        <f t="shared" ref="O435:O498" si="55">N435+M435</f>
        <v>0</v>
      </c>
      <c r="P435" s="353"/>
      <c r="Q435" s="342">
        <f t="shared" si="52"/>
        <v>2090000</v>
      </c>
      <c r="R435" s="36">
        <f t="shared" si="53"/>
        <v>0</v>
      </c>
      <c r="S435" s="84">
        <f t="shared" ref="S435:S470" si="56">K435+O435</f>
        <v>2090000</v>
      </c>
    </row>
    <row r="436" spans="2:19" x14ac:dyDescent="0.2">
      <c r="B436" s="83">
        <f t="shared" ref="B436:B498" si="57">B435+1</f>
        <v>3</v>
      </c>
      <c r="C436" s="7"/>
      <c r="D436" s="7"/>
      <c r="E436" s="7"/>
      <c r="F436" s="25" t="s">
        <v>235</v>
      </c>
      <c r="G436" s="7">
        <v>630</v>
      </c>
      <c r="H436" s="7" t="s">
        <v>132</v>
      </c>
      <c r="I436" s="23">
        <f>I437+I438</f>
        <v>2090000</v>
      </c>
      <c r="J436" s="23"/>
      <c r="K436" s="86">
        <f t="shared" si="54"/>
        <v>2090000</v>
      </c>
      <c r="L436" s="355"/>
      <c r="M436" s="344"/>
      <c r="N436" s="246"/>
      <c r="O436" s="86">
        <f t="shared" si="55"/>
        <v>0</v>
      </c>
      <c r="P436" s="355"/>
      <c r="Q436" s="344">
        <f>I436+M436</f>
        <v>2090000</v>
      </c>
      <c r="R436" s="23">
        <f t="shared" si="53"/>
        <v>0</v>
      </c>
      <c r="S436" s="86">
        <f t="shared" si="56"/>
        <v>2090000</v>
      </c>
    </row>
    <row r="437" spans="2:19" x14ac:dyDescent="0.2">
      <c r="B437" s="83">
        <f t="shared" si="57"/>
        <v>4</v>
      </c>
      <c r="C437" s="3"/>
      <c r="D437" s="3"/>
      <c r="E437" s="3"/>
      <c r="F437" s="26" t="s">
        <v>235</v>
      </c>
      <c r="G437" s="3">
        <v>637</v>
      </c>
      <c r="H437" s="3" t="s">
        <v>133</v>
      </c>
      <c r="I437" s="19">
        <v>2075000</v>
      </c>
      <c r="J437" s="19"/>
      <c r="K437" s="87">
        <f t="shared" si="54"/>
        <v>2075000</v>
      </c>
      <c r="L437" s="356"/>
      <c r="M437" s="345"/>
      <c r="N437" s="208"/>
      <c r="O437" s="87">
        <f t="shared" si="55"/>
        <v>0</v>
      </c>
      <c r="P437" s="356"/>
      <c r="Q437" s="345">
        <f t="shared" si="52"/>
        <v>2075000</v>
      </c>
      <c r="R437" s="19">
        <f>J437+N437</f>
        <v>0</v>
      </c>
      <c r="S437" s="87">
        <f t="shared" si="56"/>
        <v>2075000</v>
      </c>
    </row>
    <row r="438" spans="2:19" x14ac:dyDescent="0.2">
      <c r="B438" s="83">
        <f t="shared" si="57"/>
        <v>5</v>
      </c>
      <c r="C438" s="3"/>
      <c r="D438" s="3"/>
      <c r="E438" s="3"/>
      <c r="F438" s="26" t="s">
        <v>235</v>
      </c>
      <c r="G438" s="3">
        <v>637</v>
      </c>
      <c r="H438" s="3" t="s">
        <v>581</v>
      </c>
      <c r="I438" s="19">
        <v>15000</v>
      </c>
      <c r="J438" s="19"/>
      <c r="K438" s="87">
        <f t="shared" si="54"/>
        <v>15000</v>
      </c>
      <c r="L438" s="356"/>
      <c r="M438" s="345"/>
      <c r="N438" s="208"/>
      <c r="O438" s="87">
        <f t="shared" si="55"/>
        <v>0</v>
      </c>
      <c r="P438" s="356"/>
      <c r="Q438" s="345">
        <f t="shared" si="52"/>
        <v>15000</v>
      </c>
      <c r="R438" s="19">
        <f t="shared" si="53"/>
        <v>0</v>
      </c>
      <c r="S438" s="87">
        <f t="shared" si="56"/>
        <v>15000</v>
      </c>
    </row>
    <row r="439" spans="2:19" ht="15" x14ac:dyDescent="0.2">
      <c r="B439" s="83">
        <f t="shared" si="57"/>
        <v>6</v>
      </c>
      <c r="C439" s="239">
        <v>2</v>
      </c>
      <c r="D439" s="444" t="s">
        <v>300</v>
      </c>
      <c r="E439" s="445"/>
      <c r="F439" s="445"/>
      <c r="G439" s="445"/>
      <c r="H439" s="446"/>
      <c r="I439" s="36">
        <f>I440+I459</f>
        <v>2231400</v>
      </c>
      <c r="J439" s="36">
        <f>J440+J459</f>
        <v>0</v>
      </c>
      <c r="K439" s="84">
        <f t="shared" si="54"/>
        <v>2231400</v>
      </c>
      <c r="L439" s="353"/>
      <c r="M439" s="342">
        <f>M440+M459</f>
        <v>100000</v>
      </c>
      <c r="N439" s="244"/>
      <c r="O439" s="84">
        <f t="shared" si="55"/>
        <v>100000</v>
      </c>
      <c r="P439" s="353"/>
      <c r="Q439" s="342">
        <f t="shared" si="52"/>
        <v>2331400</v>
      </c>
      <c r="R439" s="36">
        <f t="shared" si="53"/>
        <v>0</v>
      </c>
      <c r="S439" s="84">
        <f t="shared" si="56"/>
        <v>2331400</v>
      </c>
    </row>
    <row r="440" spans="2:19" ht="15" x14ac:dyDescent="0.25">
      <c r="B440" s="83">
        <f t="shared" si="57"/>
        <v>7</v>
      </c>
      <c r="C440" s="240"/>
      <c r="D440" s="240">
        <v>1</v>
      </c>
      <c r="E440" s="467" t="s">
        <v>308</v>
      </c>
      <c r="F440" s="445"/>
      <c r="G440" s="445"/>
      <c r="H440" s="446"/>
      <c r="I440" s="37">
        <f>I441+I448</f>
        <v>1773400</v>
      </c>
      <c r="J440" s="37"/>
      <c r="K440" s="85">
        <f t="shared" si="54"/>
        <v>1773400</v>
      </c>
      <c r="L440" s="354"/>
      <c r="M440" s="343">
        <v>0</v>
      </c>
      <c r="N440" s="245"/>
      <c r="O440" s="85">
        <f t="shared" si="55"/>
        <v>0</v>
      </c>
      <c r="P440" s="354"/>
      <c r="Q440" s="343">
        <f t="shared" si="52"/>
        <v>1773400</v>
      </c>
      <c r="R440" s="37">
        <f t="shared" si="53"/>
        <v>0</v>
      </c>
      <c r="S440" s="85">
        <f t="shared" si="56"/>
        <v>1773400</v>
      </c>
    </row>
    <row r="441" spans="2:19" x14ac:dyDescent="0.2">
      <c r="B441" s="83">
        <f t="shared" si="57"/>
        <v>8</v>
      </c>
      <c r="C441" s="7"/>
      <c r="D441" s="7"/>
      <c r="E441" s="7"/>
      <c r="F441" s="25" t="s">
        <v>235</v>
      </c>
      <c r="G441" s="7">
        <v>630</v>
      </c>
      <c r="H441" s="7" t="s">
        <v>132</v>
      </c>
      <c r="I441" s="23">
        <f>SUM(I442:I447)</f>
        <v>965800</v>
      </c>
      <c r="J441" s="23"/>
      <c r="K441" s="86">
        <f t="shared" si="54"/>
        <v>965800</v>
      </c>
      <c r="L441" s="355"/>
      <c r="M441" s="344"/>
      <c r="N441" s="246"/>
      <c r="O441" s="86">
        <f t="shared" si="55"/>
        <v>0</v>
      </c>
      <c r="P441" s="355"/>
      <c r="Q441" s="344">
        <f t="shared" si="52"/>
        <v>965800</v>
      </c>
      <c r="R441" s="23">
        <f t="shared" si="53"/>
        <v>0</v>
      </c>
      <c r="S441" s="86">
        <f t="shared" si="56"/>
        <v>965800</v>
      </c>
    </row>
    <row r="442" spans="2:19" x14ac:dyDescent="0.2">
      <c r="B442" s="83">
        <f t="shared" si="57"/>
        <v>9</v>
      </c>
      <c r="C442" s="3"/>
      <c r="D442" s="3"/>
      <c r="E442" s="3"/>
      <c r="F442" s="26" t="s">
        <v>235</v>
      </c>
      <c r="G442" s="3">
        <v>635</v>
      </c>
      <c r="H442" s="3" t="s">
        <v>144</v>
      </c>
      <c r="I442" s="19">
        <f>760000+30000-20000</f>
        <v>770000</v>
      </c>
      <c r="J442" s="19"/>
      <c r="K442" s="87">
        <f t="shared" si="54"/>
        <v>770000</v>
      </c>
      <c r="L442" s="356"/>
      <c r="M442" s="345"/>
      <c r="N442" s="208"/>
      <c r="O442" s="87">
        <f t="shared" si="55"/>
        <v>0</v>
      </c>
      <c r="P442" s="356"/>
      <c r="Q442" s="345">
        <f t="shared" si="52"/>
        <v>770000</v>
      </c>
      <c r="R442" s="19">
        <f t="shared" si="53"/>
        <v>0</v>
      </c>
      <c r="S442" s="87">
        <f t="shared" si="56"/>
        <v>770000</v>
      </c>
    </row>
    <row r="443" spans="2:19" x14ac:dyDescent="0.2">
      <c r="B443" s="83">
        <f t="shared" si="57"/>
        <v>10</v>
      </c>
      <c r="C443" s="3"/>
      <c r="D443" s="3"/>
      <c r="E443" s="3"/>
      <c r="F443" s="26" t="s">
        <v>235</v>
      </c>
      <c r="G443" s="3">
        <v>635</v>
      </c>
      <c r="H443" s="3" t="s">
        <v>478</v>
      </c>
      <c r="I443" s="19">
        <v>15000</v>
      </c>
      <c r="J443" s="19"/>
      <c r="K443" s="87">
        <f t="shared" si="54"/>
        <v>15000</v>
      </c>
      <c r="L443" s="356"/>
      <c r="M443" s="345"/>
      <c r="N443" s="208"/>
      <c r="O443" s="87">
        <f t="shared" si="55"/>
        <v>0</v>
      </c>
      <c r="P443" s="356"/>
      <c r="Q443" s="345">
        <f t="shared" si="52"/>
        <v>15000</v>
      </c>
      <c r="R443" s="19">
        <f t="shared" si="53"/>
        <v>0</v>
      </c>
      <c r="S443" s="87">
        <f t="shared" si="56"/>
        <v>15000</v>
      </c>
    </row>
    <row r="444" spans="2:19" x14ac:dyDescent="0.2">
      <c r="B444" s="83">
        <f t="shared" si="57"/>
        <v>11</v>
      </c>
      <c r="C444" s="3"/>
      <c r="D444" s="3"/>
      <c r="E444" s="3"/>
      <c r="F444" s="26" t="s">
        <v>235</v>
      </c>
      <c r="G444" s="3">
        <v>635</v>
      </c>
      <c r="H444" s="51" t="s">
        <v>620</v>
      </c>
      <c r="I444" s="19">
        <f>210000-12000-93000+30000</f>
        <v>135000</v>
      </c>
      <c r="J444" s="19"/>
      <c r="K444" s="87">
        <f t="shared" si="54"/>
        <v>135000</v>
      </c>
      <c r="L444" s="356"/>
      <c r="M444" s="345"/>
      <c r="N444" s="208"/>
      <c r="O444" s="87">
        <f t="shared" si="55"/>
        <v>0</v>
      </c>
      <c r="P444" s="356"/>
      <c r="Q444" s="345">
        <f t="shared" si="52"/>
        <v>135000</v>
      </c>
      <c r="R444" s="19">
        <f t="shared" si="53"/>
        <v>0</v>
      </c>
      <c r="S444" s="87">
        <f t="shared" si="56"/>
        <v>135000</v>
      </c>
    </row>
    <row r="445" spans="2:19" x14ac:dyDescent="0.2">
      <c r="B445" s="83">
        <f t="shared" si="57"/>
        <v>12</v>
      </c>
      <c r="C445" s="3"/>
      <c r="D445" s="3"/>
      <c r="E445" s="3"/>
      <c r="F445" s="26" t="s">
        <v>235</v>
      </c>
      <c r="G445" s="3">
        <v>635</v>
      </c>
      <c r="H445" s="3" t="s">
        <v>524</v>
      </c>
      <c r="I445" s="19">
        <v>20000</v>
      </c>
      <c r="J445" s="19"/>
      <c r="K445" s="87">
        <f t="shared" si="54"/>
        <v>20000</v>
      </c>
      <c r="L445" s="356"/>
      <c r="M445" s="345"/>
      <c r="N445" s="208"/>
      <c r="O445" s="87">
        <f t="shared" si="55"/>
        <v>0</v>
      </c>
      <c r="P445" s="356"/>
      <c r="Q445" s="345">
        <f t="shared" si="52"/>
        <v>20000</v>
      </c>
      <c r="R445" s="19">
        <f t="shared" si="53"/>
        <v>0</v>
      </c>
      <c r="S445" s="87">
        <f t="shared" si="56"/>
        <v>20000</v>
      </c>
    </row>
    <row r="446" spans="2:19" x14ac:dyDescent="0.2">
      <c r="B446" s="83">
        <f t="shared" si="57"/>
        <v>13</v>
      </c>
      <c r="C446" s="3"/>
      <c r="D446" s="3"/>
      <c r="E446" s="3"/>
      <c r="F446" s="26" t="s">
        <v>235</v>
      </c>
      <c r="G446" s="3">
        <v>636</v>
      </c>
      <c r="H446" s="3" t="s">
        <v>137</v>
      </c>
      <c r="I446" s="19">
        <v>3000</v>
      </c>
      <c r="J446" s="19"/>
      <c r="K446" s="87">
        <f t="shared" si="54"/>
        <v>3000</v>
      </c>
      <c r="L446" s="356"/>
      <c r="M446" s="345"/>
      <c r="N446" s="208"/>
      <c r="O446" s="87">
        <f t="shared" si="55"/>
        <v>0</v>
      </c>
      <c r="P446" s="356"/>
      <c r="Q446" s="345">
        <f t="shared" si="52"/>
        <v>3000</v>
      </c>
      <c r="R446" s="19">
        <f t="shared" si="53"/>
        <v>0</v>
      </c>
      <c r="S446" s="87">
        <f t="shared" si="56"/>
        <v>3000</v>
      </c>
    </row>
    <row r="447" spans="2:19" x14ac:dyDescent="0.2">
      <c r="B447" s="83">
        <f t="shared" si="57"/>
        <v>14</v>
      </c>
      <c r="C447" s="3"/>
      <c r="D447" s="3"/>
      <c r="E447" s="3"/>
      <c r="F447" s="26" t="s">
        <v>235</v>
      </c>
      <c r="G447" s="3">
        <v>637</v>
      </c>
      <c r="H447" s="3" t="s">
        <v>133</v>
      </c>
      <c r="I447" s="19">
        <v>22800</v>
      </c>
      <c r="J447" s="19"/>
      <c r="K447" s="87">
        <f t="shared" si="54"/>
        <v>22800</v>
      </c>
      <c r="L447" s="356"/>
      <c r="M447" s="345"/>
      <c r="N447" s="208"/>
      <c r="O447" s="87">
        <f t="shared" si="55"/>
        <v>0</v>
      </c>
      <c r="P447" s="356"/>
      <c r="Q447" s="345">
        <f t="shared" si="52"/>
        <v>22800</v>
      </c>
      <c r="R447" s="19">
        <f t="shared" si="53"/>
        <v>0</v>
      </c>
      <c r="S447" s="87">
        <f t="shared" si="56"/>
        <v>22800</v>
      </c>
    </row>
    <row r="448" spans="2:19" ht="15" x14ac:dyDescent="0.25">
      <c r="B448" s="83">
        <f t="shared" si="57"/>
        <v>15</v>
      </c>
      <c r="C448" s="10"/>
      <c r="D448" s="10"/>
      <c r="E448" s="10">
        <v>2</v>
      </c>
      <c r="F448" s="28"/>
      <c r="G448" s="10"/>
      <c r="H448" s="10" t="s">
        <v>408</v>
      </c>
      <c r="I448" s="38">
        <f>I449+I450+I451+I458</f>
        <v>807600</v>
      </c>
      <c r="J448" s="38"/>
      <c r="K448" s="94">
        <f t="shared" si="54"/>
        <v>807600</v>
      </c>
      <c r="L448" s="365"/>
      <c r="M448" s="362">
        <v>0</v>
      </c>
      <c r="N448" s="253"/>
      <c r="O448" s="94">
        <f t="shared" si="55"/>
        <v>0</v>
      </c>
      <c r="P448" s="365"/>
      <c r="Q448" s="362">
        <f t="shared" si="52"/>
        <v>807600</v>
      </c>
      <c r="R448" s="38">
        <f t="shared" si="53"/>
        <v>0</v>
      </c>
      <c r="S448" s="94">
        <f t="shared" si="56"/>
        <v>807600</v>
      </c>
    </row>
    <row r="449" spans="2:19" x14ac:dyDescent="0.2">
      <c r="B449" s="83">
        <f t="shared" si="57"/>
        <v>16</v>
      </c>
      <c r="C449" s="7"/>
      <c r="D449" s="7"/>
      <c r="E449" s="7"/>
      <c r="F449" s="25" t="s">
        <v>235</v>
      </c>
      <c r="G449" s="7">
        <v>610</v>
      </c>
      <c r="H449" s="7" t="s">
        <v>142</v>
      </c>
      <c r="I449" s="23">
        <v>50795</v>
      </c>
      <c r="J449" s="23"/>
      <c r="K449" s="86">
        <f t="shared" si="54"/>
        <v>50795</v>
      </c>
      <c r="L449" s="355"/>
      <c r="M449" s="344"/>
      <c r="N449" s="246"/>
      <c r="O449" s="86">
        <f t="shared" si="55"/>
        <v>0</v>
      </c>
      <c r="P449" s="355"/>
      <c r="Q449" s="344">
        <f t="shared" si="52"/>
        <v>50795</v>
      </c>
      <c r="R449" s="23">
        <f t="shared" si="53"/>
        <v>0</v>
      </c>
      <c r="S449" s="86">
        <f t="shared" si="56"/>
        <v>50795</v>
      </c>
    </row>
    <row r="450" spans="2:19" x14ac:dyDescent="0.2">
      <c r="B450" s="83">
        <f t="shared" si="57"/>
        <v>17</v>
      </c>
      <c r="C450" s="7"/>
      <c r="D450" s="7"/>
      <c r="E450" s="7"/>
      <c r="F450" s="25" t="s">
        <v>235</v>
      </c>
      <c r="G450" s="7">
        <v>620</v>
      </c>
      <c r="H450" s="7" t="s">
        <v>135</v>
      </c>
      <c r="I450" s="23">
        <v>21860</v>
      </c>
      <c r="J450" s="23"/>
      <c r="K450" s="86">
        <f t="shared" si="54"/>
        <v>21860</v>
      </c>
      <c r="L450" s="355"/>
      <c r="M450" s="344"/>
      <c r="N450" s="246"/>
      <c r="O450" s="86">
        <f t="shared" si="55"/>
        <v>0</v>
      </c>
      <c r="P450" s="355"/>
      <c r="Q450" s="344">
        <f t="shared" si="52"/>
        <v>21860</v>
      </c>
      <c r="R450" s="23">
        <f t="shared" si="53"/>
        <v>0</v>
      </c>
      <c r="S450" s="86">
        <f t="shared" si="56"/>
        <v>21860</v>
      </c>
    </row>
    <row r="451" spans="2:19" x14ac:dyDescent="0.2">
      <c r="B451" s="83">
        <f t="shared" si="57"/>
        <v>18</v>
      </c>
      <c r="C451" s="7"/>
      <c r="D451" s="7"/>
      <c r="E451" s="7"/>
      <c r="F451" s="25" t="s">
        <v>235</v>
      </c>
      <c r="G451" s="7">
        <v>630</v>
      </c>
      <c r="H451" s="7" t="s">
        <v>132</v>
      </c>
      <c r="I451" s="23">
        <f>SUM(I452:I457)</f>
        <v>734595</v>
      </c>
      <c r="J451" s="23"/>
      <c r="K451" s="86">
        <f t="shared" si="54"/>
        <v>734595</v>
      </c>
      <c r="L451" s="355"/>
      <c r="M451" s="344"/>
      <c r="N451" s="246"/>
      <c r="O451" s="86">
        <f t="shared" si="55"/>
        <v>0</v>
      </c>
      <c r="P451" s="355"/>
      <c r="Q451" s="344">
        <f t="shared" si="52"/>
        <v>734595</v>
      </c>
      <c r="R451" s="23">
        <f t="shared" si="53"/>
        <v>0</v>
      </c>
      <c r="S451" s="86">
        <f t="shared" si="56"/>
        <v>734595</v>
      </c>
    </row>
    <row r="452" spans="2:19" x14ac:dyDescent="0.2">
      <c r="B452" s="83">
        <f t="shared" si="57"/>
        <v>19</v>
      </c>
      <c r="C452" s="3"/>
      <c r="D452" s="3"/>
      <c r="E452" s="3"/>
      <c r="F452" s="26" t="s">
        <v>235</v>
      </c>
      <c r="G452" s="3">
        <v>633</v>
      </c>
      <c r="H452" s="3" t="s">
        <v>136</v>
      </c>
      <c r="I452" s="19">
        <v>23750</v>
      </c>
      <c r="J452" s="19"/>
      <c r="K452" s="87">
        <f t="shared" si="54"/>
        <v>23750</v>
      </c>
      <c r="L452" s="356"/>
      <c r="M452" s="345"/>
      <c r="N452" s="208"/>
      <c r="O452" s="87">
        <f t="shared" si="55"/>
        <v>0</v>
      </c>
      <c r="P452" s="356"/>
      <c r="Q452" s="345">
        <f t="shared" si="52"/>
        <v>23750</v>
      </c>
      <c r="R452" s="19">
        <f t="shared" si="53"/>
        <v>0</v>
      </c>
      <c r="S452" s="87">
        <f t="shared" si="56"/>
        <v>23750</v>
      </c>
    </row>
    <row r="453" spans="2:19" x14ac:dyDescent="0.2">
      <c r="B453" s="83">
        <f t="shared" si="57"/>
        <v>20</v>
      </c>
      <c r="C453" s="3"/>
      <c r="D453" s="3"/>
      <c r="E453" s="3"/>
      <c r="F453" s="26" t="s">
        <v>235</v>
      </c>
      <c r="G453" s="3">
        <v>633</v>
      </c>
      <c r="H453" s="3" t="s">
        <v>600</v>
      </c>
      <c r="I453" s="19">
        <v>10000</v>
      </c>
      <c r="J453" s="19"/>
      <c r="K453" s="87">
        <f t="shared" si="54"/>
        <v>10000</v>
      </c>
      <c r="L453" s="356"/>
      <c r="M453" s="345"/>
      <c r="N453" s="208"/>
      <c r="O453" s="87">
        <f t="shared" si="55"/>
        <v>0</v>
      </c>
      <c r="P453" s="356"/>
      <c r="Q453" s="345">
        <f t="shared" si="52"/>
        <v>10000</v>
      </c>
      <c r="R453" s="19">
        <f t="shared" si="53"/>
        <v>0</v>
      </c>
      <c r="S453" s="87">
        <f t="shared" si="56"/>
        <v>10000</v>
      </c>
    </row>
    <row r="454" spans="2:19" x14ac:dyDescent="0.2">
      <c r="B454" s="83">
        <f t="shared" si="57"/>
        <v>21</v>
      </c>
      <c r="C454" s="3"/>
      <c r="D454" s="3"/>
      <c r="E454" s="3"/>
      <c r="F454" s="26" t="s">
        <v>235</v>
      </c>
      <c r="G454" s="3">
        <v>634</v>
      </c>
      <c r="H454" s="3" t="s">
        <v>143</v>
      </c>
      <c r="I454" s="19">
        <v>17000</v>
      </c>
      <c r="J454" s="19"/>
      <c r="K454" s="87">
        <f t="shared" si="54"/>
        <v>17000</v>
      </c>
      <c r="L454" s="356"/>
      <c r="M454" s="345"/>
      <c r="N454" s="208"/>
      <c r="O454" s="87">
        <f t="shared" si="55"/>
        <v>0</v>
      </c>
      <c r="P454" s="356"/>
      <c r="Q454" s="345">
        <f t="shared" si="52"/>
        <v>17000</v>
      </c>
      <c r="R454" s="19">
        <f t="shared" si="53"/>
        <v>0</v>
      </c>
      <c r="S454" s="87">
        <f t="shared" si="56"/>
        <v>17000</v>
      </c>
    </row>
    <row r="455" spans="2:19" x14ac:dyDescent="0.2">
      <c r="B455" s="83">
        <f t="shared" si="57"/>
        <v>22</v>
      </c>
      <c r="C455" s="3"/>
      <c r="D455" s="3"/>
      <c r="E455" s="3"/>
      <c r="F455" s="26" t="s">
        <v>235</v>
      </c>
      <c r="G455" s="3">
        <v>635</v>
      </c>
      <c r="H455" s="3" t="s">
        <v>144</v>
      </c>
      <c r="I455" s="19">
        <f>1000+645345</f>
        <v>646345</v>
      </c>
      <c r="J455" s="19"/>
      <c r="K455" s="87">
        <f t="shared" si="54"/>
        <v>646345</v>
      </c>
      <c r="L455" s="356"/>
      <c r="M455" s="345"/>
      <c r="N455" s="208"/>
      <c r="O455" s="87">
        <f t="shared" si="55"/>
        <v>0</v>
      </c>
      <c r="P455" s="356"/>
      <c r="Q455" s="345">
        <f t="shared" si="52"/>
        <v>646345</v>
      </c>
      <c r="R455" s="19">
        <f t="shared" si="53"/>
        <v>0</v>
      </c>
      <c r="S455" s="87">
        <f t="shared" si="56"/>
        <v>646345</v>
      </c>
    </row>
    <row r="456" spans="2:19" x14ac:dyDescent="0.2">
      <c r="B456" s="83">
        <f t="shared" si="57"/>
        <v>23</v>
      </c>
      <c r="C456" s="3"/>
      <c r="D456" s="3"/>
      <c r="E456" s="3"/>
      <c r="F456" s="26" t="s">
        <v>235</v>
      </c>
      <c r="G456" s="3">
        <v>635</v>
      </c>
      <c r="H456" s="3" t="s">
        <v>564</v>
      </c>
      <c r="I456" s="19">
        <v>12000</v>
      </c>
      <c r="J456" s="19"/>
      <c r="K456" s="87">
        <f t="shared" si="54"/>
        <v>12000</v>
      </c>
      <c r="L456" s="356"/>
      <c r="M456" s="345"/>
      <c r="N456" s="208"/>
      <c r="O456" s="87">
        <f t="shared" si="55"/>
        <v>0</v>
      </c>
      <c r="P456" s="356"/>
      <c r="Q456" s="345">
        <f t="shared" si="52"/>
        <v>12000</v>
      </c>
      <c r="R456" s="19">
        <f t="shared" si="53"/>
        <v>0</v>
      </c>
      <c r="S456" s="87">
        <f t="shared" si="56"/>
        <v>12000</v>
      </c>
    </row>
    <row r="457" spans="2:19" x14ac:dyDescent="0.2">
      <c r="B457" s="83">
        <f t="shared" si="57"/>
        <v>24</v>
      </c>
      <c r="C457" s="3"/>
      <c r="D457" s="3"/>
      <c r="E457" s="3"/>
      <c r="F457" s="26" t="s">
        <v>235</v>
      </c>
      <c r="G457" s="3">
        <v>637</v>
      </c>
      <c r="H457" s="3" t="s">
        <v>133</v>
      </c>
      <c r="I457" s="19">
        <f>31100-4600-1000</f>
        <v>25500</v>
      </c>
      <c r="J457" s="19"/>
      <c r="K457" s="87">
        <f t="shared" si="54"/>
        <v>25500</v>
      </c>
      <c r="L457" s="356"/>
      <c r="M457" s="345"/>
      <c r="N457" s="208"/>
      <c r="O457" s="87">
        <f t="shared" si="55"/>
        <v>0</v>
      </c>
      <c r="P457" s="356"/>
      <c r="Q457" s="345">
        <f t="shared" si="52"/>
        <v>25500</v>
      </c>
      <c r="R457" s="19">
        <f t="shared" si="53"/>
        <v>0</v>
      </c>
      <c r="S457" s="87">
        <f t="shared" si="56"/>
        <v>25500</v>
      </c>
    </row>
    <row r="458" spans="2:19" x14ac:dyDescent="0.2">
      <c r="B458" s="83">
        <f t="shared" si="57"/>
        <v>25</v>
      </c>
      <c r="C458" s="7"/>
      <c r="D458" s="7"/>
      <c r="E458" s="7"/>
      <c r="F458" s="25" t="s">
        <v>235</v>
      </c>
      <c r="G458" s="7">
        <v>640</v>
      </c>
      <c r="H458" s="7" t="s">
        <v>140</v>
      </c>
      <c r="I458" s="23">
        <v>350</v>
      </c>
      <c r="J458" s="23"/>
      <c r="K458" s="86">
        <f t="shared" si="54"/>
        <v>350</v>
      </c>
      <c r="L458" s="355"/>
      <c r="M458" s="344"/>
      <c r="N458" s="246"/>
      <c r="O458" s="86">
        <f t="shared" si="55"/>
        <v>0</v>
      </c>
      <c r="P458" s="355"/>
      <c r="Q458" s="344">
        <f t="shared" si="52"/>
        <v>350</v>
      </c>
      <c r="R458" s="23">
        <f t="shared" si="53"/>
        <v>0</v>
      </c>
      <c r="S458" s="86">
        <f t="shared" si="56"/>
        <v>350</v>
      </c>
    </row>
    <row r="459" spans="2:19" ht="15" x14ac:dyDescent="0.25">
      <c r="B459" s="83">
        <f t="shared" si="57"/>
        <v>26</v>
      </c>
      <c r="C459" s="240"/>
      <c r="D459" s="240">
        <v>2</v>
      </c>
      <c r="E459" s="467" t="s">
        <v>309</v>
      </c>
      <c r="F459" s="445"/>
      <c r="G459" s="445"/>
      <c r="H459" s="446"/>
      <c r="I459" s="37">
        <f>I460+I466</f>
        <v>458000</v>
      </c>
      <c r="J459" s="37">
        <f>J460+J466</f>
        <v>0</v>
      </c>
      <c r="K459" s="85">
        <f t="shared" si="54"/>
        <v>458000</v>
      </c>
      <c r="L459" s="354"/>
      <c r="M459" s="343">
        <f>M466</f>
        <v>100000</v>
      </c>
      <c r="N459" s="245"/>
      <c r="O459" s="85">
        <f t="shared" si="55"/>
        <v>100000</v>
      </c>
      <c r="P459" s="354"/>
      <c r="Q459" s="343">
        <f t="shared" si="52"/>
        <v>558000</v>
      </c>
      <c r="R459" s="37">
        <f t="shared" si="53"/>
        <v>0</v>
      </c>
      <c r="S459" s="85">
        <f t="shared" si="56"/>
        <v>558000</v>
      </c>
    </row>
    <row r="460" spans="2:19" x14ac:dyDescent="0.2">
      <c r="B460" s="83">
        <f t="shared" si="57"/>
        <v>27</v>
      </c>
      <c r="C460" s="7"/>
      <c r="D460" s="7"/>
      <c r="E460" s="7"/>
      <c r="F460" s="25" t="s">
        <v>235</v>
      </c>
      <c r="G460" s="7">
        <v>630</v>
      </c>
      <c r="H460" s="7" t="s">
        <v>132</v>
      </c>
      <c r="I460" s="23">
        <f>I465+I464+I463+I462+I461</f>
        <v>458000</v>
      </c>
      <c r="J460" s="23">
        <f>J465+J464+J463+J462+J461</f>
        <v>0</v>
      </c>
      <c r="K460" s="86">
        <f t="shared" si="54"/>
        <v>458000</v>
      </c>
      <c r="L460" s="355"/>
      <c r="M460" s="344"/>
      <c r="N460" s="246"/>
      <c r="O460" s="86">
        <f t="shared" si="55"/>
        <v>0</v>
      </c>
      <c r="P460" s="355"/>
      <c r="Q460" s="344">
        <f t="shared" si="52"/>
        <v>458000</v>
      </c>
      <c r="R460" s="23">
        <f t="shared" si="53"/>
        <v>0</v>
      </c>
      <c r="S460" s="86">
        <f t="shared" si="56"/>
        <v>458000</v>
      </c>
    </row>
    <row r="461" spans="2:19" x14ac:dyDescent="0.2">
      <c r="B461" s="83">
        <f t="shared" si="57"/>
        <v>28</v>
      </c>
      <c r="C461" s="3"/>
      <c r="D461" s="3"/>
      <c r="E461" s="3"/>
      <c r="F461" s="26" t="s">
        <v>235</v>
      </c>
      <c r="G461" s="3">
        <v>632</v>
      </c>
      <c r="H461" s="3" t="s">
        <v>145</v>
      </c>
      <c r="I461" s="19">
        <v>102000</v>
      </c>
      <c r="J461" s="19">
        <v>10000</v>
      </c>
      <c r="K461" s="87">
        <f t="shared" si="54"/>
        <v>112000</v>
      </c>
      <c r="L461" s="356"/>
      <c r="M461" s="345"/>
      <c r="N461" s="208"/>
      <c r="O461" s="87">
        <f t="shared" si="55"/>
        <v>0</v>
      </c>
      <c r="P461" s="356"/>
      <c r="Q461" s="345">
        <f t="shared" si="52"/>
        <v>102000</v>
      </c>
      <c r="R461" s="19">
        <f t="shared" si="53"/>
        <v>10000</v>
      </c>
      <c r="S461" s="87">
        <f t="shared" si="56"/>
        <v>112000</v>
      </c>
    </row>
    <row r="462" spans="2:19" x14ac:dyDescent="0.2">
      <c r="B462" s="83">
        <f t="shared" si="57"/>
        <v>29</v>
      </c>
      <c r="C462" s="3"/>
      <c r="D462" s="3"/>
      <c r="E462" s="3"/>
      <c r="F462" s="26" t="s">
        <v>235</v>
      </c>
      <c r="G462" s="3">
        <v>633</v>
      </c>
      <c r="H462" s="3" t="s">
        <v>136</v>
      </c>
      <c r="I462" s="19">
        <f>2500+1000</f>
        <v>3500</v>
      </c>
      <c r="J462" s="19"/>
      <c r="K462" s="87">
        <f t="shared" si="54"/>
        <v>3500</v>
      </c>
      <c r="L462" s="356"/>
      <c r="M462" s="345"/>
      <c r="N462" s="208"/>
      <c r="O462" s="87">
        <f t="shared" si="55"/>
        <v>0</v>
      </c>
      <c r="P462" s="356"/>
      <c r="Q462" s="345">
        <f t="shared" si="52"/>
        <v>3500</v>
      </c>
      <c r="R462" s="19">
        <f t="shared" si="53"/>
        <v>0</v>
      </c>
      <c r="S462" s="87">
        <f t="shared" si="56"/>
        <v>3500</v>
      </c>
    </row>
    <row r="463" spans="2:19" x14ac:dyDescent="0.2">
      <c r="B463" s="83">
        <f t="shared" si="57"/>
        <v>30</v>
      </c>
      <c r="C463" s="3"/>
      <c r="D463" s="3"/>
      <c r="E463" s="3"/>
      <c r="F463" s="26" t="s">
        <v>235</v>
      </c>
      <c r="G463" s="3">
        <v>635</v>
      </c>
      <c r="H463" s="3" t="s">
        <v>144</v>
      </c>
      <c r="I463" s="19">
        <f>210000+130000-13000-7000-15000-10000-1000</f>
        <v>294000</v>
      </c>
      <c r="J463" s="19">
        <v>-10000</v>
      </c>
      <c r="K463" s="87">
        <f t="shared" si="54"/>
        <v>284000</v>
      </c>
      <c r="L463" s="356"/>
      <c r="M463" s="345"/>
      <c r="N463" s="208"/>
      <c r="O463" s="87">
        <f t="shared" si="55"/>
        <v>0</v>
      </c>
      <c r="P463" s="356"/>
      <c r="Q463" s="345">
        <f t="shared" si="52"/>
        <v>294000</v>
      </c>
      <c r="R463" s="19">
        <f t="shared" si="53"/>
        <v>-10000</v>
      </c>
      <c r="S463" s="87">
        <f t="shared" si="56"/>
        <v>284000</v>
      </c>
    </row>
    <row r="464" spans="2:19" x14ac:dyDescent="0.2">
      <c r="B464" s="83">
        <f t="shared" si="57"/>
        <v>31</v>
      </c>
      <c r="C464" s="3"/>
      <c r="D464" s="3"/>
      <c r="E464" s="3"/>
      <c r="F464" s="26" t="s">
        <v>235</v>
      </c>
      <c r="G464" s="3">
        <v>636</v>
      </c>
      <c r="H464" s="3" t="s">
        <v>137</v>
      </c>
      <c r="I464" s="19">
        <f>47000-10000</f>
        <v>37000</v>
      </c>
      <c r="J464" s="19"/>
      <c r="K464" s="87">
        <f t="shared" si="54"/>
        <v>37000</v>
      </c>
      <c r="L464" s="356"/>
      <c r="M464" s="345"/>
      <c r="N464" s="208"/>
      <c r="O464" s="87">
        <f t="shared" si="55"/>
        <v>0</v>
      </c>
      <c r="P464" s="356"/>
      <c r="Q464" s="345">
        <f t="shared" si="52"/>
        <v>37000</v>
      </c>
      <c r="R464" s="19">
        <f t="shared" si="53"/>
        <v>0</v>
      </c>
      <c r="S464" s="87">
        <f t="shared" si="56"/>
        <v>37000</v>
      </c>
    </row>
    <row r="465" spans="2:19" x14ac:dyDescent="0.2">
      <c r="B465" s="83">
        <f t="shared" si="57"/>
        <v>32</v>
      </c>
      <c r="C465" s="3"/>
      <c r="D465" s="3"/>
      <c r="E465" s="3"/>
      <c r="F465" s="26" t="s">
        <v>235</v>
      </c>
      <c r="G465" s="3">
        <v>637</v>
      </c>
      <c r="H465" s="3" t="s">
        <v>133</v>
      </c>
      <c r="I465" s="19">
        <f>31500-10000</f>
        <v>21500</v>
      </c>
      <c r="J465" s="19"/>
      <c r="K465" s="87">
        <f t="shared" si="54"/>
        <v>21500</v>
      </c>
      <c r="L465" s="356"/>
      <c r="M465" s="345"/>
      <c r="N465" s="208"/>
      <c r="O465" s="87">
        <f t="shared" si="55"/>
        <v>0</v>
      </c>
      <c r="P465" s="356"/>
      <c r="Q465" s="345">
        <f t="shared" si="52"/>
        <v>21500</v>
      </c>
      <c r="R465" s="19">
        <f t="shared" si="53"/>
        <v>0</v>
      </c>
      <c r="S465" s="87">
        <f t="shared" si="56"/>
        <v>21500</v>
      </c>
    </row>
    <row r="466" spans="2:19" x14ac:dyDescent="0.2">
      <c r="B466" s="83">
        <f t="shared" si="57"/>
        <v>33</v>
      </c>
      <c r="C466" s="7"/>
      <c r="D466" s="7"/>
      <c r="E466" s="7"/>
      <c r="F466" s="25" t="s">
        <v>235</v>
      </c>
      <c r="G466" s="7">
        <v>710</v>
      </c>
      <c r="H466" s="7" t="s">
        <v>187</v>
      </c>
      <c r="I466" s="23"/>
      <c r="J466" s="23"/>
      <c r="K466" s="86">
        <f t="shared" si="54"/>
        <v>0</v>
      </c>
      <c r="L466" s="355"/>
      <c r="M466" s="344">
        <f>M467</f>
        <v>100000</v>
      </c>
      <c r="N466" s="246"/>
      <c r="O466" s="86">
        <f t="shared" si="55"/>
        <v>100000</v>
      </c>
      <c r="P466" s="355"/>
      <c r="Q466" s="344">
        <f t="shared" si="52"/>
        <v>100000</v>
      </c>
      <c r="R466" s="23">
        <f t="shared" si="53"/>
        <v>0</v>
      </c>
      <c r="S466" s="86">
        <f t="shared" si="56"/>
        <v>100000</v>
      </c>
    </row>
    <row r="467" spans="2:19" x14ac:dyDescent="0.2">
      <c r="B467" s="83">
        <f t="shared" si="57"/>
        <v>34</v>
      </c>
      <c r="C467" s="3"/>
      <c r="D467" s="3"/>
      <c r="E467" s="3"/>
      <c r="F467" s="26" t="s">
        <v>235</v>
      </c>
      <c r="G467" s="3">
        <v>713</v>
      </c>
      <c r="H467" s="3" t="s">
        <v>234</v>
      </c>
      <c r="I467" s="19"/>
      <c r="J467" s="19"/>
      <c r="K467" s="87">
        <f t="shared" si="54"/>
        <v>0</v>
      </c>
      <c r="L467" s="356"/>
      <c r="M467" s="345">
        <f>M468</f>
        <v>100000</v>
      </c>
      <c r="N467" s="208"/>
      <c r="O467" s="87">
        <f t="shared" si="55"/>
        <v>100000</v>
      </c>
      <c r="P467" s="356"/>
      <c r="Q467" s="345">
        <f t="shared" si="52"/>
        <v>100000</v>
      </c>
      <c r="R467" s="19">
        <f t="shared" si="53"/>
        <v>0</v>
      </c>
      <c r="S467" s="87">
        <f t="shared" si="56"/>
        <v>100000</v>
      </c>
    </row>
    <row r="468" spans="2:19" x14ac:dyDescent="0.2">
      <c r="B468" s="83">
        <f t="shared" si="57"/>
        <v>35</v>
      </c>
      <c r="C468" s="4"/>
      <c r="D468" s="4"/>
      <c r="E468" s="4"/>
      <c r="F468" s="31"/>
      <c r="G468" s="4"/>
      <c r="H468" s="4" t="s">
        <v>371</v>
      </c>
      <c r="I468" s="21"/>
      <c r="J468" s="21"/>
      <c r="K468" s="88">
        <f t="shared" si="54"/>
        <v>0</v>
      </c>
      <c r="L468" s="357"/>
      <c r="M468" s="346">
        <v>100000</v>
      </c>
      <c r="N468" s="247"/>
      <c r="O468" s="88">
        <f t="shared" si="55"/>
        <v>100000</v>
      </c>
      <c r="P468" s="357"/>
      <c r="Q468" s="346">
        <f t="shared" si="52"/>
        <v>100000</v>
      </c>
      <c r="R468" s="21">
        <f t="shared" si="53"/>
        <v>0</v>
      </c>
      <c r="S468" s="88">
        <f t="shared" si="56"/>
        <v>100000</v>
      </c>
    </row>
    <row r="469" spans="2:19" ht="15" x14ac:dyDescent="0.2">
      <c r="B469" s="83">
        <f t="shared" si="57"/>
        <v>36</v>
      </c>
      <c r="C469" s="239">
        <v>3</v>
      </c>
      <c r="D469" s="444" t="s">
        <v>239</v>
      </c>
      <c r="E469" s="445"/>
      <c r="F469" s="445"/>
      <c r="G469" s="445"/>
      <c r="H469" s="446"/>
      <c r="I469" s="36">
        <v>0</v>
      </c>
      <c r="J469" s="36"/>
      <c r="K469" s="84">
        <f t="shared" si="54"/>
        <v>0</v>
      </c>
      <c r="L469" s="353"/>
      <c r="M469" s="371">
        <f>M470</f>
        <v>7306356</v>
      </c>
      <c r="N469" s="36">
        <f>N470</f>
        <v>-6000</v>
      </c>
      <c r="O469" s="84">
        <f t="shared" si="55"/>
        <v>7300356</v>
      </c>
      <c r="P469" s="353"/>
      <c r="Q469" s="342">
        <f t="shared" si="52"/>
        <v>7306356</v>
      </c>
      <c r="R469" s="36">
        <f t="shared" si="53"/>
        <v>-6000</v>
      </c>
      <c r="S469" s="84">
        <f t="shared" si="56"/>
        <v>7300356</v>
      </c>
    </row>
    <row r="470" spans="2:19" x14ac:dyDescent="0.2">
      <c r="B470" s="83">
        <f t="shared" si="57"/>
        <v>37</v>
      </c>
      <c r="C470" s="7"/>
      <c r="D470" s="7"/>
      <c r="E470" s="7"/>
      <c r="F470" s="25" t="s">
        <v>235</v>
      </c>
      <c r="G470" s="7">
        <v>710</v>
      </c>
      <c r="H470" s="7" t="s">
        <v>187</v>
      </c>
      <c r="I470" s="23"/>
      <c r="J470" s="23"/>
      <c r="K470" s="86">
        <f t="shared" si="54"/>
        <v>0</v>
      </c>
      <c r="L470" s="355"/>
      <c r="M470" s="372">
        <f>M473+M492+M471</f>
        <v>7306356</v>
      </c>
      <c r="N470" s="23">
        <f>N473+N492+N471</f>
        <v>-6000</v>
      </c>
      <c r="O470" s="86">
        <f t="shared" si="55"/>
        <v>7300356</v>
      </c>
      <c r="P470" s="355"/>
      <c r="Q470" s="344">
        <f t="shared" si="52"/>
        <v>7306356</v>
      </c>
      <c r="R470" s="23">
        <f t="shared" si="53"/>
        <v>-6000</v>
      </c>
      <c r="S470" s="86">
        <f t="shared" si="56"/>
        <v>7300356</v>
      </c>
    </row>
    <row r="471" spans="2:19" x14ac:dyDescent="0.2">
      <c r="B471" s="83">
        <f t="shared" si="57"/>
        <v>38</v>
      </c>
      <c r="C471" s="7"/>
      <c r="D471" s="7"/>
      <c r="E471" s="7"/>
      <c r="F471" s="26" t="s">
        <v>235</v>
      </c>
      <c r="G471" s="3">
        <v>711</v>
      </c>
      <c r="H471" s="3" t="s">
        <v>224</v>
      </c>
      <c r="I471" s="23"/>
      <c r="J471" s="23"/>
      <c r="K471" s="86">
        <f t="shared" si="54"/>
        <v>0</v>
      </c>
      <c r="L471" s="355"/>
      <c r="M471" s="363">
        <f>M472</f>
        <v>576000</v>
      </c>
      <c r="N471" s="254"/>
      <c r="O471" s="123">
        <f t="shared" si="55"/>
        <v>576000</v>
      </c>
      <c r="P471" s="356"/>
      <c r="Q471" s="363">
        <f>Q472</f>
        <v>576000</v>
      </c>
      <c r="R471" s="20">
        <f t="shared" ref="R471:S471" si="58">R472</f>
        <v>0</v>
      </c>
      <c r="S471" s="123">
        <f t="shared" si="58"/>
        <v>576000</v>
      </c>
    </row>
    <row r="472" spans="2:19" x14ac:dyDescent="0.2">
      <c r="B472" s="83">
        <f t="shared" si="57"/>
        <v>39</v>
      </c>
      <c r="C472" s="7"/>
      <c r="D472" s="7"/>
      <c r="E472" s="7"/>
      <c r="F472" s="27"/>
      <c r="G472" s="4"/>
      <c r="H472" s="4" t="s">
        <v>645</v>
      </c>
      <c r="I472" s="23"/>
      <c r="J472" s="23"/>
      <c r="K472" s="86">
        <f t="shared" si="54"/>
        <v>0</v>
      </c>
      <c r="L472" s="355"/>
      <c r="M472" s="368">
        <v>576000</v>
      </c>
      <c r="N472" s="252"/>
      <c r="O472" s="113">
        <f t="shared" si="55"/>
        <v>576000</v>
      </c>
      <c r="P472" s="357"/>
      <c r="Q472" s="368">
        <f>M472</f>
        <v>576000</v>
      </c>
      <c r="R472" s="22">
        <f t="shared" ref="R472:S472" si="59">N472</f>
        <v>0</v>
      </c>
      <c r="S472" s="113">
        <f t="shared" si="59"/>
        <v>576000</v>
      </c>
    </row>
    <row r="473" spans="2:19" x14ac:dyDescent="0.2">
      <c r="B473" s="83">
        <f t="shared" si="57"/>
        <v>40</v>
      </c>
      <c r="C473" s="3"/>
      <c r="D473" s="3"/>
      <c r="E473" s="3"/>
      <c r="F473" s="26" t="s">
        <v>235</v>
      </c>
      <c r="G473" s="3">
        <v>716</v>
      </c>
      <c r="H473" s="3" t="s">
        <v>231</v>
      </c>
      <c r="I473" s="19"/>
      <c r="J473" s="19"/>
      <c r="K473" s="87">
        <f t="shared" si="54"/>
        <v>0</v>
      </c>
      <c r="L473" s="356"/>
      <c r="M473" s="345">
        <f>SUM(M474:M491)</f>
        <v>115449</v>
      </c>
      <c r="N473" s="208"/>
      <c r="O473" s="87">
        <f t="shared" si="55"/>
        <v>115449</v>
      </c>
      <c r="P473" s="356"/>
      <c r="Q473" s="345">
        <f t="shared" si="52"/>
        <v>115449</v>
      </c>
      <c r="R473" s="19">
        <f t="shared" ref="R473:R535" si="60">J473+N473</f>
        <v>0</v>
      </c>
      <c r="S473" s="87">
        <f t="shared" ref="S473:S535" si="61">K473+O473</f>
        <v>115449</v>
      </c>
    </row>
    <row r="474" spans="2:19" x14ac:dyDescent="0.2">
      <c r="B474" s="83">
        <f t="shared" si="57"/>
        <v>41</v>
      </c>
      <c r="C474" s="4"/>
      <c r="D474" s="4"/>
      <c r="E474" s="4"/>
      <c r="F474" s="27"/>
      <c r="G474" s="4"/>
      <c r="H474" s="4" t="s">
        <v>385</v>
      </c>
      <c r="I474" s="21"/>
      <c r="J474" s="21"/>
      <c r="K474" s="88">
        <f t="shared" si="54"/>
        <v>0</v>
      </c>
      <c r="L474" s="357"/>
      <c r="M474" s="346">
        <v>19730</v>
      </c>
      <c r="N474" s="247"/>
      <c r="O474" s="88">
        <f t="shared" si="55"/>
        <v>19730</v>
      </c>
      <c r="P474" s="357"/>
      <c r="Q474" s="346">
        <f t="shared" si="52"/>
        <v>19730</v>
      </c>
      <c r="R474" s="21">
        <f t="shared" si="60"/>
        <v>0</v>
      </c>
      <c r="S474" s="88">
        <f t="shared" si="61"/>
        <v>19730</v>
      </c>
    </row>
    <row r="475" spans="2:19" x14ac:dyDescent="0.2">
      <c r="B475" s="83">
        <f t="shared" si="57"/>
        <v>42</v>
      </c>
      <c r="C475" s="4"/>
      <c r="D475" s="4"/>
      <c r="E475" s="4"/>
      <c r="F475" s="27"/>
      <c r="G475" s="4"/>
      <c r="H475" s="4" t="s">
        <v>446</v>
      </c>
      <c r="I475" s="21"/>
      <c r="J475" s="21"/>
      <c r="K475" s="88">
        <f t="shared" si="54"/>
        <v>0</v>
      </c>
      <c r="L475" s="357"/>
      <c r="M475" s="346">
        <v>2000</v>
      </c>
      <c r="N475" s="247"/>
      <c r="O475" s="88">
        <f t="shared" si="55"/>
        <v>2000</v>
      </c>
      <c r="P475" s="357"/>
      <c r="Q475" s="346">
        <f t="shared" si="52"/>
        <v>2000</v>
      </c>
      <c r="R475" s="21">
        <f t="shared" si="60"/>
        <v>0</v>
      </c>
      <c r="S475" s="88">
        <f t="shared" si="61"/>
        <v>2000</v>
      </c>
    </row>
    <row r="476" spans="2:19" x14ac:dyDescent="0.2">
      <c r="B476" s="83">
        <f t="shared" si="57"/>
        <v>43</v>
      </c>
      <c r="C476" s="4"/>
      <c r="D476" s="4"/>
      <c r="E476" s="4"/>
      <c r="F476" s="27"/>
      <c r="G476" s="4"/>
      <c r="H476" s="4" t="s">
        <v>386</v>
      </c>
      <c r="I476" s="21"/>
      <c r="J476" s="21"/>
      <c r="K476" s="88">
        <f t="shared" si="54"/>
        <v>0</v>
      </c>
      <c r="L476" s="357"/>
      <c r="M476" s="346">
        <v>1250</v>
      </c>
      <c r="N476" s="247"/>
      <c r="O476" s="88">
        <f t="shared" si="55"/>
        <v>1250</v>
      </c>
      <c r="P476" s="357"/>
      <c r="Q476" s="346">
        <f t="shared" si="52"/>
        <v>1250</v>
      </c>
      <c r="R476" s="21">
        <f t="shared" si="60"/>
        <v>0</v>
      </c>
      <c r="S476" s="88">
        <f t="shared" si="61"/>
        <v>1250</v>
      </c>
    </row>
    <row r="477" spans="2:19" x14ac:dyDescent="0.2">
      <c r="B477" s="83">
        <f t="shared" si="57"/>
        <v>44</v>
      </c>
      <c r="C477" s="4"/>
      <c r="D477" s="4"/>
      <c r="E477" s="4"/>
      <c r="F477" s="27"/>
      <c r="G477" s="4"/>
      <c r="H477" s="4" t="s">
        <v>485</v>
      </c>
      <c r="I477" s="21"/>
      <c r="J477" s="21"/>
      <c r="K477" s="88">
        <f t="shared" si="54"/>
        <v>0</v>
      </c>
      <c r="L477" s="357"/>
      <c r="M477" s="346">
        <v>5000</v>
      </c>
      <c r="N477" s="247"/>
      <c r="O477" s="88">
        <f t="shared" si="55"/>
        <v>5000</v>
      </c>
      <c r="P477" s="357"/>
      <c r="Q477" s="346">
        <f t="shared" si="52"/>
        <v>5000</v>
      </c>
      <c r="R477" s="21">
        <f t="shared" si="60"/>
        <v>0</v>
      </c>
      <c r="S477" s="88">
        <f t="shared" si="61"/>
        <v>5000</v>
      </c>
    </row>
    <row r="478" spans="2:19" x14ac:dyDescent="0.2">
      <c r="B478" s="83">
        <f t="shared" si="57"/>
        <v>45</v>
      </c>
      <c r="C478" s="4"/>
      <c r="D478" s="4"/>
      <c r="E478" s="4"/>
      <c r="F478" s="27"/>
      <c r="G478" s="4"/>
      <c r="H478" s="4" t="s">
        <v>454</v>
      </c>
      <c r="I478" s="21"/>
      <c r="J478" s="21"/>
      <c r="K478" s="88">
        <f t="shared" si="54"/>
        <v>0</v>
      </c>
      <c r="L478" s="357"/>
      <c r="M478" s="346">
        <f>800+150</f>
        <v>950</v>
      </c>
      <c r="N478" s="247"/>
      <c r="O478" s="88">
        <f t="shared" si="55"/>
        <v>950</v>
      </c>
      <c r="P478" s="357"/>
      <c r="Q478" s="346">
        <f t="shared" si="52"/>
        <v>950</v>
      </c>
      <c r="R478" s="21">
        <f t="shared" si="60"/>
        <v>0</v>
      </c>
      <c r="S478" s="88">
        <f t="shared" si="61"/>
        <v>950</v>
      </c>
    </row>
    <row r="479" spans="2:19" x14ac:dyDescent="0.2">
      <c r="B479" s="83">
        <f t="shared" si="57"/>
        <v>46</v>
      </c>
      <c r="C479" s="4"/>
      <c r="D479" s="4"/>
      <c r="E479" s="4"/>
      <c r="F479" s="27"/>
      <c r="G479" s="4"/>
      <c r="H479" s="4" t="s">
        <v>37</v>
      </c>
      <c r="I479" s="21"/>
      <c r="J479" s="21"/>
      <c r="K479" s="88">
        <f t="shared" si="54"/>
        <v>0</v>
      </c>
      <c r="L479" s="357"/>
      <c r="M479" s="346">
        <f>2000+9000</f>
        <v>11000</v>
      </c>
      <c r="N479" s="247"/>
      <c r="O479" s="88">
        <f t="shared" si="55"/>
        <v>11000</v>
      </c>
      <c r="P479" s="357"/>
      <c r="Q479" s="346">
        <f t="shared" si="52"/>
        <v>11000</v>
      </c>
      <c r="R479" s="21">
        <f t="shared" si="60"/>
        <v>0</v>
      </c>
      <c r="S479" s="88">
        <f t="shared" si="61"/>
        <v>11000</v>
      </c>
    </row>
    <row r="480" spans="2:19" x14ac:dyDescent="0.2">
      <c r="B480" s="83">
        <f t="shared" si="57"/>
        <v>47</v>
      </c>
      <c r="C480" s="4"/>
      <c r="D480" s="4"/>
      <c r="E480" s="4"/>
      <c r="F480" s="27"/>
      <c r="G480" s="4"/>
      <c r="H480" s="4" t="s">
        <v>492</v>
      </c>
      <c r="I480" s="21"/>
      <c r="J480" s="21"/>
      <c r="K480" s="88">
        <f t="shared" si="54"/>
        <v>0</v>
      </c>
      <c r="L480" s="357"/>
      <c r="M480" s="346">
        <v>10000</v>
      </c>
      <c r="N480" s="247"/>
      <c r="O480" s="88">
        <f t="shared" si="55"/>
        <v>10000</v>
      </c>
      <c r="P480" s="357"/>
      <c r="Q480" s="346">
        <f t="shared" si="52"/>
        <v>10000</v>
      </c>
      <c r="R480" s="21">
        <f t="shared" si="60"/>
        <v>0</v>
      </c>
      <c r="S480" s="88">
        <f t="shared" si="61"/>
        <v>10000</v>
      </c>
    </row>
    <row r="481" spans="2:19" x14ac:dyDescent="0.2">
      <c r="B481" s="83">
        <f t="shared" si="57"/>
        <v>48</v>
      </c>
      <c r="C481" s="45"/>
      <c r="D481" s="45"/>
      <c r="E481" s="45"/>
      <c r="F481" s="166"/>
      <c r="G481" s="45"/>
      <c r="H481" s="45" t="s">
        <v>506</v>
      </c>
      <c r="I481" s="22"/>
      <c r="J481" s="22"/>
      <c r="K481" s="113">
        <f t="shared" si="54"/>
        <v>0</v>
      </c>
      <c r="L481" s="357"/>
      <c r="M481" s="368">
        <v>3000</v>
      </c>
      <c r="N481" s="252"/>
      <c r="O481" s="113">
        <f t="shared" si="55"/>
        <v>3000</v>
      </c>
      <c r="P481" s="357"/>
      <c r="Q481" s="368">
        <f t="shared" si="52"/>
        <v>3000</v>
      </c>
      <c r="R481" s="22">
        <f t="shared" si="60"/>
        <v>0</v>
      </c>
      <c r="S481" s="113">
        <f t="shared" si="61"/>
        <v>3000</v>
      </c>
    </row>
    <row r="482" spans="2:19" x14ac:dyDescent="0.2">
      <c r="B482" s="83">
        <f t="shared" si="57"/>
        <v>49</v>
      </c>
      <c r="C482" s="4"/>
      <c r="D482" s="4"/>
      <c r="E482" s="4"/>
      <c r="F482" s="27"/>
      <c r="G482" s="4"/>
      <c r="H482" s="45" t="s">
        <v>388</v>
      </c>
      <c r="I482" s="22"/>
      <c r="J482" s="22"/>
      <c r="K482" s="113">
        <f t="shared" si="54"/>
        <v>0</v>
      </c>
      <c r="L482" s="357"/>
      <c r="M482" s="368">
        <f>25000+10500+10000+3000</f>
        <v>48500</v>
      </c>
      <c r="N482" s="252"/>
      <c r="O482" s="113">
        <f t="shared" si="55"/>
        <v>48500</v>
      </c>
      <c r="P482" s="357"/>
      <c r="Q482" s="368">
        <f t="shared" si="52"/>
        <v>48500</v>
      </c>
      <c r="R482" s="22">
        <f t="shared" si="60"/>
        <v>0</v>
      </c>
      <c r="S482" s="113">
        <f t="shared" si="61"/>
        <v>48500</v>
      </c>
    </row>
    <row r="483" spans="2:19" x14ac:dyDescent="0.2">
      <c r="B483" s="83">
        <f t="shared" si="57"/>
        <v>50</v>
      </c>
      <c r="C483" s="4"/>
      <c r="D483" s="4"/>
      <c r="E483" s="4"/>
      <c r="F483" s="27"/>
      <c r="G483" s="4"/>
      <c r="H483" s="4" t="s">
        <v>302</v>
      </c>
      <c r="I483" s="21"/>
      <c r="J483" s="21"/>
      <c r="K483" s="88">
        <f t="shared" si="54"/>
        <v>0</v>
      </c>
      <c r="L483" s="357"/>
      <c r="M483" s="346">
        <f>1480-388</f>
        <v>1092</v>
      </c>
      <c r="N483" s="247"/>
      <c r="O483" s="88">
        <f t="shared" si="55"/>
        <v>1092</v>
      </c>
      <c r="P483" s="357"/>
      <c r="Q483" s="346">
        <f t="shared" si="52"/>
        <v>1092</v>
      </c>
      <c r="R483" s="21">
        <f t="shared" si="60"/>
        <v>0</v>
      </c>
      <c r="S483" s="88">
        <f t="shared" si="61"/>
        <v>1092</v>
      </c>
    </row>
    <row r="484" spans="2:19" x14ac:dyDescent="0.2">
      <c r="B484" s="83">
        <f t="shared" si="57"/>
        <v>51</v>
      </c>
      <c r="C484" s="4"/>
      <c r="D484" s="4"/>
      <c r="E484" s="4"/>
      <c r="F484" s="27"/>
      <c r="G484" s="4"/>
      <c r="H484" s="4" t="s">
        <v>513</v>
      </c>
      <c r="I484" s="21"/>
      <c r="J484" s="21"/>
      <c r="K484" s="88">
        <f t="shared" si="54"/>
        <v>0</v>
      </c>
      <c r="L484" s="357"/>
      <c r="M484" s="346">
        <f>227+200</f>
        <v>427</v>
      </c>
      <c r="N484" s="247"/>
      <c r="O484" s="88">
        <f t="shared" si="55"/>
        <v>427</v>
      </c>
      <c r="P484" s="357"/>
      <c r="Q484" s="346">
        <f t="shared" si="52"/>
        <v>427</v>
      </c>
      <c r="R484" s="21">
        <f t="shared" si="60"/>
        <v>0</v>
      </c>
      <c r="S484" s="88">
        <f t="shared" si="61"/>
        <v>427</v>
      </c>
    </row>
    <row r="485" spans="2:19" ht="33.75" x14ac:dyDescent="0.2">
      <c r="B485" s="225">
        <f t="shared" si="57"/>
        <v>52</v>
      </c>
      <c r="C485" s="149"/>
      <c r="D485" s="149"/>
      <c r="E485" s="149"/>
      <c r="F485" s="150"/>
      <c r="G485" s="149"/>
      <c r="H485" s="226" t="s">
        <v>609</v>
      </c>
      <c r="I485" s="151"/>
      <c r="J485" s="151"/>
      <c r="K485" s="152">
        <f t="shared" si="54"/>
        <v>0</v>
      </c>
      <c r="L485" s="366"/>
      <c r="M485" s="369">
        <f>500-320</f>
        <v>180</v>
      </c>
      <c r="N485" s="255"/>
      <c r="O485" s="152">
        <f t="shared" si="55"/>
        <v>180</v>
      </c>
      <c r="P485" s="366"/>
      <c r="Q485" s="369">
        <f t="shared" si="52"/>
        <v>180</v>
      </c>
      <c r="R485" s="151">
        <f t="shared" si="60"/>
        <v>0</v>
      </c>
      <c r="S485" s="152">
        <f t="shared" si="61"/>
        <v>180</v>
      </c>
    </row>
    <row r="486" spans="2:19" ht="22.5" x14ac:dyDescent="0.2">
      <c r="B486" s="225">
        <f t="shared" si="57"/>
        <v>53</v>
      </c>
      <c r="C486" s="4"/>
      <c r="D486" s="149"/>
      <c r="E486" s="149"/>
      <c r="F486" s="150"/>
      <c r="G486" s="149"/>
      <c r="H486" s="226" t="s">
        <v>619</v>
      </c>
      <c r="I486" s="151"/>
      <c r="J486" s="151"/>
      <c r="K486" s="152">
        <f t="shared" si="54"/>
        <v>0</v>
      </c>
      <c r="L486" s="366"/>
      <c r="M486" s="369">
        <v>320</v>
      </c>
      <c r="N486" s="255"/>
      <c r="O486" s="152">
        <f t="shared" si="55"/>
        <v>320</v>
      </c>
      <c r="P486" s="366"/>
      <c r="Q486" s="369">
        <f t="shared" si="52"/>
        <v>320</v>
      </c>
      <c r="R486" s="151">
        <f t="shared" si="60"/>
        <v>0</v>
      </c>
      <c r="S486" s="152">
        <f t="shared" si="61"/>
        <v>320</v>
      </c>
    </row>
    <row r="487" spans="2:19" x14ac:dyDescent="0.2">
      <c r="B487" s="225">
        <f t="shared" si="57"/>
        <v>54</v>
      </c>
      <c r="C487" s="4"/>
      <c r="D487" s="4"/>
      <c r="E487" s="4"/>
      <c r="F487" s="27"/>
      <c r="G487" s="4"/>
      <c r="H487" s="45" t="s">
        <v>472</v>
      </c>
      <c r="I487" s="21"/>
      <c r="J487" s="21"/>
      <c r="K487" s="88">
        <f t="shared" si="54"/>
        <v>0</v>
      </c>
      <c r="L487" s="357"/>
      <c r="M487" s="346">
        <v>2500</v>
      </c>
      <c r="N487" s="247"/>
      <c r="O487" s="88">
        <f t="shared" si="55"/>
        <v>2500</v>
      </c>
      <c r="P487" s="357"/>
      <c r="Q487" s="346">
        <f t="shared" si="52"/>
        <v>2500</v>
      </c>
      <c r="R487" s="21">
        <f t="shared" si="60"/>
        <v>0</v>
      </c>
      <c r="S487" s="88">
        <f t="shared" si="61"/>
        <v>2500</v>
      </c>
    </row>
    <row r="488" spans="2:19" x14ac:dyDescent="0.2">
      <c r="B488" s="225">
        <f t="shared" si="57"/>
        <v>55</v>
      </c>
      <c r="C488" s="4"/>
      <c r="D488" s="4"/>
      <c r="E488" s="4"/>
      <c r="F488" s="27"/>
      <c r="G488" s="4"/>
      <c r="H488" s="45" t="s">
        <v>528</v>
      </c>
      <c r="I488" s="21"/>
      <c r="J488" s="21"/>
      <c r="K488" s="88">
        <f t="shared" si="54"/>
        <v>0</v>
      </c>
      <c r="L488" s="357"/>
      <c r="M488" s="346">
        <v>1000</v>
      </c>
      <c r="N488" s="247"/>
      <c r="O488" s="88">
        <f t="shared" si="55"/>
        <v>1000</v>
      </c>
      <c r="P488" s="357"/>
      <c r="Q488" s="346">
        <f t="shared" si="52"/>
        <v>1000</v>
      </c>
      <c r="R488" s="21">
        <f t="shared" si="60"/>
        <v>0</v>
      </c>
      <c r="S488" s="88">
        <f t="shared" si="61"/>
        <v>1000</v>
      </c>
    </row>
    <row r="489" spans="2:19" x14ac:dyDescent="0.2">
      <c r="B489" s="225">
        <f t="shared" si="57"/>
        <v>56</v>
      </c>
      <c r="C489" s="4"/>
      <c r="D489" s="4"/>
      <c r="E489" s="4"/>
      <c r="F489" s="27"/>
      <c r="G489" s="4"/>
      <c r="H489" s="45" t="s">
        <v>477</v>
      </c>
      <c r="I489" s="21"/>
      <c r="J489" s="21"/>
      <c r="K489" s="88">
        <f t="shared" si="54"/>
        <v>0</v>
      </c>
      <c r="L489" s="357"/>
      <c r="M489" s="346">
        <v>3000</v>
      </c>
      <c r="N489" s="247"/>
      <c r="O489" s="88">
        <f t="shared" si="55"/>
        <v>3000</v>
      </c>
      <c r="P489" s="357"/>
      <c r="Q489" s="346">
        <f t="shared" si="52"/>
        <v>3000</v>
      </c>
      <c r="R489" s="21">
        <f t="shared" si="60"/>
        <v>0</v>
      </c>
      <c r="S489" s="88">
        <f t="shared" si="61"/>
        <v>3000</v>
      </c>
    </row>
    <row r="490" spans="2:19" x14ac:dyDescent="0.2">
      <c r="B490" s="225">
        <f t="shared" si="57"/>
        <v>57</v>
      </c>
      <c r="C490" s="4"/>
      <c r="D490" s="4"/>
      <c r="E490" s="4"/>
      <c r="F490" s="27"/>
      <c r="G490" s="4"/>
      <c r="H490" s="45" t="s">
        <v>493</v>
      </c>
      <c r="I490" s="21"/>
      <c r="J490" s="21"/>
      <c r="K490" s="88">
        <f t="shared" si="54"/>
        <v>0</v>
      </c>
      <c r="L490" s="357"/>
      <c r="M490" s="346">
        <f>3000+500</f>
        <v>3500</v>
      </c>
      <c r="N490" s="247"/>
      <c r="O490" s="88">
        <f t="shared" si="55"/>
        <v>3500</v>
      </c>
      <c r="P490" s="357"/>
      <c r="Q490" s="346">
        <f t="shared" si="52"/>
        <v>3500</v>
      </c>
      <c r="R490" s="21">
        <f t="shared" si="60"/>
        <v>0</v>
      </c>
      <c r="S490" s="88">
        <f t="shared" si="61"/>
        <v>3500</v>
      </c>
    </row>
    <row r="491" spans="2:19" x14ac:dyDescent="0.2">
      <c r="B491" s="225">
        <f t="shared" si="57"/>
        <v>58</v>
      </c>
      <c r="C491" s="4"/>
      <c r="D491" s="4"/>
      <c r="E491" s="4"/>
      <c r="F491" s="27"/>
      <c r="G491" s="4"/>
      <c r="H491" s="45" t="s">
        <v>658</v>
      </c>
      <c r="I491" s="21"/>
      <c r="J491" s="21"/>
      <c r="K491" s="88">
        <f t="shared" si="54"/>
        <v>0</v>
      </c>
      <c r="L491" s="357"/>
      <c r="M491" s="346">
        <v>2000</v>
      </c>
      <c r="N491" s="247"/>
      <c r="O491" s="88">
        <f t="shared" si="55"/>
        <v>2000</v>
      </c>
      <c r="P491" s="357"/>
      <c r="Q491" s="346">
        <f t="shared" si="52"/>
        <v>2000</v>
      </c>
      <c r="R491" s="21">
        <f t="shared" si="60"/>
        <v>0</v>
      </c>
      <c r="S491" s="88">
        <f t="shared" si="61"/>
        <v>2000</v>
      </c>
    </row>
    <row r="492" spans="2:19" x14ac:dyDescent="0.2">
      <c r="B492" s="225">
        <f t="shared" si="57"/>
        <v>59</v>
      </c>
      <c r="C492" s="3"/>
      <c r="D492" s="3"/>
      <c r="E492" s="3"/>
      <c r="F492" s="26" t="s">
        <v>235</v>
      </c>
      <c r="G492" s="3">
        <v>717</v>
      </c>
      <c r="H492" s="3" t="s">
        <v>197</v>
      </c>
      <c r="I492" s="19"/>
      <c r="J492" s="19"/>
      <c r="K492" s="87">
        <f t="shared" si="54"/>
        <v>0</v>
      </c>
      <c r="L492" s="356"/>
      <c r="M492" s="345">
        <f>SUM(M493:M557)</f>
        <v>6614907</v>
      </c>
      <c r="N492" s="345">
        <f>SUM(N493:N557)</f>
        <v>-6000</v>
      </c>
      <c r="O492" s="87">
        <f t="shared" si="55"/>
        <v>6608907</v>
      </c>
      <c r="P492" s="356"/>
      <c r="Q492" s="345">
        <f t="shared" si="52"/>
        <v>6614907</v>
      </c>
      <c r="R492" s="19">
        <f t="shared" si="60"/>
        <v>-6000</v>
      </c>
      <c r="S492" s="87">
        <f t="shared" si="61"/>
        <v>6608907</v>
      </c>
    </row>
    <row r="493" spans="2:19" x14ac:dyDescent="0.2">
      <c r="B493" s="225">
        <f t="shared" si="57"/>
        <v>60</v>
      </c>
      <c r="C493" s="3"/>
      <c r="D493" s="3"/>
      <c r="E493" s="3"/>
      <c r="F493" s="26"/>
      <c r="G493" s="3"/>
      <c r="H493" s="4" t="s">
        <v>516</v>
      </c>
      <c r="I493" s="147"/>
      <c r="J493" s="147"/>
      <c r="K493" s="393">
        <f t="shared" si="54"/>
        <v>0</v>
      </c>
      <c r="L493" s="385"/>
      <c r="M493" s="346">
        <f>41000-1000</f>
        <v>40000</v>
      </c>
      <c r="N493" s="247"/>
      <c r="O493" s="88">
        <f t="shared" si="55"/>
        <v>40000</v>
      </c>
      <c r="P493" s="357"/>
      <c r="Q493" s="346">
        <f t="shared" si="52"/>
        <v>40000</v>
      </c>
      <c r="R493" s="21">
        <f t="shared" si="60"/>
        <v>0</v>
      </c>
      <c r="S493" s="88">
        <f t="shared" si="61"/>
        <v>40000</v>
      </c>
    </row>
    <row r="494" spans="2:19" x14ac:dyDescent="0.2">
      <c r="B494" s="225">
        <f t="shared" si="57"/>
        <v>61</v>
      </c>
      <c r="C494" s="3"/>
      <c r="D494" s="3"/>
      <c r="E494" s="3"/>
      <c r="F494" s="26"/>
      <c r="G494" s="3"/>
      <c r="H494" s="4" t="s">
        <v>646</v>
      </c>
      <c r="I494" s="147"/>
      <c r="J494" s="147"/>
      <c r="K494" s="393">
        <f t="shared" si="54"/>
        <v>0</v>
      </c>
      <c r="L494" s="385"/>
      <c r="M494" s="346">
        <v>121763</v>
      </c>
      <c r="N494" s="247"/>
      <c r="O494" s="88">
        <f t="shared" si="55"/>
        <v>121763</v>
      </c>
      <c r="P494" s="357"/>
      <c r="Q494" s="346">
        <f t="shared" si="52"/>
        <v>121763</v>
      </c>
      <c r="R494" s="21">
        <f t="shared" si="60"/>
        <v>0</v>
      </c>
      <c r="S494" s="88">
        <f t="shared" si="61"/>
        <v>121763</v>
      </c>
    </row>
    <row r="495" spans="2:19" x14ac:dyDescent="0.2">
      <c r="B495" s="83">
        <f t="shared" si="57"/>
        <v>62</v>
      </c>
      <c r="C495" s="3"/>
      <c r="D495" s="3"/>
      <c r="E495" s="3"/>
      <c r="F495" s="26"/>
      <c r="G495" s="3"/>
      <c r="H495" s="4" t="s">
        <v>394</v>
      </c>
      <c r="I495" s="147"/>
      <c r="J495" s="147"/>
      <c r="K495" s="393">
        <f t="shared" si="54"/>
        <v>0</v>
      </c>
      <c r="L495" s="385"/>
      <c r="M495" s="346">
        <f>50000+45000</f>
        <v>95000</v>
      </c>
      <c r="N495" s="247"/>
      <c r="O495" s="88">
        <f t="shared" si="55"/>
        <v>95000</v>
      </c>
      <c r="P495" s="357"/>
      <c r="Q495" s="346">
        <f t="shared" si="52"/>
        <v>95000</v>
      </c>
      <c r="R495" s="21">
        <f t="shared" si="60"/>
        <v>0</v>
      </c>
      <c r="S495" s="88">
        <f t="shared" si="61"/>
        <v>95000</v>
      </c>
    </row>
    <row r="496" spans="2:19" x14ac:dyDescent="0.2">
      <c r="B496" s="83">
        <f t="shared" si="57"/>
        <v>63</v>
      </c>
      <c r="C496" s="4"/>
      <c r="D496" s="4"/>
      <c r="E496" s="4"/>
      <c r="F496" s="27"/>
      <c r="G496" s="4"/>
      <c r="H496" s="4" t="s">
        <v>471</v>
      </c>
      <c r="I496" s="21"/>
      <c r="J496" s="21"/>
      <c r="K496" s="88">
        <f t="shared" si="54"/>
        <v>0</v>
      </c>
      <c r="L496" s="357"/>
      <c r="M496" s="388">
        <f>100316-30000</f>
        <v>70316</v>
      </c>
      <c r="N496" s="259"/>
      <c r="O496" s="389">
        <f t="shared" si="55"/>
        <v>70316</v>
      </c>
      <c r="P496" s="357"/>
      <c r="Q496" s="346">
        <f t="shared" si="52"/>
        <v>70316</v>
      </c>
      <c r="R496" s="21">
        <f t="shared" si="60"/>
        <v>0</v>
      </c>
      <c r="S496" s="88">
        <f t="shared" si="61"/>
        <v>70316</v>
      </c>
    </row>
    <row r="497" spans="2:19" x14ac:dyDescent="0.2">
      <c r="B497" s="83">
        <f t="shared" si="57"/>
        <v>64</v>
      </c>
      <c r="C497" s="4"/>
      <c r="D497" s="4"/>
      <c r="E497" s="4"/>
      <c r="F497" s="27"/>
      <c r="G497" s="4"/>
      <c r="H497" s="4" t="s">
        <v>647</v>
      </c>
      <c r="I497" s="21"/>
      <c r="J497" s="21"/>
      <c r="K497" s="88">
        <f t="shared" si="54"/>
        <v>0</v>
      </c>
      <c r="L497" s="357"/>
      <c r="M497" s="388">
        <v>179892</v>
      </c>
      <c r="N497" s="259"/>
      <c r="O497" s="389">
        <f t="shared" si="55"/>
        <v>179892</v>
      </c>
      <c r="P497" s="357"/>
      <c r="Q497" s="346">
        <f t="shared" ref="Q497:Q555" si="62">I497+M497</f>
        <v>179892</v>
      </c>
      <c r="R497" s="21">
        <f t="shared" si="60"/>
        <v>0</v>
      </c>
      <c r="S497" s="88">
        <f t="shared" si="61"/>
        <v>179892</v>
      </c>
    </row>
    <row r="498" spans="2:19" x14ac:dyDescent="0.2">
      <c r="B498" s="83">
        <f t="shared" si="57"/>
        <v>65</v>
      </c>
      <c r="C498" s="4"/>
      <c r="D498" s="4"/>
      <c r="E498" s="4"/>
      <c r="F498" s="27"/>
      <c r="G498" s="4"/>
      <c r="H498" s="4" t="s">
        <v>39</v>
      </c>
      <c r="I498" s="21"/>
      <c r="J498" s="21"/>
      <c r="K498" s="88">
        <f t="shared" si="54"/>
        <v>0</v>
      </c>
      <c r="L498" s="357"/>
      <c r="M498" s="388">
        <v>16900</v>
      </c>
      <c r="N498" s="259"/>
      <c r="O498" s="389">
        <f t="shared" si="55"/>
        <v>16900</v>
      </c>
      <c r="P498" s="357"/>
      <c r="Q498" s="346">
        <f t="shared" si="62"/>
        <v>16900</v>
      </c>
      <c r="R498" s="21">
        <f t="shared" si="60"/>
        <v>0</v>
      </c>
      <c r="S498" s="88">
        <f t="shared" si="61"/>
        <v>16900</v>
      </c>
    </row>
    <row r="499" spans="2:19" x14ac:dyDescent="0.2">
      <c r="B499" s="83">
        <f t="shared" ref="B499:B537" si="63">B498+1</f>
        <v>66</v>
      </c>
      <c r="C499" s="4"/>
      <c r="D499" s="4"/>
      <c r="E499" s="4"/>
      <c r="F499" s="27"/>
      <c r="G499" s="4"/>
      <c r="H499" s="4" t="s">
        <v>38</v>
      </c>
      <c r="I499" s="21"/>
      <c r="J499" s="21"/>
      <c r="K499" s="88">
        <f t="shared" ref="K499:K557" si="64">J499+I499</f>
        <v>0</v>
      </c>
      <c r="L499" s="357"/>
      <c r="M499" s="388">
        <v>13550</v>
      </c>
      <c r="N499" s="259"/>
      <c r="O499" s="389">
        <f t="shared" ref="O499:O557" si="65">N499+M499</f>
        <v>13550</v>
      </c>
      <c r="P499" s="357"/>
      <c r="Q499" s="346">
        <f t="shared" si="62"/>
        <v>13550</v>
      </c>
      <c r="R499" s="21">
        <f t="shared" si="60"/>
        <v>0</v>
      </c>
      <c r="S499" s="88">
        <f t="shared" si="61"/>
        <v>13550</v>
      </c>
    </row>
    <row r="500" spans="2:19" x14ac:dyDescent="0.2">
      <c r="B500" s="83">
        <f t="shared" si="63"/>
        <v>67</v>
      </c>
      <c r="C500" s="4"/>
      <c r="D500" s="4"/>
      <c r="E500" s="4"/>
      <c r="F500" s="27"/>
      <c r="G500" s="4"/>
      <c r="H500" s="4" t="s">
        <v>474</v>
      </c>
      <c r="I500" s="21"/>
      <c r="J500" s="21"/>
      <c r="K500" s="88">
        <f t="shared" si="64"/>
        <v>0</v>
      </c>
      <c r="L500" s="357"/>
      <c r="M500" s="388">
        <f>90000-12000-4100-3000</f>
        <v>70900</v>
      </c>
      <c r="N500" s="259"/>
      <c r="O500" s="389">
        <f t="shared" si="65"/>
        <v>70900</v>
      </c>
      <c r="P500" s="357"/>
      <c r="Q500" s="346">
        <f t="shared" si="62"/>
        <v>70900</v>
      </c>
      <c r="R500" s="21">
        <f t="shared" si="60"/>
        <v>0</v>
      </c>
      <c r="S500" s="88">
        <f t="shared" si="61"/>
        <v>70900</v>
      </c>
    </row>
    <row r="501" spans="2:19" x14ac:dyDescent="0.2">
      <c r="B501" s="83">
        <f t="shared" si="63"/>
        <v>68</v>
      </c>
      <c r="C501" s="4"/>
      <c r="D501" s="4"/>
      <c r="E501" s="4"/>
      <c r="F501" s="27"/>
      <c r="G501" s="4"/>
      <c r="H501" s="4" t="s">
        <v>486</v>
      </c>
      <c r="I501" s="21"/>
      <c r="J501" s="21"/>
      <c r="K501" s="88">
        <f t="shared" si="64"/>
        <v>0</v>
      </c>
      <c r="L501" s="357"/>
      <c r="M501" s="388">
        <f>60000-4537-22100-6000-3000</f>
        <v>24363</v>
      </c>
      <c r="N501" s="259"/>
      <c r="O501" s="389">
        <f t="shared" si="65"/>
        <v>24363</v>
      </c>
      <c r="P501" s="357"/>
      <c r="Q501" s="346">
        <f t="shared" si="62"/>
        <v>24363</v>
      </c>
      <c r="R501" s="21">
        <f t="shared" si="60"/>
        <v>0</v>
      </c>
      <c r="S501" s="88">
        <f t="shared" si="61"/>
        <v>24363</v>
      </c>
    </row>
    <row r="502" spans="2:19" x14ac:dyDescent="0.2">
      <c r="B502" s="83">
        <f t="shared" si="63"/>
        <v>69</v>
      </c>
      <c r="C502" s="4"/>
      <c r="D502" s="4"/>
      <c r="E502" s="4"/>
      <c r="F502" s="27"/>
      <c r="G502" s="4"/>
      <c r="H502" s="4" t="s">
        <v>494</v>
      </c>
      <c r="I502" s="21"/>
      <c r="J502" s="21"/>
      <c r="K502" s="88">
        <f t="shared" si="64"/>
        <v>0</v>
      </c>
      <c r="L502" s="357"/>
      <c r="M502" s="388">
        <f>92000-14360</f>
        <v>77640</v>
      </c>
      <c r="N502" s="259"/>
      <c r="O502" s="389">
        <f t="shared" si="65"/>
        <v>77640</v>
      </c>
      <c r="P502" s="357"/>
      <c r="Q502" s="346">
        <f t="shared" si="62"/>
        <v>77640</v>
      </c>
      <c r="R502" s="21">
        <f t="shared" si="60"/>
        <v>0</v>
      </c>
      <c r="S502" s="88">
        <f t="shared" si="61"/>
        <v>77640</v>
      </c>
    </row>
    <row r="503" spans="2:19" x14ac:dyDescent="0.2">
      <c r="B503" s="83">
        <f t="shared" si="63"/>
        <v>70</v>
      </c>
      <c r="C503" s="4"/>
      <c r="D503" s="4"/>
      <c r="E503" s="4"/>
      <c r="F503" s="27"/>
      <c r="G503" s="4"/>
      <c r="H503" s="4" t="s">
        <v>528</v>
      </c>
      <c r="I503" s="21"/>
      <c r="J503" s="21"/>
      <c r="K503" s="88">
        <f t="shared" si="64"/>
        <v>0</v>
      </c>
      <c r="L503" s="357"/>
      <c r="M503" s="388">
        <v>13000</v>
      </c>
      <c r="N503" s="259"/>
      <c r="O503" s="389">
        <f t="shared" si="65"/>
        <v>13000</v>
      </c>
      <c r="P503" s="357"/>
      <c r="Q503" s="346">
        <f t="shared" si="62"/>
        <v>13000</v>
      </c>
      <c r="R503" s="21">
        <f t="shared" si="60"/>
        <v>0</v>
      </c>
      <c r="S503" s="88">
        <f t="shared" si="61"/>
        <v>13000</v>
      </c>
    </row>
    <row r="504" spans="2:19" x14ac:dyDescent="0.2">
      <c r="B504" s="83">
        <f t="shared" si="63"/>
        <v>71</v>
      </c>
      <c r="C504" s="4"/>
      <c r="D504" s="4"/>
      <c r="E504" s="4"/>
      <c r="F504" s="27"/>
      <c r="G504" s="4"/>
      <c r="H504" s="4" t="s">
        <v>475</v>
      </c>
      <c r="I504" s="21"/>
      <c r="J504" s="21"/>
      <c r="K504" s="88">
        <f t="shared" si="64"/>
        <v>0</v>
      </c>
      <c r="L504" s="357"/>
      <c r="M504" s="388">
        <v>90000</v>
      </c>
      <c r="N504" s="259"/>
      <c r="O504" s="389">
        <f t="shared" si="65"/>
        <v>90000</v>
      </c>
      <c r="P504" s="357"/>
      <c r="Q504" s="346">
        <f t="shared" si="62"/>
        <v>90000</v>
      </c>
      <c r="R504" s="21">
        <f t="shared" si="60"/>
        <v>0</v>
      </c>
      <c r="S504" s="88">
        <f t="shared" si="61"/>
        <v>90000</v>
      </c>
    </row>
    <row r="505" spans="2:19" x14ac:dyDescent="0.2">
      <c r="B505" s="83">
        <f t="shared" si="63"/>
        <v>72</v>
      </c>
      <c r="C505" s="4"/>
      <c r="D505" s="4"/>
      <c r="E505" s="4"/>
      <c r="F505" s="27"/>
      <c r="G505" s="4"/>
      <c r="H505" s="4" t="s">
        <v>447</v>
      </c>
      <c r="I505" s="21"/>
      <c r="J505" s="21"/>
      <c r="K505" s="88">
        <f t="shared" si="64"/>
        <v>0</v>
      </c>
      <c r="L505" s="357"/>
      <c r="M505" s="388">
        <v>70000</v>
      </c>
      <c r="N505" s="259"/>
      <c r="O505" s="389">
        <f t="shared" si="65"/>
        <v>70000</v>
      </c>
      <c r="P505" s="357"/>
      <c r="Q505" s="346">
        <f t="shared" si="62"/>
        <v>70000</v>
      </c>
      <c r="R505" s="21">
        <f t="shared" si="60"/>
        <v>0</v>
      </c>
      <c r="S505" s="88">
        <f t="shared" si="61"/>
        <v>70000</v>
      </c>
    </row>
    <row r="506" spans="2:19" x14ac:dyDescent="0.2">
      <c r="B506" s="83">
        <f t="shared" si="63"/>
        <v>73</v>
      </c>
      <c r="C506" s="4"/>
      <c r="D506" s="4"/>
      <c r="E506" s="4"/>
      <c r="F506" s="27"/>
      <c r="G506" s="4"/>
      <c r="H506" s="4" t="s">
        <v>446</v>
      </c>
      <c r="I506" s="21"/>
      <c r="J506" s="21"/>
      <c r="K506" s="88">
        <f t="shared" si="64"/>
        <v>0</v>
      </c>
      <c r="L506" s="357"/>
      <c r="M506" s="388">
        <f>120000-2000+47000+25000</f>
        <v>190000</v>
      </c>
      <c r="N506" s="259"/>
      <c r="O506" s="389">
        <f t="shared" si="65"/>
        <v>190000</v>
      </c>
      <c r="P506" s="357"/>
      <c r="Q506" s="346">
        <f t="shared" si="62"/>
        <v>190000</v>
      </c>
      <c r="R506" s="21">
        <f t="shared" si="60"/>
        <v>0</v>
      </c>
      <c r="S506" s="88">
        <f t="shared" si="61"/>
        <v>190000</v>
      </c>
    </row>
    <row r="507" spans="2:19" x14ac:dyDescent="0.2">
      <c r="B507" s="83">
        <f t="shared" si="63"/>
        <v>74</v>
      </c>
      <c r="C507" s="4"/>
      <c r="D507" s="4"/>
      <c r="E507" s="4"/>
      <c r="F507" s="27"/>
      <c r="G507" s="4"/>
      <c r="H507" s="4" t="s">
        <v>558</v>
      </c>
      <c r="I507" s="21"/>
      <c r="J507" s="21"/>
      <c r="K507" s="88">
        <f t="shared" si="64"/>
        <v>0</v>
      </c>
      <c r="L507" s="357"/>
      <c r="M507" s="388">
        <v>12100</v>
      </c>
      <c r="N507" s="259"/>
      <c r="O507" s="389">
        <f t="shared" si="65"/>
        <v>12100</v>
      </c>
      <c r="P507" s="357"/>
      <c r="Q507" s="346">
        <f t="shared" si="62"/>
        <v>12100</v>
      </c>
      <c r="R507" s="21">
        <f t="shared" si="60"/>
        <v>0</v>
      </c>
      <c r="S507" s="88">
        <f t="shared" si="61"/>
        <v>12100</v>
      </c>
    </row>
    <row r="508" spans="2:19" x14ac:dyDescent="0.2">
      <c r="B508" s="83">
        <f t="shared" si="63"/>
        <v>75</v>
      </c>
      <c r="C508" s="4"/>
      <c r="D508" s="4"/>
      <c r="E508" s="4"/>
      <c r="F508" s="27"/>
      <c r="G508" s="4"/>
      <c r="H508" s="4" t="s">
        <v>484</v>
      </c>
      <c r="I508" s="21"/>
      <c r="J508" s="21"/>
      <c r="K508" s="88">
        <f t="shared" si="64"/>
        <v>0</v>
      </c>
      <c r="L508" s="357"/>
      <c r="M508" s="388">
        <f>1300+45000+388</f>
        <v>46688</v>
      </c>
      <c r="N508" s="259"/>
      <c r="O508" s="389">
        <f t="shared" si="65"/>
        <v>46688</v>
      </c>
      <c r="P508" s="357"/>
      <c r="Q508" s="346">
        <f t="shared" si="62"/>
        <v>46688</v>
      </c>
      <c r="R508" s="21">
        <f t="shared" si="60"/>
        <v>0</v>
      </c>
      <c r="S508" s="88">
        <f t="shared" si="61"/>
        <v>46688</v>
      </c>
    </row>
    <row r="509" spans="2:19" x14ac:dyDescent="0.2">
      <c r="B509" s="83">
        <f t="shared" si="63"/>
        <v>76</v>
      </c>
      <c r="C509" s="3"/>
      <c r="D509" s="3"/>
      <c r="E509" s="3"/>
      <c r="F509" s="26"/>
      <c r="G509" s="3"/>
      <c r="H509" s="4" t="s">
        <v>464</v>
      </c>
      <c r="I509" s="147"/>
      <c r="J509" s="147"/>
      <c r="K509" s="393">
        <f t="shared" si="64"/>
        <v>0</v>
      </c>
      <c r="L509" s="385"/>
      <c r="M509" s="346">
        <v>300000</v>
      </c>
      <c r="N509" s="247"/>
      <c r="O509" s="88">
        <f t="shared" si="65"/>
        <v>300000</v>
      </c>
      <c r="P509" s="357"/>
      <c r="Q509" s="346">
        <f t="shared" si="62"/>
        <v>300000</v>
      </c>
      <c r="R509" s="21">
        <f t="shared" si="60"/>
        <v>0</v>
      </c>
      <c r="S509" s="88">
        <f t="shared" si="61"/>
        <v>300000</v>
      </c>
    </row>
    <row r="510" spans="2:19" x14ac:dyDescent="0.2">
      <c r="B510" s="83">
        <f t="shared" si="63"/>
        <v>77</v>
      </c>
      <c r="C510" s="3"/>
      <c r="D510" s="3"/>
      <c r="E510" s="3"/>
      <c r="F510" s="26"/>
      <c r="G510" s="3"/>
      <c r="H510" s="4" t="s">
        <v>454</v>
      </c>
      <c r="I510" s="147"/>
      <c r="J510" s="147"/>
      <c r="K510" s="393">
        <f t="shared" si="64"/>
        <v>0</v>
      </c>
      <c r="L510" s="385"/>
      <c r="M510" s="346">
        <f>25000-800</f>
        <v>24200</v>
      </c>
      <c r="N510" s="247"/>
      <c r="O510" s="88">
        <f t="shared" si="65"/>
        <v>24200</v>
      </c>
      <c r="P510" s="357"/>
      <c r="Q510" s="346">
        <f t="shared" si="62"/>
        <v>24200</v>
      </c>
      <c r="R510" s="21">
        <f t="shared" si="60"/>
        <v>0</v>
      </c>
      <c r="S510" s="88">
        <f t="shared" si="61"/>
        <v>24200</v>
      </c>
    </row>
    <row r="511" spans="2:19" x14ac:dyDescent="0.2">
      <c r="B511" s="83">
        <f t="shared" si="63"/>
        <v>78</v>
      </c>
      <c r="C511" s="4"/>
      <c r="D511" s="4"/>
      <c r="E511" s="4"/>
      <c r="F511" s="27"/>
      <c r="G511" s="4"/>
      <c r="H511" s="4" t="s">
        <v>37</v>
      </c>
      <c r="I511" s="21"/>
      <c r="J511" s="21"/>
      <c r="K511" s="88">
        <f t="shared" si="64"/>
        <v>0</v>
      </c>
      <c r="L511" s="357"/>
      <c r="M511" s="388">
        <f>19000-9000</f>
        <v>10000</v>
      </c>
      <c r="N511" s="259"/>
      <c r="O511" s="389">
        <f t="shared" si="65"/>
        <v>10000</v>
      </c>
      <c r="P511" s="357"/>
      <c r="Q511" s="346">
        <f t="shared" si="62"/>
        <v>10000</v>
      </c>
      <c r="R511" s="21">
        <f t="shared" si="60"/>
        <v>0</v>
      </c>
      <c r="S511" s="88">
        <f t="shared" si="61"/>
        <v>10000</v>
      </c>
    </row>
    <row r="512" spans="2:19" x14ac:dyDescent="0.2">
      <c r="B512" s="83">
        <f t="shared" si="63"/>
        <v>79</v>
      </c>
      <c r="C512" s="3"/>
      <c r="D512" s="3"/>
      <c r="E512" s="3"/>
      <c r="F512" s="26"/>
      <c r="G512" s="3"/>
      <c r="H512" s="45" t="s">
        <v>451</v>
      </c>
      <c r="I512" s="167"/>
      <c r="J512" s="167"/>
      <c r="K512" s="209">
        <f t="shared" si="64"/>
        <v>0</v>
      </c>
      <c r="L512" s="385"/>
      <c r="M512" s="368">
        <v>50000</v>
      </c>
      <c r="N512" s="252"/>
      <c r="O512" s="113">
        <f t="shared" si="65"/>
        <v>50000</v>
      </c>
      <c r="P512" s="357"/>
      <c r="Q512" s="346">
        <f t="shared" si="62"/>
        <v>50000</v>
      </c>
      <c r="R512" s="21">
        <f t="shared" si="60"/>
        <v>0</v>
      </c>
      <c r="S512" s="88">
        <f t="shared" si="61"/>
        <v>50000</v>
      </c>
    </row>
    <row r="513" spans="2:19" x14ac:dyDescent="0.2">
      <c r="B513" s="83">
        <f t="shared" si="63"/>
        <v>80</v>
      </c>
      <c r="C513" s="3"/>
      <c r="D513" s="3"/>
      <c r="E513" s="3"/>
      <c r="F513" s="26"/>
      <c r="G513" s="3"/>
      <c r="H513" s="45" t="s">
        <v>633</v>
      </c>
      <c r="I513" s="167"/>
      <c r="J513" s="167"/>
      <c r="K513" s="209">
        <f t="shared" si="64"/>
        <v>0</v>
      </c>
      <c r="L513" s="385"/>
      <c r="M513" s="368">
        <f>13000+3600</f>
        <v>16600</v>
      </c>
      <c r="N513" s="252"/>
      <c r="O513" s="113">
        <f t="shared" si="65"/>
        <v>16600</v>
      </c>
      <c r="P513" s="357"/>
      <c r="Q513" s="346">
        <f t="shared" si="62"/>
        <v>16600</v>
      </c>
      <c r="R513" s="21">
        <f t="shared" si="60"/>
        <v>0</v>
      </c>
      <c r="S513" s="88">
        <f t="shared" si="61"/>
        <v>16600</v>
      </c>
    </row>
    <row r="514" spans="2:19" x14ac:dyDescent="0.2">
      <c r="B514" s="83">
        <f t="shared" si="63"/>
        <v>81</v>
      </c>
      <c r="C514" s="3"/>
      <c r="D514" s="3"/>
      <c r="E514" s="3"/>
      <c r="F514" s="26"/>
      <c r="G514" s="3"/>
      <c r="H514" s="45" t="s">
        <v>518</v>
      </c>
      <c r="I514" s="167"/>
      <c r="J514" s="167"/>
      <c r="K514" s="209">
        <f t="shared" si="64"/>
        <v>0</v>
      </c>
      <c r="L514" s="385"/>
      <c r="M514" s="368">
        <v>71000</v>
      </c>
      <c r="N514" s="252"/>
      <c r="O514" s="113">
        <f t="shared" si="65"/>
        <v>71000</v>
      </c>
      <c r="P514" s="357"/>
      <c r="Q514" s="346">
        <f t="shared" si="62"/>
        <v>71000</v>
      </c>
      <c r="R514" s="21">
        <f t="shared" si="60"/>
        <v>0</v>
      </c>
      <c r="S514" s="88">
        <f t="shared" si="61"/>
        <v>71000</v>
      </c>
    </row>
    <row r="515" spans="2:19" x14ac:dyDescent="0.2">
      <c r="B515" s="83">
        <f t="shared" si="63"/>
        <v>82</v>
      </c>
      <c r="C515" s="4"/>
      <c r="D515" s="4"/>
      <c r="E515" s="4"/>
      <c r="F515" s="27"/>
      <c r="G515" s="4"/>
      <c r="H515" s="4" t="s">
        <v>496</v>
      </c>
      <c r="I515" s="21"/>
      <c r="J515" s="21"/>
      <c r="K515" s="88">
        <f t="shared" si="64"/>
        <v>0</v>
      </c>
      <c r="L515" s="357"/>
      <c r="M515" s="346">
        <v>35000</v>
      </c>
      <c r="N515" s="247"/>
      <c r="O515" s="88">
        <f t="shared" si="65"/>
        <v>35000</v>
      </c>
      <c r="P515" s="357"/>
      <c r="Q515" s="346">
        <f t="shared" si="62"/>
        <v>35000</v>
      </c>
      <c r="R515" s="21">
        <f t="shared" si="60"/>
        <v>0</v>
      </c>
      <c r="S515" s="88">
        <f t="shared" si="61"/>
        <v>35000</v>
      </c>
    </row>
    <row r="516" spans="2:19" x14ac:dyDescent="0.2">
      <c r="B516" s="83">
        <f t="shared" si="63"/>
        <v>83</v>
      </c>
      <c r="C516" s="3"/>
      <c r="D516" s="3"/>
      <c r="E516" s="3"/>
      <c r="F516" s="26"/>
      <c r="G516" s="3"/>
      <c r="H516" s="45" t="s">
        <v>303</v>
      </c>
      <c r="I516" s="167"/>
      <c r="J516" s="167"/>
      <c r="K516" s="209">
        <f t="shared" si="64"/>
        <v>0</v>
      </c>
      <c r="L516" s="385"/>
      <c r="M516" s="368">
        <f>41000+1050-5000</f>
        <v>37050</v>
      </c>
      <c r="N516" s="252"/>
      <c r="O516" s="113">
        <f t="shared" si="65"/>
        <v>37050</v>
      </c>
      <c r="P516" s="357"/>
      <c r="Q516" s="346">
        <f t="shared" si="62"/>
        <v>37050</v>
      </c>
      <c r="R516" s="21">
        <f t="shared" si="60"/>
        <v>0</v>
      </c>
      <c r="S516" s="88">
        <f t="shared" si="61"/>
        <v>37050</v>
      </c>
    </row>
    <row r="517" spans="2:19" x14ac:dyDescent="0.2">
      <c r="B517" s="83">
        <f t="shared" si="63"/>
        <v>84</v>
      </c>
      <c r="C517" s="4"/>
      <c r="D517" s="4"/>
      <c r="E517" s="4"/>
      <c r="F517" s="27"/>
      <c r="G517" s="4"/>
      <c r="H517" s="45" t="s">
        <v>41</v>
      </c>
      <c r="I517" s="22"/>
      <c r="J517" s="22"/>
      <c r="K517" s="113">
        <f t="shared" si="64"/>
        <v>0</v>
      </c>
      <c r="L517" s="357"/>
      <c r="M517" s="368">
        <v>140000</v>
      </c>
      <c r="N517" s="252"/>
      <c r="O517" s="113">
        <f t="shared" si="65"/>
        <v>140000</v>
      </c>
      <c r="P517" s="357"/>
      <c r="Q517" s="346">
        <f t="shared" si="62"/>
        <v>140000</v>
      </c>
      <c r="R517" s="21">
        <f t="shared" si="60"/>
        <v>0</v>
      </c>
      <c r="S517" s="88">
        <f t="shared" si="61"/>
        <v>140000</v>
      </c>
    </row>
    <row r="518" spans="2:19" x14ac:dyDescent="0.2">
      <c r="B518" s="83">
        <f t="shared" si="63"/>
        <v>85</v>
      </c>
      <c r="C518" s="4"/>
      <c r="D518" s="4"/>
      <c r="E518" s="4"/>
      <c r="F518" s="27"/>
      <c r="G518" s="4"/>
      <c r="H518" s="45" t="s">
        <v>388</v>
      </c>
      <c r="I518" s="22"/>
      <c r="J518" s="22"/>
      <c r="K518" s="113">
        <f t="shared" si="64"/>
        <v>0</v>
      </c>
      <c r="L518" s="357"/>
      <c r="M518" s="368">
        <f>621000-22100-20300-35000</f>
        <v>543600</v>
      </c>
      <c r="N518" s="252"/>
      <c r="O518" s="113">
        <f t="shared" si="65"/>
        <v>543600</v>
      </c>
      <c r="P518" s="357"/>
      <c r="Q518" s="346">
        <f t="shared" si="62"/>
        <v>543600</v>
      </c>
      <c r="R518" s="21">
        <f t="shared" si="60"/>
        <v>0</v>
      </c>
      <c r="S518" s="88">
        <f t="shared" si="61"/>
        <v>543600</v>
      </c>
    </row>
    <row r="519" spans="2:19" x14ac:dyDescent="0.2">
      <c r="B519" s="83">
        <f t="shared" si="63"/>
        <v>86</v>
      </c>
      <c r="C519" s="4"/>
      <c r="D519" s="4"/>
      <c r="E519" s="4"/>
      <c r="F519" s="27"/>
      <c r="G519" s="4"/>
      <c r="H519" s="45" t="s">
        <v>47</v>
      </c>
      <c r="I519" s="22"/>
      <c r="J519" s="22"/>
      <c r="K519" s="113">
        <f t="shared" si="64"/>
        <v>0</v>
      </c>
      <c r="L519" s="357"/>
      <c r="M519" s="368">
        <f>40000-20000</f>
        <v>20000</v>
      </c>
      <c r="N519" s="252"/>
      <c r="O519" s="113">
        <f t="shared" si="65"/>
        <v>20000</v>
      </c>
      <c r="P519" s="357"/>
      <c r="Q519" s="346">
        <f t="shared" si="62"/>
        <v>20000</v>
      </c>
      <c r="R519" s="21">
        <f t="shared" si="60"/>
        <v>0</v>
      </c>
      <c r="S519" s="88">
        <f t="shared" si="61"/>
        <v>20000</v>
      </c>
    </row>
    <row r="520" spans="2:19" ht="33.75" x14ac:dyDescent="0.2">
      <c r="B520" s="225">
        <f t="shared" si="63"/>
        <v>87</v>
      </c>
      <c r="C520" s="149"/>
      <c r="D520" s="149"/>
      <c r="E520" s="149"/>
      <c r="F520" s="150"/>
      <c r="G520" s="149"/>
      <c r="H520" s="226" t="s">
        <v>609</v>
      </c>
      <c r="I520" s="178"/>
      <c r="J520" s="178"/>
      <c r="K520" s="391">
        <f t="shared" si="64"/>
        <v>0</v>
      </c>
      <c r="L520" s="366"/>
      <c r="M520" s="390">
        <v>19800</v>
      </c>
      <c r="N520" s="260"/>
      <c r="O520" s="391">
        <f t="shared" si="65"/>
        <v>19800</v>
      </c>
      <c r="P520" s="366"/>
      <c r="Q520" s="369">
        <f t="shared" si="62"/>
        <v>19800</v>
      </c>
      <c r="R520" s="151">
        <f t="shared" si="60"/>
        <v>0</v>
      </c>
      <c r="S520" s="152">
        <f t="shared" si="61"/>
        <v>19800</v>
      </c>
    </row>
    <row r="521" spans="2:19" x14ac:dyDescent="0.2">
      <c r="B521" s="83">
        <f t="shared" si="63"/>
        <v>88</v>
      </c>
      <c r="C521" s="4"/>
      <c r="D521" s="4"/>
      <c r="E521" s="4"/>
      <c r="F521" s="27"/>
      <c r="G521" s="4"/>
      <c r="H521" s="45" t="s">
        <v>305</v>
      </c>
      <c r="I521" s="22"/>
      <c r="J521" s="22"/>
      <c r="K521" s="113">
        <f t="shared" si="64"/>
        <v>0</v>
      </c>
      <c r="L521" s="357"/>
      <c r="M521" s="368">
        <v>50000</v>
      </c>
      <c r="N521" s="252"/>
      <c r="O521" s="113">
        <f t="shared" si="65"/>
        <v>50000</v>
      </c>
      <c r="P521" s="357"/>
      <c r="Q521" s="346">
        <f t="shared" si="62"/>
        <v>50000</v>
      </c>
      <c r="R521" s="21">
        <f t="shared" si="60"/>
        <v>0</v>
      </c>
      <c r="S521" s="88">
        <f t="shared" si="61"/>
        <v>50000</v>
      </c>
    </row>
    <row r="522" spans="2:19" x14ac:dyDescent="0.2">
      <c r="B522" s="83">
        <f t="shared" si="63"/>
        <v>89</v>
      </c>
      <c r="C522" s="4"/>
      <c r="D522" s="4"/>
      <c r="E522" s="4"/>
      <c r="F522" s="27"/>
      <c r="G522" s="4"/>
      <c r="H522" s="45" t="s">
        <v>517</v>
      </c>
      <c r="I522" s="22"/>
      <c r="J522" s="22"/>
      <c r="K522" s="113">
        <f t="shared" si="64"/>
        <v>0</v>
      </c>
      <c r="L522" s="357"/>
      <c r="M522" s="368">
        <v>11500</v>
      </c>
      <c r="N522" s="252"/>
      <c r="O522" s="113">
        <f t="shared" si="65"/>
        <v>11500</v>
      </c>
      <c r="P522" s="357"/>
      <c r="Q522" s="346">
        <f t="shared" si="62"/>
        <v>11500</v>
      </c>
      <c r="R522" s="21">
        <f t="shared" si="60"/>
        <v>0</v>
      </c>
      <c r="S522" s="88">
        <f t="shared" si="61"/>
        <v>11500</v>
      </c>
    </row>
    <row r="523" spans="2:19" x14ac:dyDescent="0.2">
      <c r="B523" s="83">
        <f t="shared" si="63"/>
        <v>90</v>
      </c>
      <c r="C523" s="4"/>
      <c r="D523" s="4"/>
      <c r="E523" s="4"/>
      <c r="F523" s="27"/>
      <c r="G523" s="4"/>
      <c r="H523" s="45" t="s">
        <v>472</v>
      </c>
      <c r="I523" s="22"/>
      <c r="J523" s="22"/>
      <c r="K523" s="113">
        <f t="shared" si="64"/>
        <v>0</v>
      </c>
      <c r="L523" s="357"/>
      <c r="M523" s="368">
        <f>90000-2500</f>
        <v>87500</v>
      </c>
      <c r="N523" s="252"/>
      <c r="O523" s="113">
        <f t="shared" si="65"/>
        <v>87500</v>
      </c>
      <c r="P523" s="357"/>
      <c r="Q523" s="346">
        <f t="shared" si="62"/>
        <v>87500</v>
      </c>
      <c r="R523" s="21">
        <f t="shared" si="60"/>
        <v>0</v>
      </c>
      <c r="S523" s="88">
        <f t="shared" si="61"/>
        <v>87500</v>
      </c>
    </row>
    <row r="524" spans="2:19" x14ac:dyDescent="0.2">
      <c r="B524" s="83">
        <f t="shared" si="63"/>
        <v>91</v>
      </c>
      <c r="C524" s="4"/>
      <c r="D524" s="4"/>
      <c r="E524" s="4"/>
      <c r="F524" s="27"/>
      <c r="G524" s="4"/>
      <c r="H524" s="45" t="s">
        <v>477</v>
      </c>
      <c r="I524" s="22"/>
      <c r="J524" s="22"/>
      <c r="K524" s="113">
        <f t="shared" si="64"/>
        <v>0</v>
      </c>
      <c r="L524" s="357"/>
      <c r="M524" s="368">
        <f>50000-3000</f>
        <v>47000</v>
      </c>
      <c r="N524" s="252"/>
      <c r="O524" s="113">
        <f t="shared" si="65"/>
        <v>47000</v>
      </c>
      <c r="P524" s="357"/>
      <c r="Q524" s="346">
        <f t="shared" si="62"/>
        <v>47000</v>
      </c>
      <c r="R524" s="21">
        <f t="shared" si="60"/>
        <v>0</v>
      </c>
      <c r="S524" s="88">
        <f t="shared" si="61"/>
        <v>47000</v>
      </c>
    </row>
    <row r="525" spans="2:19" x14ac:dyDescent="0.2">
      <c r="B525" s="83">
        <f t="shared" si="63"/>
        <v>92</v>
      </c>
      <c r="C525" s="3"/>
      <c r="D525" s="3"/>
      <c r="E525" s="3"/>
      <c r="F525" s="26"/>
      <c r="G525" s="3"/>
      <c r="H525" s="45" t="s">
        <v>462</v>
      </c>
      <c r="I525" s="167"/>
      <c r="J525" s="167"/>
      <c r="K525" s="209">
        <f t="shared" si="64"/>
        <v>0</v>
      </c>
      <c r="L525" s="385"/>
      <c r="M525" s="368">
        <f>50000-4700</f>
        <v>45300</v>
      </c>
      <c r="N525" s="252"/>
      <c r="O525" s="113">
        <f t="shared" si="65"/>
        <v>45300</v>
      </c>
      <c r="P525" s="357"/>
      <c r="Q525" s="346">
        <f t="shared" si="62"/>
        <v>45300</v>
      </c>
      <c r="R525" s="21">
        <f t="shared" si="60"/>
        <v>0</v>
      </c>
      <c r="S525" s="88">
        <f t="shared" si="61"/>
        <v>45300</v>
      </c>
    </row>
    <row r="526" spans="2:19" x14ac:dyDescent="0.2">
      <c r="B526" s="83">
        <f t="shared" si="63"/>
        <v>93</v>
      </c>
      <c r="C526" s="3"/>
      <c r="D526" s="3"/>
      <c r="E526" s="3"/>
      <c r="F526" s="26"/>
      <c r="G526" s="3"/>
      <c r="H526" s="45" t="s">
        <v>596</v>
      </c>
      <c r="I526" s="167"/>
      <c r="J526" s="167"/>
      <c r="K526" s="209">
        <f t="shared" si="64"/>
        <v>0</v>
      </c>
      <c r="L526" s="385"/>
      <c r="M526" s="368">
        <v>93000</v>
      </c>
      <c r="N526" s="252"/>
      <c r="O526" s="113">
        <f t="shared" si="65"/>
        <v>93000</v>
      </c>
      <c r="P526" s="357"/>
      <c r="Q526" s="346">
        <f t="shared" si="62"/>
        <v>93000</v>
      </c>
      <c r="R526" s="21">
        <f t="shared" si="60"/>
        <v>0</v>
      </c>
      <c r="S526" s="88">
        <f t="shared" si="61"/>
        <v>93000</v>
      </c>
    </row>
    <row r="527" spans="2:19" x14ac:dyDescent="0.2">
      <c r="B527" s="83">
        <f t="shared" si="63"/>
        <v>94</v>
      </c>
      <c r="C527" s="4"/>
      <c r="D527" s="4"/>
      <c r="E527" s="4"/>
      <c r="F527" s="27"/>
      <c r="G527" s="4"/>
      <c r="H527" s="45" t="s">
        <v>306</v>
      </c>
      <c r="I527" s="22"/>
      <c r="J527" s="22"/>
      <c r="K527" s="113">
        <f t="shared" si="64"/>
        <v>0</v>
      </c>
      <c r="L527" s="357"/>
      <c r="M527" s="368">
        <f>30000+5000</f>
        <v>35000</v>
      </c>
      <c r="N527" s="252"/>
      <c r="O527" s="113">
        <f t="shared" si="65"/>
        <v>35000</v>
      </c>
      <c r="P527" s="357"/>
      <c r="Q527" s="346">
        <f t="shared" si="62"/>
        <v>35000</v>
      </c>
      <c r="R527" s="21">
        <f t="shared" si="60"/>
        <v>0</v>
      </c>
      <c r="S527" s="88">
        <f t="shared" si="61"/>
        <v>35000</v>
      </c>
    </row>
    <row r="528" spans="2:19" x14ac:dyDescent="0.2">
      <c r="B528" s="83">
        <f t="shared" si="63"/>
        <v>95</v>
      </c>
      <c r="C528" s="4"/>
      <c r="D528" s="4"/>
      <c r="E528" s="4"/>
      <c r="F528" s="27"/>
      <c r="G528" s="4"/>
      <c r="H528" s="45" t="s">
        <v>493</v>
      </c>
      <c r="I528" s="22"/>
      <c r="J528" s="22"/>
      <c r="K528" s="113">
        <f t="shared" si="64"/>
        <v>0</v>
      </c>
      <c r="L528" s="357"/>
      <c r="M528" s="368">
        <f>35000-3000+20100</f>
        <v>52100</v>
      </c>
      <c r="N528" s="252"/>
      <c r="O528" s="113">
        <f t="shared" si="65"/>
        <v>52100</v>
      </c>
      <c r="P528" s="357"/>
      <c r="Q528" s="346">
        <f t="shared" si="62"/>
        <v>52100</v>
      </c>
      <c r="R528" s="21">
        <f t="shared" si="60"/>
        <v>0</v>
      </c>
      <c r="S528" s="88">
        <f t="shared" si="61"/>
        <v>52100</v>
      </c>
    </row>
    <row r="529" spans="2:19" x14ac:dyDescent="0.2">
      <c r="B529" s="83">
        <f t="shared" si="63"/>
        <v>96</v>
      </c>
      <c r="C529" s="4"/>
      <c r="D529" s="4"/>
      <c r="E529" s="4"/>
      <c r="F529" s="27"/>
      <c r="G529" s="4"/>
      <c r="H529" s="4" t="s">
        <v>502</v>
      </c>
      <c r="I529" s="21"/>
      <c r="J529" s="21"/>
      <c r="K529" s="88">
        <f t="shared" si="64"/>
        <v>0</v>
      </c>
      <c r="L529" s="357"/>
      <c r="M529" s="388">
        <f>15000-1500-2000</f>
        <v>11500</v>
      </c>
      <c r="N529" s="259"/>
      <c r="O529" s="389">
        <f t="shared" si="65"/>
        <v>11500</v>
      </c>
      <c r="P529" s="357"/>
      <c r="Q529" s="346">
        <f t="shared" si="62"/>
        <v>11500</v>
      </c>
      <c r="R529" s="21">
        <f t="shared" si="60"/>
        <v>0</v>
      </c>
      <c r="S529" s="88">
        <f t="shared" si="61"/>
        <v>11500</v>
      </c>
    </row>
    <row r="530" spans="2:19" x14ac:dyDescent="0.2">
      <c r="B530" s="83">
        <f t="shared" si="63"/>
        <v>97</v>
      </c>
      <c r="C530" s="4"/>
      <c r="D530" s="4"/>
      <c r="E530" s="4"/>
      <c r="F530" s="27"/>
      <c r="G530" s="4"/>
      <c r="H530" s="4" t="s">
        <v>582</v>
      </c>
      <c r="I530" s="21"/>
      <c r="J530" s="21"/>
      <c r="K530" s="88">
        <f t="shared" si="64"/>
        <v>0</v>
      </c>
      <c r="L530" s="357"/>
      <c r="M530" s="388">
        <f>10000+11650</f>
        <v>21650</v>
      </c>
      <c r="N530" s="259"/>
      <c r="O530" s="389">
        <f t="shared" si="65"/>
        <v>21650</v>
      </c>
      <c r="P530" s="357"/>
      <c r="Q530" s="346">
        <f t="shared" si="62"/>
        <v>21650</v>
      </c>
      <c r="R530" s="21">
        <f t="shared" si="60"/>
        <v>0</v>
      </c>
      <c r="S530" s="88">
        <f t="shared" si="61"/>
        <v>21650</v>
      </c>
    </row>
    <row r="531" spans="2:19" x14ac:dyDescent="0.2">
      <c r="B531" s="83">
        <f t="shared" si="63"/>
        <v>98</v>
      </c>
      <c r="C531" s="4"/>
      <c r="D531" s="4"/>
      <c r="E531" s="4"/>
      <c r="F531" s="27"/>
      <c r="G531" s="4"/>
      <c r="H531" s="4" t="s">
        <v>389</v>
      </c>
      <c r="I531" s="21"/>
      <c r="J531" s="21"/>
      <c r="K531" s="88">
        <f t="shared" si="64"/>
        <v>0</v>
      </c>
      <c r="L531" s="357"/>
      <c r="M531" s="388">
        <v>2000</v>
      </c>
      <c r="N531" s="259"/>
      <c r="O531" s="389">
        <f t="shared" si="65"/>
        <v>2000</v>
      </c>
      <c r="P531" s="357"/>
      <c r="Q531" s="346">
        <f t="shared" si="62"/>
        <v>2000</v>
      </c>
      <c r="R531" s="21">
        <f t="shared" si="60"/>
        <v>0</v>
      </c>
      <c r="S531" s="88">
        <f t="shared" si="61"/>
        <v>2000</v>
      </c>
    </row>
    <row r="532" spans="2:19" x14ac:dyDescent="0.2">
      <c r="B532" s="83">
        <f t="shared" si="63"/>
        <v>99</v>
      </c>
      <c r="C532" s="4"/>
      <c r="D532" s="4"/>
      <c r="E532" s="4"/>
      <c r="F532" s="27"/>
      <c r="G532" s="4"/>
      <c r="H532" s="4" t="s">
        <v>476</v>
      </c>
      <c r="I532" s="21"/>
      <c r="J532" s="21"/>
      <c r="K532" s="88">
        <f t="shared" si="64"/>
        <v>0</v>
      </c>
      <c r="L532" s="357"/>
      <c r="M532" s="388">
        <f>80000-37000-1500-17000</f>
        <v>24500</v>
      </c>
      <c r="N532" s="259"/>
      <c r="O532" s="389">
        <f t="shared" si="65"/>
        <v>24500</v>
      </c>
      <c r="P532" s="357"/>
      <c r="Q532" s="346">
        <f t="shared" si="62"/>
        <v>24500</v>
      </c>
      <c r="R532" s="21">
        <f t="shared" si="60"/>
        <v>0</v>
      </c>
      <c r="S532" s="88">
        <f t="shared" si="61"/>
        <v>24500</v>
      </c>
    </row>
    <row r="533" spans="2:19" x14ac:dyDescent="0.2">
      <c r="B533" s="83">
        <f t="shared" si="63"/>
        <v>100</v>
      </c>
      <c r="C533" s="4"/>
      <c r="D533" s="4"/>
      <c r="E533" s="4"/>
      <c r="F533" s="27"/>
      <c r="G533" s="4"/>
      <c r="H533" s="4" t="s">
        <v>473</v>
      </c>
      <c r="I533" s="21"/>
      <c r="J533" s="21"/>
      <c r="K533" s="88">
        <f t="shared" si="64"/>
        <v>0</v>
      </c>
      <c r="L533" s="357"/>
      <c r="M533" s="388">
        <f>700000-19350-5000-600</f>
        <v>675050</v>
      </c>
      <c r="N533" s="259">
        <v>-6000</v>
      </c>
      <c r="O533" s="389">
        <f t="shared" si="65"/>
        <v>669050</v>
      </c>
      <c r="P533" s="357"/>
      <c r="Q533" s="346">
        <f t="shared" si="62"/>
        <v>675050</v>
      </c>
      <c r="R533" s="21">
        <f t="shared" si="60"/>
        <v>-6000</v>
      </c>
      <c r="S533" s="88">
        <f t="shared" si="61"/>
        <v>669050</v>
      </c>
    </row>
    <row r="534" spans="2:19" x14ac:dyDescent="0.2">
      <c r="B534" s="83">
        <f t="shared" si="63"/>
        <v>101</v>
      </c>
      <c r="C534" s="4"/>
      <c r="D534" s="4"/>
      <c r="E534" s="4"/>
      <c r="F534" s="27"/>
      <c r="G534" s="4"/>
      <c r="H534" s="4" t="s">
        <v>40</v>
      </c>
      <c r="I534" s="21"/>
      <c r="J534" s="21"/>
      <c r="K534" s="88">
        <f t="shared" si="64"/>
        <v>0</v>
      </c>
      <c r="L534" s="357"/>
      <c r="M534" s="346">
        <f>1645700+20645+50000+12400+9200+14600+1000</f>
        <v>1753545</v>
      </c>
      <c r="N534" s="247"/>
      <c r="O534" s="88">
        <f t="shared" si="65"/>
        <v>1753545</v>
      </c>
      <c r="P534" s="357"/>
      <c r="Q534" s="346">
        <f t="shared" si="62"/>
        <v>1753545</v>
      </c>
      <c r="R534" s="21">
        <f t="shared" si="60"/>
        <v>0</v>
      </c>
      <c r="S534" s="88">
        <f t="shared" si="61"/>
        <v>1753545</v>
      </c>
    </row>
    <row r="535" spans="2:19" x14ac:dyDescent="0.2">
      <c r="B535" s="83">
        <f t="shared" si="63"/>
        <v>102</v>
      </c>
      <c r="C535" s="4"/>
      <c r="D535" s="4"/>
      <c r="E535" s="4"/>
      <c r="F535" s="27"/>
      <c r="G535" s="4"/>
      <c r="H535" s="4" t="s">
        <v>500</v>
      </c>
      <c r="I535" s="21"/>
      <c r="J535" s="21"/>
      <c r="K535" s="88">
        <f t="shared" si="64"/>
        <v>0</v>
      </c>
      <c r="L535" s="357"/>
      <c r="M535" s="346">
        <v>20000</v>
      </c>
      <c r="N535" s="247"/>
      <c r="O535" s="88">
        <f t="shared" si="65"/>
        <v>20000</v>
      </c>
      <c r="P535" s="357"/>
      <c r="Q535" s="346">
        <f t="shared" si="62"/>
        <v>20000</v>
      </c>
      <c r="R535" s="21">
        <f t="shared" si="60"/>
        <v>0</v>
      </c>
      <c r="S535" s="88">
        <f t="shared" si="61"/>
        <v>20000</v>
      </c>
    </row>
    <row r="536" spans="2:19" x14ac:dyDescent="0.2">
      <c r="B536" s="83">
        <f t="shared" si="63"/>
        <v>103</v>
      </c>
      <c r="C536" s="3"/>
      <c r="D536" s="3"/>
      <c r="E536" s="3"/>
      <c r="F536" s="26"/>
      <c r="G536" s="3"/>
      <c r="H536" s="4" t="s">
        <v>403</v>
      </c>
      <c r="I536" s="147"/>
      <c r="J536" s="147"/>
      <c r="K536" s="393">
        <f t="shared" si="64"/>
        <v>0</v>
      </c>
      <c r="L536" s="385"/>
      <c r="M536" s="346">
        <v>42000</v>
      </c>
      <c r="N536" s="247"/>
      <c r="O536" s="88">
        <f t="shared" si="65"/>
        <v>42000</v>
      </c>
      <c r="P536" s="357"/>
      <c r="Q536" s="346">
        <f t="shared" si="62"/>
        <v>42000</v>
      </c>
      <c r="R536" s="21">
        <f t="shared" ref="R536:R557" si="66">J536+N536</f>
        <v>0</v>
      </c>
      <c r="S536" s="88">
        <f t="shared" ref="S536:S557" si="67">K536+O536</f>
        <v>42000</v>
      </c>
    </row>
    <row r="537" spans="2:19" x14ac:dyDescent="0.2">
      <c r="B537" s="83">
        <f t="shared" si="63"/>
        <v>104</v>
      </c>
      <c r="C537" s="3"/>
      <c r="D537" s="3"/>
      <c r="E537" s="3"/>
      <c r="F537" s="26"/>
      <c r="G537" s="3"/>
      <c r="H537" s="4" t="s">
        <v>459</v>
      </c>
      <c r="I537" s="147"/>
      <c r="J537" s="147"/>
      <c r="K537" s="393">
        <f t="shared" si="64"/>
        <v>0</v>
      </c>
      <c r="L537" s="385"/>
      <c r="M537" s="346">
        <v>52000</v>
      </c>
      <c r="N537" s="247"/>
      <c r="O537" s="88">
        <f t="shared" si="65"/>
        <v>52000</v>
      </c>
      <c r="P537" s="357"/>
      <c r="Q537" s="346">
        <f t="shared" si="62"/>
        <v>52000</v>
      </c>
      <c r="R537" s="21">
        <f t="shared" si="66"/>
        <v>0</v>
      </c>
      <c r="S537" s="88">
        <f t="shared" si="67"/>
        <v>52000</v>
      </c>
    </row>
    <row r="538" spans="2:19" x14ac:dyDescent="0.2">
      <c r="B538" s="83">
        <f t="shared" ref="B538:B557" si="68">B537+1</f>
        <v>105</v>
      </c>
      <c r="C538" s="3"/>
      <c r="D538" s="3"/>
      <c r="E538" s="3"/>
      <c r="F538" s="26"/>
      <c r="G538" s="3"/>
      <c r="H538" s="4" t="s">
        <v>460</v>
      </c>
      <c r="I538" s="147"/>
      <c r="J538" s="147"/>
      <c r="K538" s="393">
        <f t="shared" si="64"/>
        <v>0</v>
      </c>
      <c r="L538" s="385"/>
      <c r="M538" s="346">
        <v>80000</v>
      </c>
      <c r="N538" s="247"/>
      <c r="O538" s="88">
        <f t="shared" si="65"/>
        <v>80000</v>
      </c>
      <c r="P538" s="357"/>
      <c r="Q538" s="346">
        <f t="shared" si="62"/>
        <v>80000</v>
      </c>
      <c r="R538" s="21">
        <f t="shared" si="66"/>
        <v>0</v>
      </c>
      <c r="S538" s="88">
        <f t="shared" si="67"/>
        <v>80000</v>
      </c>
    </row>
    <row r="539" spans="2:19" x14ac:dyDescent="0.2">
      <c r="B539" s="83">
        <f t="shared" si="68"/>
        <v>106</v>
      </c>
      <c r="C539" s="3"/>
      <c r="D539" s="3"/>
      <c r="E539" s="3"/>
      <c r="F539" s="26"/>
      <c r="G539" s="3"/>
      <c r="H539" s="4" t="s">
        <v>461</v>
      </c>
      <c r="I539" s="147"/>
      <c r="J539" s="147"/>
      <c r="K539" s="393">
        <f t="shared" si="64"/>
        <v>0</v>
      </c>
      <c r="L539" s="385"/>
      <c r="M539" s="346">
        <f>40000-2000</f>
        <v>38000</v>
      </c>
      <c r="N539" s="247"/>
      <c r="O539" s="88">
        <f t="shared" si="65"/>
        <v>38000</v>
      </c>
      <c r="P539" s="357"/>
      <c r="Q539" s="346">
        <f t="shared" si="62"/>
        <v>38000</v>
      </c>
      <c r="R539" s="21">
        <f t="shared" si="66"/>
        <v>0</v>
      </c>
      <c r="S539" s="88">
        <f t="shared" si="67"/>
        <v>38000</v>
      </c>
    </row>
    <row r="540" spans="2:19" x14ac:dyDescent="0.2">
      <c r="B540" s="83">
        <f t="shared" si="68"/>
        <v>107</v>
      </c>
      <c r="C540" s="3"/>
      <c r="D540" s="3"/>
      <c r="E540" s="3"/>
      <c r="F540" s="26"/>
      <c r="G540" s="3"/>
      <c r="H540" s="4" t="s">
        <v>404</v>
      </c>
      <c r="I540" s="147"/>
      <c r="J540" s="147"/>
      <c r="K540" s="393">
        <f t="shared" si="64"/>
        <v>0</v>
      </c>
      <c r="L540" s="385"/>
      <c r="M540" s="346">
        <v>16000</v>
      </c>
      <c r="N540" s="247"/>
      <c r="O540" s="88">
        <f t="shared" si="65"/>
        <v>16000</v>
      </c>
      <c r="P540" s="357"/>
      <c r="Q540" s="346">
        <f t="shared" si="62"/>
        <v>16000</v>
      </c>
      <c r="R540" s="21">
        <f t="shared" si="66"/>
        <v>0</v>
      </c>
      <c r="S540" s="88">
        <f t="shared" si="67"/>
        <v>16000</v>
      </c>
    </row>
    <row r="541" spans="2:19" x14ac:dyDescent="0.2">
      <c r="B541" s="83">
        <f t="shared" si="68"/>
        <v>108</v>
      </c>
      <c r="C541" s="3"/>
      <c r="D541" s="3"/>
      <c r="E541" s="3"/>
      <c r="F541" s="26"/>
      <c r="G541" s="3"/>
      <c r="H541" s="4" t="s">
        <v>463</v>
      </c>
      <c r="I541" s="147"/>
      <c r="J541" s="147"/>
      <c r="K541" s="393">
        <f t="shared" si="64"/>
        <v>0</v>
      </c>
      <c r="L541" s="385"/>
      <c r="M541" s="346">
        <f>92500-10500-1100-15000-3000-2600</f>
        <v>60300</v>
      </c>
      <c r="N541" s="247"/>
      <c r="O541" s="88">
        <f t="shared" si="65"/>
        <v>60300</v>
      </c>
      <c r="P541" s="357"/>
      <c r="Q541" s="346">
        <f t="shared" si="62"/>
        <v>60300</v>
      </c>
      <c r="R541" s="21">
        <f t="shared" si="66"/>
        <v>0</v>
      </c>
      <c r="S541" s="88">
        <f t="shared" si="67"/>
        <v>60300</v>
      </c>
    </row>
    <row r="542" spans="2:19" x14ac:dyDescent="0.2">
      <c r="B542" s="83">
        <f t="shared" si="68"/>
        <v>109</v>
      </c>
      <c r="C542" s="3"/>
      <c r="D542" s="3"/>
      <c r="E542" s="3"/>
      <c r="F542" s="26"/>
      <c r="G542" s="3"/>
      <c r="H542" s="4" t="s">
        <v>458</v>
      </c>
      <c r="I542" s="147"/>
      <c r="J542" s="147"/>
      <c r="K542" s="393">
        <f t="shared" si="64"/>
        <v>0</v>
      </c>
      <c r="L542" s="385"/>
      <c r="M542" s="346">
        <v>26000</v>
      </c>
      <c r="N542" s="247"/>
      <c r="O542" s="88">
        <f t="shared" si="65"/>
        <v>26000</v>
      </c>
      <c r="P542" s="357"/>
      <c r="Q542" s="346">
        <f t="shared" si="62"/>
        <v>26000</v>
      </c>
      <c r="R542" s="21">
        <f t="shared" si="66"/>
        <v>0</v>
      </c>
      <c r="S542" s="88">
        <f t="shared" si="67"/>
        <v>26000</v>
      </c>
    </row>
    <row r="543" spans="2:19" x14ac:dyDescent="0.2">
      <c r="B543" s="83">
        <f t="shared" si="68"/>
        <v>110</v>
      </c>
      <c r="C543" s="3"/>
      <c r="D543" s="3"/>
      <c r="E543" s="3"/>
      <c r="F543" s="26"/>
      <c r="G543" s="3"/>
      <c r="H543" s="4" t="s">
        <v>466</v>
      </c>
      <c r="I543" s="147"/>
      <c r="J543" s="147"/>
      <c r="K543" s="393">
        <f t="shared" si="64"/>
        <v>0</v>
      </c>
      <c r="L543" s="385"/>
      <c r="M543" s="346">
        <f>47000+27000-2000</f>
        <v>72000</v>
      </c>
      <c r="N543" s="247"/>
      <c r="O543" s="88">
        <f t="shared" si="65"/>
        <v>72000</v>
      </c>
      <c r="P543" s="357"/>
      <c r="Q543" s="346">
        <f t="shared" si="62"/>
        <v>72000</v>
      </c>
      <c r="R543" s="21">
        <f t="shared" si="66"/>
        <v>0</v>
      </c>
      <c r="S543" s="88">
        <f t="shared" si="67"/>
        <v>72000</v>
      </c>
    </row>
    <row r="544" spans="2:19" x14ac:dyDescent="0.2">
      <c r="B544" s="83">
        <f t="shared" si="68"/>
        <v>111</v>
      </c>
      <c r="C544" s="3"/>
      <c r="D544" s="3"/>
      <c r="E544" s="3"/>
      <c r="F544" s="26"/>
      <c r="G544" s="3"/>
      <c r="H544" s="4" t="s">
        <v>468</v>
      </c>
      <c r="I544" s="147"/>
      <c r="J544" s="147"/>
      <c r="K544" s="393">
        <f t="shared" si="64"/>
        <v>0</v>
      </c>
      <c r="L544" s="385"/>
      <c r="M544" s="346">
        <v>39000</v>
      </c>
      <c r="N544" s="247"/>
      <c r="O544" s="88">
        <f t="shared" si="65"/>
        <v>39000</v>
      </c>
      <c r="P544" s="357"/>
      <c r="Q544" s="346">
        <f t="shared" si="62"/>
        <v>39000</v>
      </c>
      <c r="R544" s="21">
        <f t="shared" si="66"/>
        <v>0</v>
      </c>
      <c r="S544" s="88">
        <f t="shared" si="67"/>
        <v>39000</v>
      </c>
    </row>
    <row r="545" spans="2:19" x14ac:dyDescent="0.2">
      <c r="B545" s="83">
        <f t="shared" si="68"/>
        <v>112</v>
      </c>
      <c r="C545" s="3"/>
      <c r="D545" s="3"/>
      <c r="E545" s="3"/>
      <c r="F545" s="26"/>
      <c r="G545" s="3"/>
      <c r="H545" s="4" t="s">
        <v>398</v>
      </c>
      <c r="I545" s="147"/>
      <c r="J545" s="147"/>
      <c r="K545" s="393">
        <f t="shared" si="64"/>
        <v>0</v>
      </c>
      <c r="L545" s="385"/>
      <c r="M545" s="346">
        <v>78000</v>
      </c>
      <c r="N545" s="247"/>
      <c r="O545" s="88">
        <f t="shared" si="65"/>
        <v>78000</v>
      </c>
      <c r="P545" s="357"/>
      <c r="Q545" s="346">
        <f t="shared" si="62"/>
        <v>78000</v>
      </c>
      <c r="R545" s="21">
        <f t="shared" si="66"/>
        <v>0</v>
      </c>
      <c r="S545" s="88">
        <f t="shared" si="67"/>
        <v>78000</v>
      </c>
    </row>
    <row r="546" spans="2:19" x14ac:dyDescent="0.2">
      <c r="B546" s="83">
        <f t="shared" si="68"/>
        <v>113</v>
      </c>
      <c r="C546" s="3"/>
      <c r="D546" s="3"/>
      <c r="E546" s="3"/>
      <c r="F546" s="26"/>
      <c r="G546" s="3"/>
      <c r="H546" s="4" t="s">
        <v>405</v>
      </c>
      <c r="I546" s="147"/>
      <c r="J546" s="147"/>
      <c r="K546" s="393">
        <f t="shared" si="64"/>
        <v>0</v>
      </c>
      <c r="L546" s="385"/>
      <c r="M546" s="346">
        <v>18000</v>
      </c>
      <c r="N546" s="247"/>
      <c r="O546" s="88">
        <f t="shared" si="65"/>
        <v>18000</v>
      </c>
      <c r="P546" s="357"/>
      <c r="Q546" s="346">
        <f t="shared" si="62"/>
        <v>18000</v>
      </c>
      <c r="R546" s="21">
        <f t="shared" si="66"/>
        <v>0</v>
      </c>
      <c r="S546" s="88">
        <f t="shared" si="67"/>
        <v>18000</v>
      </c>
    </row>
    <row r="547" spans="2:19" x14ac:dyDescent="0.2">
      <c r="B547" s="83">
        <f t="shared" si="68"/>
        <v>114</v>
      </c>
      <c r="C547" s="3"/>
      <c r="D547" s="3"/>
      <c r="E547" s="3"/>
      <c r="F547" s="26"/>
      <c r="G547" s="3"/>
      <c r="H547" s="4" t="s">
        <v>401</v>
      </c>
      <c r="I547" s="147"/>
      <c r="J547" s="147"/>
      <c r="K547" s="393">
        <f t="shared" si="64"/>
        <v>0</v>
      </c>
      <c r="L547" s="385"/>
      <c r="M547" s="346">
        <f>29000-5950-1000</f>
        <v>22050</v>
      </c>
      <c r="N547" s="247"/>
      <c r="O547" s="88">
        <f t="shared" si="65"/>
        <v>22050</v>
      </c>
      <c r="P547" s="357"/>
      <c r="Q547" s="346">
        <f t="shared" si="62"/>
        <v>22050</v>
      </c>
      <c r="R547" s="21">
        <f t="shared" si="66"/>
        <v>0</v>
      </c>
      <c r="S547" s="88">
        <f t="shared" si="67"/>
        <v>22050</v>
      </c>
    </row>
    <row r="548" spans="2:19" x14ac:dyDescent="0.2">
      <c r="B548" s="83">
        <f t="shared" si="68"/>
        <v>115</v>
      </c>
      <c r="C548" s="3"/>
      <c r="D548" s="3"/>
      <c r="E548" s="3"/>
      <c r="F548" s="26"/>
      <c r="G548" s="3"/>
      <c r="H548" s="4" t="s">
        <v>391</v>
      </c>
      <c r="I548" s="147"/>
      <c r="J548" s="147"/>
      <c r="K548" s="393">
        <f t="shared" si="64"/>
        <v>0</v>
      </c>
      <c r="L548" s="385"/>
      <c r="M548" s="346">
        <v>24000</v>
      </c>
      <c r="N548" s="247"/>
      <c r="O548" s="88">
        <f t="shared" si="65"/>
        <v>24000</v>
      </c>
      <c r="P548" s="357"/>
      <c r="Q548" s="346">
        <f t="shared" si="62"/>
        <v>24000</v>
      </c>
      <c r="R548" s="21">
        <f t="shared" si="66"/>
        <v>0</v>
      </c>
      <c r="S548" s="88">
        <f t="shared" si="67"/>
        <v>24000</v>
      </c>
    </row>
    <row r="549" spans="2:19" x14ac:dyDescent="0.2">
      <c r="B549" s="83">
        <f t="shared" si="68"/>
        <v>116</v>
      </c>
      <c r="C549" s="3"/>
      <c r="D549" s="3"/>
      <c r="E549" s="3"/>
      <c r="F549" s="26"/>
      <c r="G549" s="3"/>
      <c r="H549" s="4" t="s">
        <v>392</v>
      </c>
      <c r="I549" s="147"/>
      <c r="J549" s="147"/>
      <c r="K549" s="393">
        <f t="shared" si="64"/>
        <v>0</v>
      </c>
      <c r="L549" s="385"/>
      <c r="M549" s="346">
        <f>300000-25000</f>
        <v>275000</v>
      </c>
      <c r="N549" s="247"/>
      <c r="O549" s="88">
        <f t="shared" si="65"/>
        <v>275000</v>
      </c>
      <c r="P549" s="357"/>
      <c r="Q549" s="346">
        <f t="shared" si="62"/>
        <v>275000</v>
      </c>
      <c r="R549" s="21">
        <f t="shared" si="66"/>
        <v>0</v>
      </c>
      <c r="S549" s="88">
        <f t="shared" si="67"/>
        <v>275000</v>
      </c>
    </row>
    <row r="550" spans="2:19" x14ac:dyDescent="0.2">
      <c r="B550" s="83">
        <f t="shared" si="68"/>
        <v>117</v>
      </c>
      <c r="C550" s="3"/>
      <c r="D550" s="3"/>
      <c r="E550" s="3"/>
      <c r="F550" s="26"/>
      <c r="G550" s="3"/>
      <c r="H550" s="4" t="s">
        <v>393</v>
      </c>
      <c r="I550" s="147"/>
      <c r="J550" s="147"/>
      <c r="K550" s="393">
        <f t="shared" si="64"/>
        <v>0</v>
      </c>
      <c r="L550" s="385"/>
      <c r="M550" s="346">
        <v>40000</v>
      </c>
      <c r="N550" s="247"/>
      <c r="O550" s="88">
        <f t="shared" si="65"/>
        <v>40000</v>
      </c>
      <c r="P550" s="357"/>
      <c r="Q550" s="346">
        <f t="shared" si="62"/>
        <v>40000</v>
      </c>
      <c r="R550" s="21">
        <f t="shared" si="66"/>
        <v>0</v>
      </c>
      <c r="S550" s="88">
        <f t="shared" si="67"/>
        <v>40000</v>
      </c>
    </row>
    <row r="551" spans="2:19" x14ac:dyDescent="0.2">
      <c r="B551" s="83">
        <f t="shared" si="68"/>
        <v>118</v>
      </c>
      <c r="C551" s="3"/>
      <c r="D551" s="3"/>
      <c r="E551" s="3"/>
      <c r="F551" s="26"/>
      <c r="G551" s="3"/>
      <c r="H551" s="4" t="s">
        <v>465</v>
      </c>
      <c r="I551" s="147"/>
      <c r="J551" s="147"/>
      <c r="K551" s="393">
        <f t="shared" si="64"/>
        <v>0</v>
      </c>
      <c r="L551" s="385"/>
      <c r="M551" s="346">
        <v>47000</v>
      </c>
      <c r="N551" s="247"/>
      <c r="O551" s="88">
        <f t="shared" si="65"/>
        <v>47000</v>
      </c>
      <c r="P551" s="357"/>
      <c r="Q551" s="346">
        <f t="shared" si="62"/>
        <v>47000</v>
      </c>
      <c r="R551" s="21">
        <f t="shared" si="66"/>
        <v>0</v>
      </c>
      <c r="S551" s="88">
        <f t="shared" si="67"/>
        <v>47000</v>
      </c>
    </row>
    <row r="552" spans="2:19" x14ac:dyDescent="0.2">
      <c r="B552" s="83">
        <f t="shared" si="68"/>
        <v>119</v>
      </c>
      <c r="C552" s="3"/>
      <c r="D552" s="3"/>
      <c r="E552" s="3"/>
      <c r="F552" s="26"/>
      <c r="G552" s="3"/>
      <c r="H552" s="4" t="s">
        <v>467</v>
      </c>
      <c r="I552" s="147"/>
      <c r="J552" s="147"/>
      <c r="K552" s="393">
        <f t="shared" si="64"/>
        <v>0</v>
      </c>
      <c r="L552" s="385"/>
      <c r="M552" s="346">
        <f>47000-4800-150-11000</f>
        <v>31050</v>
      </c>
      <c r="N552" s="247"/>
      <c r="O552" s="88">
        <f t="shared" si="65"/>
        <v>31050</v>
      </c>
      <c r="P552" s="357"/>
      <c r="Q552" s="346">
        <f t="shared" si="62"/>
        <v>31050</v>
      </c>
      <c r="R552" s="21">
        <f t="shared" si="66"/>
        <v>0</v>
      </c>
      <c r="S552" s="88">
        <f t="shared" si="67"/>
        <v>31050</v>
      </c>
    </row>
    <row r="553" spans="2:19" x14ac:dyDescent="0.2">
      <c r="B553" s="83">
        <f t="shared" si="68"/>
        <v>120</v>
      </c>
      <c r="C553" s="3"/>
      <c r="D553" s="3"/>
      <c r="E553" s="3"/>
      <c r="F553" s="26"/>
      <c r="G553" s="3"/>
      <c r="H553" s="4" t="s">
        <v>469</v>
      </c>
      <c r="I553" s="147"/>
      <c r="J553" s="147"/>
      <c r="K553" s="393">
        <f t="shared" si="64"/>
        <v>0</v>
      </c>
      <c r="L553" s="385"/>
      <c r="M553" s="346">
        <v>45000</v>
      </c>
      <c r="N553" s="247"/>
      <c r="O553" s="88">
        <f t="shared" si="65"/>
        <v>45000</v>
      </c>
      <c r="P553" s="357"/>
      <c r="Q553" s="346">
        <f t="shared" si="62"/>
        <v>45000</v>
      </c>
      <c r="R553" s="21">
        <f t="shared" si="66"/>
        <v>0</v>
      </c>
      <c r="S553" s="88">
        <f t="shared" si="67"/>
        <v>45000</v>
      </c>
    </row>
    <row r="554" spans="2:19" x14ac:dyDescent="0.2">
      <c r="B554" s="83">
        <f t="shared" si="68"/>
        <v>121</v>
      </c>
      <c r="C554" s="3"/>
      <c r="D554" s="3"/>
      <c r="E554" s="3"/>
      <c r="F554" s="26"/>
      <c r="G554" s="3"/>
      <c r="H554" s="4" t="s">
        <v>400</v>
      </c>
      <c r="I554" s="147"/>
      <c r="J554" s="147"/>
      <c r="K554" s="393">
        <f t="shared" si="64"/>
        <v>0</v>
      </c>
      <c r="L554" s="385"/>
      <c r="M554" s="346">
        <f>16000-6500</f>
        <v>9500</v>
      </c>
      <c r="N554" s="247"/>
      <c r="O554" s="88">
        <f t="shared" si="65"/>
        <v>9500</v>
      </c>
      <c r="P554" s="357"/>
      <c r="Q554" s="346">
        <f t="shared" si="62"/>
        <v>9500</v>
      </c>
      <c r="R554" s="21">
        <f t="shared" si="66"/>
        <v>0</v>
      </c>
      <c r="S554" s="88">
        <f t="shared" si="67"/>
        <v>9500</v>
      </c>
    </row>
    <row r="555" spans="2:19" x14ac:dyDescent="0.2">
      <c r="B555" s="83">
        <f t="shared" si="68"/>
        <v>122</v>
      </c>
      <c r="C555" s="3"/>
      <c r="D555" s="3"/>
      <c r="E555" s="3"/>
      <c r="F555" s="26"/>
      <c r="G555" s="3"/>
      <c r="H555" s="4" t="s">
        <v>402</v>
      </c>
      <c r="I555" s="147"/>
      <c r="J555" s="147"/>
      <c r="K555" s="393">
        <f t="shared" si="64"/>
        <v>0</v>
      </c>
      <c r="L555" s="385"/>
      <c r="M555" s="346">
        <v>200000</v>
      </c>
      <c r="N555" s="247"/>
      <c r="O555" s="88">
        <f t="shared" si="65"/>
        <v>200000</v>
      </c>
      <c r="P555" s="357"/>
      <c r="Q555" s="346">
        <f t="shared" si="62"/>
        <v>200000</v>
      </c>
      <c r="R555" s="21">
        <f t="shared" si="66"/>
        <v>0</v>
      </c>
      <c r="S555" s="88">
        <f t="shared" si="67"/>
        <v>200000</v>
      </c>
    </row>
    <row r="556" spans="2:19" x14ac:dyDescent="0.2">
      <c r="B556" s="83">
        <f t="shared" si="68"/>
        <v>123</v>
      </c>
      <c r="C556" s="3"/>
      <c r="D556" s="3"/>
      <c r="E556" s="3"/>
      <c r="F556" s="26"/>
      <c r="G556" s="3"/>
      <c r="H556" s="4" t="s">
        <v>390</v>
      </c>
      <c r="I556" s="147"/>
      <c r="J556" s="147"/>
      <c r="K556" s="393">
        <f t="shared" si="64"/>
        <v>0</v>
      </c>
      <c r="L556" s="385"/>
      <c r="M556" s="346">
        <v>16000</v>
      </c>
      <c r="N556" s="247"/>
      <c r="O556" s="88">
        <f t="shared" si="65"/>
        <v>16000</v>
      </c>
      <c r="P556" s="357"/>
      <c r="Q556" s="346">
        <f>I556+M556</f>
        <v>16000</v>
      </c>
      <c r="R556" s="21">
        <f t="shared" si="66"/>
        <v>0</v>
      </c>
      <c r="S556" s="88">
        <f t="shared" si="67"/>
        <v>16000</v>
      </c>
    </row>
    <row r="557" spans="2:19" ht="13.5" thickBot="1" x14ac:dyDescent="0.25">
      <c r="B557" s="89">
        <f t="shared" si="68"/>
        <v>124</v>
      </c>
      <c r="C557" s="14"/>
      <c r="D557" s="14"/>
      <c r="E557" s="14"/>
      <c r="F557" s="90"/>
      <c r="G557" s="14"/>
      <c r="H557" s="95" t="s">
        <v>399</v>
      </c>
      <c r="I557" s="174"/>
      <c r="J557" s="174"/>
      <c r="K557" s="394">
        <f t="shared" si="64"/>
        <v>0</v>
      </c>
      <c r="L557" s="392"/>
      <c r="M557" s="350">
        <v>55000</v>
      </c>
      <c r="N557" s="250"/>
      <c r="O557" s="99">
        <f t="shared" si="65"/>
        <v>55000</v>
      </c>
      <c r="P557" s="361"/>
      <c r="Q557" s="350">
        <f>I557+M557</f>
        <v>55000</v>
      </c>
      <c r="R557" s="98">
        <f t="shared" si="66"/>
        <v>0</v>
      </c>
      <c r="S557" s="99">
        <f t="shared" si="67"/>
        <v>55000</v>
      </c>
    </row>
    <row r="587" spans="2:19" ht="27.75" thickBot="1" x14ac:dyDescent="0.4">
      <c r="B587" s="455" t="s">
        <v>28</v>
      </c>
      <c r="C587" s="456"/>
      <c r="D587" s="456"/>
      <c r="E587" s="456"/>
      <c r="F587" s="456"/>
      <c r="G587" s="456"/>
      <c r="H587" s="456"/>
      <c r="I587" s="456"/>
      <c r="J587" s="456"/>
      <c r="K587" s="456"/>
      <c r="L587" s="456"/>
      <c r="M587" s="456"/>
      <c r="N587" s="456"/>
      <c r="O587" s="456"/>
      <c r="P587" s="456"/>
      <c r="Q587" s="456"/>
    </row>
    <row r="588" spans="2:19" ht="13.5" customHeight="1" thickBot="1" x14ac:dyDescent="0.25">
      <c r="B588" s="452" t="s">
        <v>359</v>
      </c>
      <c r="C588" s="453"/>
      <c r="D588" s="453"/>
      <c r="E588" s="453"/>
      <c r="F588" s="453"/>
      <c r="G588" s="453"/>
      <c r="H588" s="453"/>
      <c r="I588" s="453"/>
      <c r="J588" s="453"/>
      <c r="K588" s="453"/>
      <c r="L588" s="453"/>
      <c r="M588" s="453"/>
      <c r="N588" s="453"/>
      <c r="O588" s="454"/>
      <c r="P588" s="339"/>
      <c r="Q588" s="457" t="s">
        <v>667</v>
      </c>
      <c r="R588" s="488" t="s">
        <v>668</v>
      </c>
      <c r="S588" s="491" t="s">
        <v>669</v>
      </c>
    </row>
    <row r="589" spans="2:19" ht="13.5" customHeight="1" thickBot="1" x14ac:dyDescent="0.25">
      <c r="B589" s="466"/>
      <c r="C589" s="460" t="s">
        <v>125</v>
      </c>
      <c r="D589" s="460" t="s">
        <v>126</v>
      </c>
      <c r="E589" s="460"/>
      <c r="F589" s="460" t="s">
        <v>127</v>
      </c>
      <c r="G589" s="470" t="s">
        <v>128</v>
      </c>
      <c r="H589" s="473" t="s">
        <v>129</v>
      </c>
      <c r="I589" s="463" t="s">
        <v>670</v>
      </c>
      <c r="J589" s="495" t="s">
        <v>668</v>
      </c>
      <c r="K589" s="491" t="s">
        <v>671</v>
      </c>
      <c r="L589" s="53"/>
      <c r="M589" s="474" t="s">
        <v>672</v>
      </c>
      <c r="N589" s="488" t="s">
        <v>668</v>
      </c>
      <c r="O589" s="491" t="s">
        <v>671</v>
      </c>
      <c r="P589" s="53"/>
      <c r="Q589" s="458"/>
      <c r="R589" s="489"/>
      <c r="S589" s="492"/>
    </row>
    <row r="590" spans="2:19" ht="13.5" thickBot="1" x14ac:dyDescent="0.25">
      <c r="B590" s="466"/>
      <c r="C590" s="461"/>
      <c r="D590" s="461"/>
      <c r="E590" s="461"/>
      <c r="F590" s="461"/>
      <c r="G590" s="471"/>
      <c r="H590" s="473"/>
      <c r="I590" s="463"/>
      <c r="J590" s="495"/>
      <c r="K590" s="492"/>
      <c r="L590" s="53"/>
      <c r="M590" s="475"/>
      <c r="N590" s="489"/>
      <c r="O590" s="492"/>
      <c r="P590" s="53"/>
      <c r="Q590" s="458"/>
      <c r="R590" s="489"/>
      <c r="S590" s="492"/>
    </row>
    <row r="591" spans="2:19" ht="13.5" thickBot="1" x14ac:dyDescent="0.25">
      <c r="B591" s="466"/>
      <c r="C591" s="461"/>
      <c r="D591" s="461"/>
      <c r="E591" s="461"/>
      <c r="F591" s="461"/>
      <c r="G591" s="471"/>
      <c r="H591" s="473"/>
      <c r="I591" s="463"/>
      <c r="J591" s="495"/>
      <c r="K591" s="492"/>
      <c r="L591" s="53"/>
      <c r="M591" s="475"/>
      <c r="N591" s="489"/>
      <c r="O591" s="492"/>
      <c r="P591" s="53"/>
      <c r="Q591" s="458"/>
      <c r="R591" s="489"/>
      <c r="S591" s="492"/>
    </row>
    <row r="592" spans="2:19" ht="13.5" thickBot="1" x14ac:dyDescent="0.25">
      <c r="B592" s="466"/>
      <c r="C592" s="462"/>
      <c r="D592" s="462"/>
      <c r="E592" s="462"/>
      <c r="F592" s="462"/>
      <c r="G592" s="472"/>
      <c r="H592" s="473"/>
      <c r="I592" s="464"/>
      <c r="J592" s="496"/>
      <c r="K592" s="493"/>
      <c r="L592" s="53"/>
      <c r="M592" s="476"/>
      <c r="N592" s="490"/>
      <c r="O592" s="493"/>
      <c r="P592" s="53"/>
      <c r="Q592" s="459"/>
      <c r="R592" s="490"/>
      <c r="S592" s="493"/>
    </row>
    <row r="593" spans="2:19" ht="16.5" thickTop="1" x14ac:dyDescent="0.2">
      <c r="B593" s="83">
        <v>1</v>
      </c>
      <c r="C593" s="477" t="s">
        <v>28</v>
      </c>
      <c r="D593" s="482"/>
      <c r="E593" s="482"/>
      <c r="F593" s="482"/>
      <c r="G593" s="482"/>
      <c r="H593" s="483"/>
      <c r="I593" s="35">
        <f>I594+I784+I994+I1102+I1356</f>
        <v>18017478</v>
      </c>
      <c r="J593" s="35">
        <f>J594+J784+J994+J1102+J1356</f>
        <v>166027</v>
      </c>
      <c r="K593" s="93">
        <f>J593+I593</f>
        <v>18183505</v>
      </c>
      <c r="L593" s="360"/>
      <c r="M593" s="348">
        <f>M594+M784+M994+M1102+M1356</f>
        <v>3685444</v>
      </c>
      <c r="N593" s="348">
        <f>N594+N784+N994+N1102+N1356</f>
        <v>0</v>
      </c>
      <c r="O593" s="93">
        <f>N593+M593</f>
        <v>3685444</v>
      </c>
      <c r="P593" s="360"/>
      <c r="Q593" s="348">
        <f t="shared" ref="Q593:Q662" si="69">I593+M593</f>
        <v>21702922</v>
      </c>
      <c r="R593" s="35">
        <f t="shared" ref="R593:R662" si="70">J593+N593</f>
        <v>166027</v>
      </c>
      <c r="S593" s="93">
        <f>K593+O593</f>
        <v>21868949</v>
      </c>
    </row>
    <row r="594" spans="2:19" ht="15" x14ac:dyDescent="0.2">
      <c r="B594" s="83">
        <f>B593+1</f>
        <v>2</v>
      </c>
      <c r="C594" s="239">
        <v>1</v>
      </c>
      <c r="D594" s="444" t="s">
        <v>203</v>
      </c>
      <c r="E594" s="445"/>
      <c r="F594" s="445"/>
      <c r="G594" s="445"/>
      <c r="H594" s="446"/>
      <c r="I594" s="36">
        <f>I595+I607+I620</f>
        <v>4333976</v>
      </c>
      <c r="J594" s="36">
        <f>J595+J607+J620</f>
        <v>-2937</v>
      </c>
      <c r="K594" s="84">
        <f t="shared" ref="K594:K655" si="71">J594+I594</f>
        <v>4331039</v>
      </c>
      <c r="L594" s="353"/>
      <c r="M594" s="342">
        <f>M607+M620</f>
        <v>3162969</v>
      </c>
      <c r="N594" s="244"/>
      <c r="O594" s="84">
        <f t="shared" ref="O594:O655" si="72">N594+M594</f>
        <v>3162969</v>
      </c>
      <c r="P594" s="353"/>
      <c r="Q594" s="342">
        <f t="shared" si="69"/>
        <v>7496945</v>
      </c>
      <c r="R594" s="36">
        <f t="shared" si="70"/>
        <v>-2937</v>
      </c>
      <c r="S594" s="84">
        <f t="shared" ref="S594:S662" si="73">K594+O594</f>
        <v>7494008</v>
      </c>
    </row>
    <row r="595" spans="2:19" x14ac:dyDescent="0.2">
      <c r="B595" s="83">
        <f>B594+1</f>
        <v>3</v>
      </c>
      <c r="C595" s="7"/>
      <c r="D595" s="7"/>
      <c r="E595" s="7"/>
      <c r="F595" s="25" t="s">
        <v>202</v>
      </c>
      <c r="G595" s="7">
        <v>640</v>
      </c>
      <c r="H595" s="7" t="s">
        <v>140</v>
      </c>
      <c r="I595" s="23">
        <f>I596+I598</f>
        <v>595644</v>
      </c>
      <c r="J595" s="23">
        <f>J596+J598</f>
        <v>-290</v>
      </c>
      <c r="K595" s="86">
        <f t="shared" si="71"/>
        <v>595354</v>
      </c>
      <c r="L595" s="355"/>
      <c r="M595" s="344"/>
      <c r="N595" s="246"/>
      <c r="O595" s="86">
        <f t="shared" si="72"/>
        <v>0</v>
      </c>
      <c r="P595" s="355"/>
      <c r="Q595" s="344">
        <f t="shared" si="69"/>
        <v>595644</v>
      </c>
      <c r="R595" s="23">
        <f t="shared" si="70"/>
        <v>-290</v>
      </c>
      <c r="S595" s="86">
        <f t="shared" si="73"/>
        <v>595354</v>
      </c>
    </row>
    <row r="596" spans="2:19" x14ac:dyDescent="0.2">
      <c r="B596" s="83">
        <f t="shared" ref="B596:B656" si="74">B595+1</f>
        <v>4</v>
      </c>
      <c r="C596" s="3"/>
      <c r="D596" s="3"/>
      <c r="E596" s="3"/>
      <c r="F596" s="26" t="s">
        <v>202</v>
      </c>
      <c r="G596" s="3">
        <v>641</v>
      </c>
      <c r="H596" s="3" t="s">
        <v>194</v>
      </c>
      <c r="I596" s="19">
        <f>I597</f>
        <v>1140</v>
      </c>
      <c r="J596" s="19">
        <f>J597</f>
        <v>-290</v>
      </c>
      <c r="K596" s="87">
        <f t="shared" si="71"/>
        <v>850</v>
      </c>
      <c r="L596" s="356"/>
      <c r="M596" s="345"/>
      <c r="N596" s="208"/>
      <c r="O596" s="87">
        <f t="shared" si="72"/>
        <v>0</v>
      </c>
      <c r="P596" s="356"/>
      <c r="Q596" s="345">
        <f t="shared" si="69"/>
        <v>1140</v>
      </c>
      <c r="R596" s="19">
        <f t="shared" si="70"/>
        <v>-290</v>
      </c>
      <c r="S596" s="87">
        <f t="shared" si="73"/>
        <v>850</v>
      </c>
    </row>
    <row r="597" spans="2:19" x14ac:dyDescent="0.2">
      <c r="B597" s="83">
        <f t="shared" si="74"/>
        <v>5</v>
      </c>
      <c r="C597" s="4"/>
      <c r="D597" s="4"/>
      <c r="E597" s="4"/>
      <c r="F597" s="27"/>
      <c r="G597" s="4"/>
      <c r="H597" s="4" t="s">
        <v>301</v>
      </c>
      <c r="I597" s="21">
        <f>3050-200-1710</f>
        <v>1140</v>
      </c>
      <c r="J597" s="21">
        <v>-290</v>
      </c>
      <c r="K597" s="88">
        <f t="shared" si="71"/>
        <v>850</v>
      </c>
      <c r="L597" s="357"/>
      <c r="M597" s="346"/>
      <c r="N597" s="247"/>
      <c r="O597" s="88">
        <f t="shared" si="72"/>
        <v>0</v>
      </c>
      <c r="P597" s="357"/>
      <c r="Q597" s="346">
        <f t="shared" si="69"/>
        <v>1140</v>
      </c>
      <c r="R597" s="21">
        <f t="shared" si="70"/>
        <v>-290</v>
      </c>
      <c r="S597" s="88">
        <f t="shared" si="73"/>
        <v>850</v>
      </c>
    </row>
    <row r="598" spans="2:19" x14ac:dyDescent="0.2">
      <c r="B598" s="83">
        <f t="shared" si="74"/>
        <v>6</v>
      </c>
      <c r="C598" s="3"/>
      <c r="D598" s="3"/>
      <c r="E598" s="3"/>
      <c r="F598" s="26" t="s">
        <v>202</v>
      </c>
      <c r="G598" s="3">
        <v>642</v>
      </c>
      <c r="H598" s="3" t="s">
        <v>141</v>
      </c>
      <c r="I598" s="63">
        <f>SUM(I599:I606)</f>
        <v>594504</v>
      </c>
      <c r="J598" s="63"/>
      <c r="K598" s="175">
        <f t="shared" si="71"/>
        <v>594504</v>
      </c>
      <c r="L598" s="356"/>
      <c r="M598" s="345"/>
      <c r="N598" s="208"/>
      <c r="O598" s="87">
        <f t="shared" si="72"/>
        <v>0</v>
      </c>
      <c r="P598" s="356"/>
      <c r="Q598" s="345">
        <f t="shared" si="69"/>
        <v>594504</v>
      </c>
      <c r="R598" s="19">
        <f t="shared" si="70"/>
        <v>0</v>
      </c>
      <c r="S598" s="87">
        <f t="shared" si="73"/>
        <v>594504</v>
      </c>
    </row>
    <row r="599" spans="2:19" x14ac:dyDescent="0.2">
      <c r="B599" s="83">
        <f t="shared" si="74"/>
        <v>7</v>
      </c>
      <c r="C599" s="4"/>
      <c r="D599" s="4"/>
      <c r="E599" s="4"/>
      <c r="F599" s="27"/>
      <c r="G599" s="4"/>
      <c r="H599" s="4" t="s">
        <v>554</v>
      </c>
      <c r="I599" s="39">
        <f>148800+837</f>
        <v>149637</v>
      </c>
      <c r="J599" s="39"/>
      <c r="K599" s="389">
        <f t="shared" si="71"/>
        <v>149637</v>
      </c>
      <c r="L599" s="357"/>
      <c r="M599" s="346"/>
      <c r="N599" s="247"/>
      <c r="O599" s="88">
        <f t="shared" si="72"/>
        <v>0</v>
      </c>
      <c r="P599" s="357"/>
      <c r="Q599" s="346">
        <f t="shared" si="69"/>
        <v>149637</v>
      </c>
      <c r="R599" s="21">
        <f t="shared" si="70"/>
        <v>0</v>
      </c>
      <c r="S599" s="88">
        <f t="shared" si="73"/>
        <v>149637</v>
      </c>
    </row>
    <row r="600" spans="2:19" x14ac:dyDescent="0.2">
      <c r="B600" s="83">
        <f t="shared" si="74"/>
        <v>8</v>
      </c>
      <c r="C600" s="4"/>
      <c r="D600" s="4"/>
      <c r="E600" s="4"/>
      <c r="F600" s="27"/>
      <c r="G600" s="4"/>
      <c r="H600" s="45" t="s">
        <v>534</v>
      </c>
      <c r="I600" s="39">
        <f>66357+373</f>
        <v>66730</v>
      </c>
      <c r="J600" s="39"/>
      <c r="K600" s="389">
        <f t="shared" si="71"/>
        <v>66730</v>
      </c>
      <c r="L600" s="357"/>
      <c r="M600" s="346"/>
      <c r="N600" s="247"/>
      <c r="O600" s="88">
        <f t="shared" si="72"/>
        <v>0</v>
      </c>
      <c r="P600" s="357"/>
      <c r="Q600" s="346">
        <f t="shared" si="69"/>
        <v>66730</v>
      </c>
      <c r="R600" s="21">
        <f t="shared" si="70"/>
        <v>0</v>
      </c>
      <c r="S600" s="88">
        <f t="shared" si="73"/>
        <v>66730</v>
      </c>
    </row>
    <row r="601" spans="2:19" x14ac:dyDescent="0.2">
      <c r="B601" s="83">
        <f t="shared" si="74"/>
        <v>9</v>
      </c>
      <c r="C601" s="4"/>
      <c r="D601" s="4"/>
      <c r="E601" s="4"/>
      <c r="F601" s="27"/>
      <c r="G601" s="4"/>
      <c r="H601" s="45" t="s">
        <v>535</v>
      </c>
      <c r="I601" s="39">
        <f>52282+293</f>
        <v>52575</v>
      </c>
      <c r="J601" s="39"/>
      <c r="K601" s="389">
        <f t="shared" si="71"/>
        <v>52575</v>
      </c>
      <c r="L601" s="357"/>
      <c r="M601" s="346"/>
      <c r="N601" s="247"/>
      <c r="O601" s="88">
        <f t="shared" si="72"/>
        <v>0</v>
      </c>
      <c r="P601" s="357"/>
      <c r="Q601" s="346">
        <f t="shared" si="69"/>
        <v>52575</v>
      </c>
      <c r="R601" s="21">
        <f t="shared" si="70"/>
        <v>0</v>
      </c>
      <c r="S601" s="88">
        <f t="shared" si="73"/>
        <v>52575</v>
      </c>
    </row>
    <row r="602" spans="2:19" x14ac:dyDescent="0.2">
      <c r="B602" s="83">
        <f t="shared" si="74"/>
        <v>10</v>
      </c>
      <c r="C602" s="4"/>
      <c r="D602" s="4"/>
      <c r="E602" s="4"/>
      <c r="F602" s="27"/>
      <c r="G602" s="4"/>
      <c r="H602" s="4" t="s">
        <v>536</v>
      </c>
      <c r="I602" s="39">
        <f>22119+125</f>
        <v>22244</v>
      </c>
      <c r="J602" s="39"/>
      <c r="K602" s="389">
        <f t="shared" si="71"/>
        <v>22244</v>
      </c>
      <c r="L602" s="357"/>
      <c r="M602" s="346"/>
      <c r="N602" s="247"/>
      <c r="O602" s="88">
        <f t="shared" si="72"/>
        <v>0</v>
      </c>
      <c r="P602" s="357"/>
      <c r="Q602" s="346">
        <f t="shared" si="69"/>
        <v>22244</v>
      </c>
      <c r="R602" s="21">
        <f t="shared" si="70"/>
        <v>0</v>
      </c>
      <c r="S602" s="88">
        <f t="shared" si="73"/>
        <v>22244</v>
      </c>
    </row>
    <row r="603" spans="2:19" x14ac:dyDescent="0.2">
      <c r="B603" s="83">
        <f t="shared" si="74"/>
        <v>11</v>
      </c>
      <c r="C603" s="4"/>
      <c r="D603" s="4"/>
      <c r="E603" s="4"/>
      <c r="F603" s="27"/>
      <c r="G603" s="4"/>
      <c r="H603" s="4" t="s">
        <v>537</v>
      </c>
      <c r="I603" s="39">
        <f>76411+430</f>
        <v>76841</v>
      </c>
      <c r="J603" s="39"/>
      <c r="K603" s="389">
        <f t="shared" si="71"/>
        <v>76841</v>
      </c>
      <c r="L603" s="357"/>
      <c r="M603" s="346"/>
      <c r="N603" s="247"/>
      <c r="O603" s="88">
        <f t="shared" si="72"/>
        <v>0</v>
      </c>
      <c r="P603" s="357"/>
      <c r="Q603" s="346">
        <f t="shared" si="69"/>
        <v>76841</v>
      </c>
      <c r="R603" s="21">
        <f t="shared" si="70"/>
        <v>0</v>
      </c>
      <c r="S603" s="88">
        <f t="shared" si="73"/>
        <v>76841</v>
      </c>
    </row>
    <row r="604" spans="2:19" x14ac:dyDescent="0.2">
      <c r="B604" s="83">
        <f t="shared" si="74"/>
        <v>12</v>
      </c>
      <c r="C604" s="4"/>
      <c r="D604" s="4"/>
      <c r="E604" s="4"/>
      <c r="F604" s="27"/>
      <c r="G604" s="4"/>
      <c r="H604" s="4" t="s">
        <v>538</v>
      </c>
      <c r="I604" s="39">
        <f>90487+508</f>
        <v>90995</v>
      </c>
      <c r="J604" s="39"/>
      <c r="K604" s="389">
        <f t="shared" si="71"/>
        <v>90995</v>
      </c>
      <c r="L604" s="357"/>
      <c r="M604" s="346"/>
      <c r="N604" s="247"/>
      <c r="O604" s="88">
        <f t="shared" si="72"/>
        <v>0</v>
      </c>
      <c r="P604" s="357"/>
      <c r="Q604" s="346">
        <f t="shared" si="69"/>
        <v>90995</v>
      </c>
      <c r="R604" s="21">
        <f t="shared" si="70"/>
        <v>0</v>
      </c>
      <c r="S604" s="88">
        <f t="shared" si="73"/>
        <v>90995</v>
      </c>
    </row>
    <row r="605" spans="2:19" x14ac:dyDescent="0.2">
      <c r="B605" s="83">
        <f t="shared" si="74"/>
        <v>13</v>
      </c>
      <c r="C605" s="4"/>
      <c r="D605" s="4"/>
      <c r="E605" s="4"/>
      <c r="F605" s="27"/>
      <c r="G605" s="4"/>
      <c r="H605" s="4" t="s">
        <v>539</v>
      </c>
      <c r="I605" s="39">
        <f>88476+497</f>
        <v>88973</v>
      </c>
      <c r="J605" s="39"/>
      <c r="K605" s="389">
        <f t="shared" si="71"/>
        <v>88973</v>
      </c>
      <c r="L605" s="357"/>
      <c r="M605" s="346"/>
      <c r="N605" s="247"/>
      <c r="O605" s="88">
        <f t="shared" si="72"/>
        <v>0</v>
      </c>
      <c r="P605" s="357"/>
      <c r="Q605" s="346">
        <f t="shared" si="69"/>
        <v>88973</v>
      </c>
      <c r="R605" s="21">
        <f t="shared" si="70"/>
        <v>0</v>
      </c>
      <c r="S605" s="88">
        <f t="shared" si="73"/>
        <v>88973</v>
      </c>
    </row>
    <row r="606" spans="2:19" x14ac:dyDescent="0.2">
      <c r="B606" s="83">
        <f t="shared" si="74"/>
        <v>14</v>
      </c>
      <c r="C606" s="4"/>
      <c r="D606" s="4"/>
      <c r="E606" s="4"/>
      <c r="F606" s="27"/>
      <c r="G606" s="4"/>
      <c r="H606" s="4" t="s">
        <v>540</v>
      </c>
      <c r="I606" s="39">
        <f>46249+260</f>
        <v>46509</v>
      </c>
      <c r="J606" s="39"/>
      <c r="K606" s="389">
        <f t="shared" si="71"/>
        <v>46509</v>
      </c>
      <c r="L606" s="357"/>
      <c r="M606" s="346"/>
      <c r="N606" s="247"/>
      <c r="O606" s="88">
        <f t="shared" si="72"/>
        <v>0</v>
      </c>
      <c r="P606" s="357"/>
      <c r="Q606" s="346">
        <f t="shared" si="69"/>
        <v>46509</v>
      </c>
      <c r="R606" s="21">
        <f t="shared" si="70"/>
        <v>0</v>
      </c>
      <c r="S606" s="88">
        <f t="shared" si="73"/>
        <v>46509</v>
      </c>
    </row>
    <row r="607" spans="2:19" ht="15" x14ac:dyDescent="0.25">
      <c r="B607" s="83">
        <f t="shared" si="74"/>
        <v>15</v>
      </c>
      <c r="C607" s="10"/>
      <c r="D607" s="10"/>
      <c r="E607" s="10">
        <v>3</v>
      </c>
      <c r="F607" s="28"/>
      <c r="G607" s="10"/>
      <c r="H607" s="10" t="s">
        <v>409</v>
      </c>
      <c r="I607" s="38">
        <f>I608+I609+I610+I616</f>
        <v>507186</v>
      </c>
      <c r="J607" s="38">
        <f>J608+J609+J610+J616</f>
        <v>-1455</v>
      </c>
      <c r="K607" s="94">
        <f t="shared" si="71"/>
        <v>505731</v>
      </c>
      <c r="L607" s="365"/>
      <c r="M607" s="362">
        <f>M617</f>
        <v>1235818</v>
      </c>
      <c r="N607" s="253"/>
      <c r="O607" s="94">
        <f t="shared" si="72"/>
        <v>1235818</v>
      </c>
      <c r="P607" s="365"/>
      <c r="Q607" s="362">
        <f t="shared" si="69"/>
        <v>1743004</v>
      </c>
      <c r="R607" s="38">
        <f t="shared" si="70"/>
        <v>-1455</v>
      </c>
      <c r="S607" s="94">
        <f t="shared" si="73"/>
        <v>1741549</v>
      </c>
    </row>
    <row r="608" spans="2:19" x14ac:dyDescent="0.2">
      <c r="B608" s="83">
        <f t="shared" si="74"/>
        <v>16</v>
      </c>
      <c r="C608" s="7"/>
      <c r="D608" s="7"/>
      <c r="E608" s="7"/>
      <c r="F608" s="25" t="s">
        <v>202</v>
      </c>
      <c r="G608" s="7">
        <v>610</v>
      </c>
      <c r="H608" s="7" t="s">
        <v>142</v>
      </c>
      <c r="I608" s="23">
        <f>271673+19076+2398+3000+50+1960+4585</f>
        <v>302742</v>
      </c>
      <c r="J608" s="23">
        <v>-1078</v>
      </c>
      <c r="K608" s="86">
        <f t="shared" si="71"/>
        <v>301664</v>
      </c>
      <c r="L608" s="355"/>
      <c r="M608" s="344"/>
      <c r="N608" s="246"/>
      <c r="O608" s="86">
        <f t="shared" si="72"/>
        <v>0</v>
      </c>
      <c r="P608" s="355"/>
      <c r="Q608" s="344">
        <f t="shared" si="69"/>
        <v>302742</v>
      </c>
      <c r="R608" s="23">
        <f t="shared" si="70"/>
        <v>-1078</v>
      </c>
      <c r="S608" s="86">
        <f t="shared" si="73"/>
        <v>301664</v>
      </c>
    </row>
    <row r="609" spans="2:19" x14ac:dyDescent="0.2">
      <c r="B609" s="83">
        <f t="shared" si="74"/>
        <v>17</v>
      </c>
      <c r="C609" s="7"/>
      <c r="D609" s="7"/>
      <c r="E609" s="7"/>
      <c r="F609" s="25" t="s">
        <v>202</v>
      </c>
      <c r="G609" s="7">
        <v>620</v>
      </c>
      <c r="H609" s="7" t="s">
        <v>135</v>
      </c>
      <c r="I609" s="23">
        <f>102430+7049+886+10+690</f>
        <v>111065</v>
      </c>
      <c r="J609" s="23">
        <v>-377</v>
      </c>
      <c r="K609" s="86">
        <f t="shared" si="71"/>
        <v>110688</v>
      </c>
      <c r="L609" s="355"/>
      <c r="M609" s="344"/>
      <c r="N609" s="246"/>
      <c r="O609" s="86">
        <f t="shared" si="72"/>
        <v>0</v>
      </c>
      <c r="P609" s="355"/>
      <c r="Q609" s="344">
        <f t="shared" si="69"/>
        <v>111065</v>
      </c>
      <c r="R609" s="23">
        <f t="shared" si="70"/>
        <v>-377</v>
      </c>
      <c r="S609" s="86">
        <f t="shared" si="73"/>
        <v>110688</v>
      </c>
    </row>
    <row r="610" spans="2:19" x14ac:dyDescent="0.2">
      <c r="B610" s="83">
        <f t="shared" si="74"/>
        <v>18</v>
      </c>
      <c r="C610" s="7"/>
      <c r="D610" s="7"/>
      <c r="E610" s="7"/>
      <c r="F610" s="25" t="s">
        <v>202</v>
      </c>
      <c r="G610" s="7">
        <v>630</v>
      </c>
      <c r="H610" s="7" t="s">
        <v>132</v>
      </c>
      <c r="I610" s="23">
        <f>SUM(I611:I615)</f>
        <v>87515</v>
      </c>
      <c r="J610" s="23">
        <f>SUM(J611:J615)</f>
        <v>0</v>
      </c>
      <c r="K610" s="86">
        <f t="shared" si="71"/>
        <v>87515</v>
      </c>
      <c r="L610" s="355"/>
      <c r="M610" s="344"/>
      <c r="N610" s="246"/>
      <c r="O610" s="86">
        <f t="shared" si="72"/>
        <v>0</v>
      </c>
      <c r="P610" s="355"/>
      <c r="Q610" s="344">
        <f t="shared" si="69"/>
        <v>87515</v>
      </c>
      <c r="R610" s="23">
        <f t="shared" si="70"/>
        <v>0</v>
      </c>
      <c r="S610" s="86">
        <f t="shared" si="73"/>
        <v>87515</v>
      </c>
    </row>
    <row r="611" spans="2:19" x14ac:dyDescent="0.2">
      <c r="B611" s="83">
        <f t="shared" si="74"/>
        <v>19</v>
      </c>
      <c r="C611" s="3"/>
      <c r="D611" s="3"/>
      <c r="E611" s="3"/>
      <c r="F611" s="26" t="s">
        <v>202</v>
      </c>
      <c r="G611" s="3">
        <v>632</v>
      </c>
      <c r="H611" s="3" t="s">
        <v>145</v>
      </c>
      <c r="I611" s="19">
        <v>49600</v>
      </c>
      <c r="J611" s="19">
        <v>-6500</v>
      </c>
      <c r="K611" s="87">
        <f t="shared" si="71"/>
        <v>43100</v>
      </c>
      <c r="L611" s="356"/>
      <c r="M611" s="345"/>
      <c r="N611" s="208"/>
      <c r="O611" s="87">
        <f t="shared" si="72"/>
        <v>0</v>
      </c>
      <c r="P611" s="356"/>
      <c r="Q611" s="345">
        <f t="shared" si="69"/>
        <v>49600</v>
      </c>
      <c r="R611" s="19">
        <f t="shared" si="70"/>
        <v>-6500</v>
      </c>
      <c r="S611" s="87">
        <f t="shared" si="73"/>
        <v>43100</v>
      </c>
    </row>
    <row r="612" spans="2:19" x14ac:dyDescent="0.2">
      <c r="B612" s="83">
        <f t="shared" si="74"/>
        <v>20</v>
      </c>
      <c r="C612" s="3"/>
      <c r="D612" s="3"/>
      <c r="E612" s="3"/>
      <c r="F612" s="26" t="s">
        <v>202</v>
      </c>
      <c r="G612" s="3">
        <v>633</v>
      </c>
      <c r="H612" s="3" t="s">
        <v>136</v>
      </c>
      <c r="I612" s="19">
        <f>24830-165-12400-4585</f>
        <v>7680</v>
      </c>
      <c r="J612" s="19">
        <v>6500</v>
      </c>
      <c r="K612" s="87">
        <f t="shared" si="71"/>
        <v>14180</v>
      </c>
      <c r="L612" s="356"/>
      <c r="M612" s="345"/>
      <c r="N612" s="208"/>
      <c r="O612" s="87">
        <f t="shared" si="72"/>
        <v>0</v>
      </c>
      <c r="P612" s="356"/>
      <c r="Q612" s="345">
        <f t="shared" si="69"/>
        <v>7680</v>
      </c>
      <c r="R612" s="19">
        <f t="shared" si="70"/>
        <v>6500</v>
      </c>
      <c r="S612" s="87">
        <f t="shared" si="73"/>
        <v>14180</v>
      </c>
    </row>
    <row r="613" spans="2:19" x14ac:dyDescent="0.2">
      <c r="B613" s="83">
        <f t="shared" si="74"/>
        <v>21</v>
      </c>
      <c r="C613" s="3"/>
      <c r="D613" s="3"/>
      <c r="E613" s="3"/>
      <c r="F613" s="26" t="s">
        <v>202</v>
      </c>
      <c r="G613" s="3">
        <v>635</v>
      </c>
      <c r="H613" s="3" t="s">
        <v>144</v>
      </c>
      <c r="I613" s="19">
        <f>2000+12400</f>
        <v>14400</v>
      </c>
      <c r="J613" s="19"/>
      <c r="K613" s="87">
        <f t="shared" si="71"/>
        <v>14400</v>
      </c>
      <c r="L613" s="356"/>
      <c r="M613" s="345"/>
      <c r="N613" s="208"/>
      <c r="O613" s="87">
        <f t="shared" si="72"/>
        <v>0</v>
      </c>
      <c r="P613" s="356"/>
      <c r="Q613" s="345">
        <f t="shared" si="69"/>
        <v>14400</v>
      </c>
      <c r="R613" s="19">
        <f t="shared" si="70"/>
        <v>0</v>
      </c>
      <c r="S613" s="87">
        <f t="shared" si="73"/>
        <v>14400</v>
      </c>
    </row>
    <row r="614" spans="2:19" x14ac:dyDescent="0.2">
      <c r="B614" s="83">
        <f t="shared" si="74"/>
        <v>22</v>
      </c>
      <c r="C614" s="3"/>
      <c r="D614" s="3"/>
      <c r="E614" s="3"/>
      <c r="F614" s="26" t="s">
        <v>202</v>
      </c>
      <c r="G614" s="3">
        <v>636</v>
      </c>
      <c r="H614" s="3" t="s">
        <v>137</v>
      </c>
      <c r="I614" s="19">
        <v>7200</v>
      </c>
      <c r="J614" s="19"/>
      <c r="K614" s="87">
        <f t="shared" si="71"/>
        <v>7200</v>
      </c>
      <c r="L614" s="356"/>
      <c r="M614" s="345"/>
      <c r="N614" s="208"/>
      <c r="O614" s="87">
        <f t="shared" si="72"/>
        <v>0</v>
      </c>
      <c r="P614" s="356"/>
      <c r="Q614" s="345">
        <f t="shared" si="69"/>
        <v>7200</v>
      </c>
      <c r="R614" s="19">
        <f t="shared" si="70"/>
        <v>0</v>
      </c>
      <c r="S614" s="87">
        <f t="shared" si="73"/>
        <v>7200</v>
      </c>
    </row>
    <row r="615" spans="2:19" x14ac:dyDescent="0.2">
      <c r="B615" s="83">
        <f t="shared" si="74"/>
        <v>23</v>
      </c>
      <c r="C615" s="3"/>
      <c r="D615" s="3"/>
      <c r="E615" s="3"/>
      <c r="F615" s="26" t="s">
        <v>202</v>
      </c>
      <c r="G615" s="3">
        <v>637</v>
      </c>
      <c r="H615" s="3" t="s">
        <v>133</v>
      </c>
      <c r="I615" s="19">
        <f>8350+200+85</f>
        <v>8635</v>
      </c>
      <c r="J615" s="19"/>
      <c r="K615" s="87">
        <f t="shared" si="71"/>
        <v>8635</v>
      </c>
      <c r="L615" s="356"/>
      <c r="M615" s="345"/>
      <c r="N615" s="208"/>
      <c r="O615" s="87">
        <f t="shared" si="72"/>
        <v>0</v>
      </c>
      <c r="P615" s="356"/>
      <c r="Q615" s="345">
        <f t="shared" si="69"/>
        <v>8635</v>
      </c>
      <c r="R615" s="19">
        <f t="shared" si="70"/>
        <v>0</v>
      </c>
      <c r="S615" s="87">
        <f t="shared" si="73"/>
        <v>8635</v>
      </c>
    </row>
    <row r="616" spans="2:19" x14ac:dyDescent="0.2">
      <c r="B616" s="83">
        <f t="shared" si="74"/>
        <v>24</v>
      </c>
      <c r="C616" s="7"/>
      <c r="D616" s="7"/>
      <c r="E616" s="7"/>
      <c r="F616" s="25" t="s">
        <v>202</v>
      </c>
      <c r="G616" s="7">
        <v>640</v>
      </c>
      <c r="H616" s="7" t="s">
        <v>140</v>
      </c>
      <c r="I616" s="23">
        <v>5864</v>
      </c>
      <c r="J616" s="23"/>
      <c r="K616" s="86">
        <f t="shared" si="71"/>
        <v>5864</v>
      </c>
      <c r="L616" s="355"/>
      <c r="M616" s="344"/>
      <c r="N616" s="246"/>
      <c r="O616" s="86">
        <f t="shared" si="72"/>
        <v>0</v>
      </c>
      <c r="P616" s="355"/>
      <c r="Q616" s="344">
        <f t="shared" si="69"/>
        <v>5864</v>
      </c>
      <c r="R616" s="23">
        <f t="shared" si="70"/>
        <v>0</v>
      </c>
      <c r="S616" s="86">
        <f t="shared" si="73"/>
        <v>5864</v>
      </c>
    </row>
    <row r="617" spans="2:19" x14ac:dyDescent="0.2">
      <c r="B617" s="83">
        <f t="shared" si="74"/>
        <v>25</v>
      </c>
      <c r="C617" s="7"/>
      <c r="D617" s="7"/>
      <c r="E617" s="7"/>
      <c r="F617" s="25" t="s">
        <v>202</v>
      </c>
      <c r="G617" s="7">
        <v>710</v>
      </c>
      <c r="H617" s="7" t="s">
        <v>187</v>
      </c>
      <c r="I617" s="23"/>
      <c r="J617" s="23"/>
      <c r="K617" s="86">
        <f t="shared" si="71"/>
        <v>0</v>
      </c>
      <c r="L617" s="355"/>
      <c r="M617" s="344">
        <f>M618</f>
        <v>1235818</v>
      </c>
      <c r="N617" s="246"/>
      <c r="O617" s="86">
        <f t="shared" si="72"/>
        <v>1235818</v>
      </c>
      <c r="P617" s="355"/>
      <c r="Q617" s="344">
        <f t="shared" si="69"/>
        <v>1235818</v>
      </c>
      <c r="R617" s="23">
        <f t="shared" si="70"/>
        <v>0</v>
      </c>
      <c r="S617" s="86">
        <f t="shared" si="73"/>
        <v>1235818</v>
      </c>
    </row>
    <row r="618" spans="2:19" x14ac:dyDescent="0.2">
      <c r="B618" s="83">
        <f t="shared" si="74"/>
        <v>26</v>
      </c>
      <c r="C618" s="3"/>
      <c r="D618" s="3"/>
      <c r="E618" s="3"/>
      <c r="F618" s="26" t="s">
        <v>202</v>
      </c>
      <c r="G618" s="3">
        <v>717</v>
      </c>
      <c r="H618" s="3" t="s">
        <v>197</v>
      </c>
      <c r="I618" s="19"/>
      <c r="J618" s="19"/>
      <c r="K618" s="87">
        <f t="shared" si="71"/>
        <v>0</v>
      </c>
      <c r="L618" s="356"/>
      <c r="M618" s="345">
        <f>M619</f>
        <v>1235818</v>
      </c>
      <c r="N618" s="208"/>
      <c r="O618" s="87">
        <f t="shared" si="72"/>
        <v>1235818</v>
      </c>
      <c r="P618" s="356"/>
      <c r="Q618" s="396">
        <f t="shared" si="69"/>
        <v>1235818</v>
      </c>
      <c r="R618" s="397">
        <f t="shared" si="70"/>
        <v>0</v>
      </c>
      <c r="S618" s="112">
        <f t="shared" si="73"/>
        <v>1235818</v>
      </c>
    </row>
    <row r="619" spans="2:19" x14ac:dyDescent="0.2">
      <c r="B619" s="83">
        <f t="shared" si="74"/>
        <v>27</v>
      </c>
      <c r="C619" s="4"/>
      <c r="D619" s="4"/>
      <c r="E619" s="4"/>
      <c r="F619" s="31"/>
      <c r="G619" s="4"/>
      <c r="H619" s="4" t="s">
        <v>372</v>
      </c>
      <c r="I619" s="21"/>
      <c r="J619" s="21"/>
      <c r="K619" s="88">
        <f t="shared" si="71"/>
        <v>0</v>
      </c>
      <c r="L619" s="357"/>
      <c r="M619" s="346">
        <f>1253208+11640-5040-23990</f>
        <v>1235818</v>
      </c>
      <c r="N619" s="247"/>
      <c r="O619" s="88">
        <f t="shared" si="72"/>
        <v>1235818</v>
      </c>
      <c r="P619" s="357"/>
      <c r="Q619" s="368">
        <f t="shared" si="69"/>
        <v>1235818</v>
      </c>
      <c r="R619" s="22">
        <f t="shared" si="70"/>
        <v>0</v>
      </c>
      <c r="S619" s="113">
        <f t="shared" si="73"/>
        <v>1235818</v>
      </c>
    </row>
    <row r="620" spans="2:19" ht="15" x14ac:dyDescent="0.25">
      <c r="B620" s="83">
        <f t="shared" si="74"/>
        <v>28</v>
      </c>
      <c r="C620" s="10"/>
      <c r="D620" s="10"/>
      <c r="E620" s="10">
        <v>4</v>
      </c>
      <c r="F620" s="28"/>
      <c r="G620" s="10"/>
      <c r="H620" s="10" t="s">
        <v>410</v>
      </c>
      <c r="I620" s="38">
        <f>I625+I634+I643+I655+I664+I673+I682+I694+I703+I716+I730+I742+I753+I762+I774+I621+I623</f>
        <v>3231146</v>
      </c>
      <c r="J620" s="38">
        <f>J625+J634+J643+J655+J664+J673+J682+J694+J703+J716+J730+J742+J753+J762+J774+J621+J623</f>
        <v>-1192</v>
      </c>
      <c r="K620" s="94">
        <f t="shared" si="71"/>
        <v>3229954</v>
      </c>
      <c r="L620" s="365"/>
      <c r="M620" s="362">
        <f>M625+M634+M643+M655+M664+M673+M682+M694+M703+M716+M730+M742+M753+M762+M774</f>
        <v>1927151</v>
      </c>
      <c r="N620" s="253"/>
      <c r="O620" s="94">
        <f t="shared" si="72"/>
        <v>1927151</v>
      </c>
      <c r="P620" s="365"/>
      <c r="Q620" s="362">
        <f t="shared" si="69"/>
        <v>5158297</v>
      </c>
      <c r="R620" s="38">
        <f t="shared" si="70"/>
        <v>-1192</v>
      </c>
      <c r="S620" s="94">
        <f t="shared" si="73"/>
        <v>5157105</v>
      </c>
    </row>
    <row r="621" spans="2:19" x14ac:dyDescent="0.2">
      <c r="B621" s="83">
        <f t="shared" si="74"/>
        <v>29</v>
      </c>
      <c r="C621" s="3"/>
      <c r="D621" s="3"/>
      <c r="E621" s="3"/>
      <c r="F621" s="25" t="s">
        <v>202</v>
      </c>
      <c r="G621" s="7">
        <v>630</v>
      </c>
      <c r="H621" s="7" t="s">
        <v>132</v>
      </c>
      <c r="I621" s="23">
        <f>I622</f>
        <v>311</v>
      </c>
      <c r="J621" s="23"/>
      <c r="K621" s="86">
        <f t="shared" si="71"/>
        <v>311</v>
      </c>
      <c r="L621" s="355"/>
      <c r="M621" s="345"/>
      <c r="N621" s="208"/>
      <c r="O621" s="87">
        <f t="shared" si="72"/>
        <v>0</v>
      </c>
      <c r="P621" s="356"/>
      <c r="Q621" s="349">
        <f t="shared" si="69"/>
        <v>311</v>
      </c>
      <c r="R621" s="18">
        <f t="shared" si="70"/>
        <v>0</v>
      </c>
      <c r="S621" s="114">
        <f t="shared" si="73"/>
        <v>311</v>
      </c>
    </row>
    <row r="622" spans="2:19" x14ac:dyDescent="0.2">
      <c r="B622" s="83">
        <f t="shared" si="74"/>
        <v>30</v>
      </c>
      <c r="C622" s="3"/>
      <c r="D622" s="3"/>
      <c r="E622" s="3"/>
      <c r="F622" s="26" t="s">
        <v>202</v>
      </c>
      <c r="G622" s="3">
        <v>630</v>
      </c>
      <c r="H622" s="3" t="s">
        <v>583</v>
      </c>
      <c r="I622" s="19">
        <v>311</v>
      </c>
      <c r="J622" s="19"/>
      <c r="K622" s="87">
        <f t="shared" si="71"/>
        <v>311</v>
      </c>
      <c r="L622" s="356"/>
      <c r="M622" s="345"/>
      <c r="N622" s="208"/>
      <c r="O622" s="87">
        <f t="shared" si="72"/>
        <v>0</v>
      </c>
      <c r="P622" s="356"/>
      <c r="Q622" s="345">
        <f t="shared" si="69"/>
        <v>311</v>
      </c>
      <c r="R622" s="19">
        <f t="shared" si="70"/>
        <v>0</v>
      </c>
      <c r="S622" s="87">
        <f t="shared" si="73"/>
        <v>311</v>
      </c>
    </row>
    <row r="623" spans="2:19" x14ac:dyDescent="0.2">
      <c r="B623" s="83">
        <f t="shared" si="74"/>
        <v>31</v>
      </c>
      <c r="C623" s="3"/>
      <c r="D623" s="3"/>
      <c r="E623" s="3"/>
      <c r="F623" s="30" t="s">
        <v>58</v>
      </c>
      <c r="G623" s="2">
        <v>640</v>
      </c>
      <c r="H623" s="2" t="s">
        <v>140</v>
      </c>
      <c r="I623" s="18">
        <f>I624</f>
        <v>880</v>
      </c>
      <c r="J623" s="18"/>
      <c r="K623" s="114">
        <f t="shared" si="71"/>
        <v>880</v>
      </c>
      <c r="L623" s="355"/>
      <c r="M623" s="349"/>
      <c r="N623" s="207"/>
      <c r="O623" s="114">
        <f t="shared" si="72"/>
        <v>0</v>
      </c>
      <c r="P623" s="355"/>
      <c r="Q623" s="349">
        <f t="shared" si="69"/>
        <v>880</v>
      </c>
      <c r="R623" s="18">
        <f t="shared" si="70"/>
        <v>0</v>
      </c>
      <c r="S623" s="114">
        <f t="shared" si="73"/>
        <v>880</v>
      </c>
    </row>
    <row r="624" spans="2:19" x14ac:dyDescent="0.2">
      <c r="B624" s="83">
        <f t="shared" si="74"/>
        <v>32</v>
      </c>
      <c r="C624" s="3"/>
      <c r="D624" s="3"/>
      <c r="E624" s="3"/>
      <c r="F624" s="26" t="s">
        <v>58</v>
      </c>
      <c r="G624" s="3">
        <v>642</v>
      </c>
      <c r="H624" s="3" t="s">
        <v>657</v>
      </c>
      <c r="I624" s="19">
        <v>880</v>
      </c>
      <c r="J624" s="19"/>
      <c r="K624" s="87">
        <f t="shared" si="71"/>
        <v>880</v>
      </c>
      <c r="L624" s="356"/>
      <c r="M624" s="345"/>
      <c r="N624" s="208"/>
      <c r="O624" s="87">
        <f t="shared" si="72"/>
        <v>0</v>
      </c>
      <c r="P624" s="356"/>
      <c r="Q624" s="345">
        <f t="shared" si="69"/>
        <v>880</v>
      </c>
      <c r="R624" s="19">
        <f t="shared" si="70"/>
        <v>0</v>
      </c>
      <c r="S624" s="87">
        <f t="shared" si="73"/>
        <v>880</v>
      </c>
    </row>
    <row r="625" spans="2:19" x14ac:dyDescent="0.2">
      <c r="B625" s="83">
        <f t="shared" si="74"/>
        <v>33</v>
      </c>
      <c r="C625" s="6"/>
      <c r="D625" s="6"/>
      <c r="E625" s="6" t="s">
        <v>100</v>
      </c>
      <c r="F625" s="29"/>
      <c r="G625" s="6"/>
      <c r="H625" s="6" t="s">
        <v>72</v>
      </c>
      <c r="I625" s="40">
        <f>I626+I627+I628+I633</f>
        <v>158374</v>
      </c>
      <c r="J625" s="40">
        <f>J626+J627+J628+J633</f>
        <v>-5</v>
      </c>
      <c r="K625" s="100">
        <f t="shared" si="71"/>
        <v>158369</v>
      </c>
      <c r="L625" s="355"/>
      <c r="M625" s="398">
        <v>0</v>
      </c>
      <c r="N625" s="261"/>
      <c r="O625" s="100">
        <f t="shared" si="72"/>
        <v>0</v>
      </c>
      <c r="P625" s="355"/>
      <c r="Q625" s="398">
        <f t="shared" si="69"/>
        <v>158374</v>
      </c>
      <c r="R625" s="40">
        <f t="shared" si="70"/>
        <v>-5</v>
      </c>
      <c r="S625" s="100">
        <f t="shared" si="73"/>
        <v>158369</v>
      </c>
    </row>
    <row r="626" spans="2:19" x14ac:dyDescent="0.2">
      <c r="B626" s="83">
        <f t="shared" si="74"/>
        <v>34</v>
      </c>
      <c r="C626" s="7"/>
      <c r="D626" s="7"/>
      <c r="E626" s="7"/>
      <c r="F626" s="25" t="s">
        <v>202</v>
      </c>
      <c r="G626" s="7">
        <v>610</v>
      </c>
      <c r="H626" s="7" t="s">
        <v>142</v>
      </c>
      <c r="I626" s="23">
        <f>87139+5602-1093</f>
        <v>91648</v>
      </c>
      <c r="J626" s="23"/>
      <c r="K626" s="86">
        <f t="shared" si="71"/>
        <v>91648</v>
      </c>
      <c r="L626" s="355"/>
      <c r="M626" s="344"/>
      <c r="N626" s="246"/>
      <c r="O626" s="86">
        <f t="shared" si="72"/>
        <v>0</v>
      </c>
      <c r="P626" s="355"/>
      <c r="Q626" s="344">
        <f t="shared" si="69"/>
        <v>91648</v>
      </c>
      <c r="R626" s="23">
        <f t="shared" si="70"/>
        <v>0</v>
      </c>
      <c r="S626" s="86">
        <f t="shared" si="73"/>
        <v>91648</v>
      </c>
    </row>
    <row r="627" spans="2:19" x14ac:dyDescent="0.2">
      <c r="B627" s="83">
        <f t="shared" si="74"/>
        <v>35</v>
      </c>
      <c r="C627" s="7"/>
      <c r="D627" s="7"/>
      <c r="E627" s="7"/>
      <c r="F627" s="25" t="s">
        <v>202</v>
      </c>
      <c r="G627" s="7">
        <v>620</v>
      </c>
      <c r="H627" s="7" t="s">
        <v>135</v>
      </c>
      <c r="I627" s="23">
        <f>33362+2070-273</f>
        <v>35159</v>
      </c>
      <c r="J627" s="23"/>
      <c r="K627" s="86">
        <f t="shared" si="71"/>
        <v>35159</v>
      </c>
      <c r="L627" s="355"/>
      <c r="M627" s="344"/>
      <c r="N627" s="246"/>
      <c r="O627" s="86">
        <f t="shared" si="72"/>
        <v>0</v>
      </c>
      <c r="P627" s="355"/>
      <c r="Q627" s="344">
        <f t="shared" si="69"/>
        <v>35159</v>
      </c>
      <c r="R627" s="23">
        <f t="shared" si="70"/>
        <v>0</v>
      </c>
      <c r="S627" s="86">
        <f t="shared" si="73"/>
        <v>35159</v>
      </c>
    </row>
    <row r="628" spans="2:19" x14ac:dyDescent="0.2">
      <c r="B628" s="83">
        <f t="shared" si="74"/>
        <v>36</v>
      </c>
      <c r="C628" s="7"/>
      <c r="D628" s="7"/>
      <c r="E628" s="7"/>
      <c r="F628" s="25" t="s">
        <v>202</v>
      </c>
      <c r="G628" s="7">
        <v>630</v>
      </c>
      <c r="H628" s="7" t="s">
        <v>132</v>
      </c>
      <c r="I628" s="23">
        <f>SUM(I629:I632)</f>
        <v>27953</v>
      </c>
      <c r="J628" s="23">
        <f>SUM(J629:J632)</f>
        <v>-5</v>
      </c>
      <c r="K628" s="86">
        <f t="shared" si="71"/>
        <v>27948</v>
      </c>
      <c r="L628" s="355"/>
      <c r="M628" s="344"/>
      <c r="N628" s="246"/>
      <c r="O628" s="86">
        <f t="shared" si="72"/>
        <v>0</v>
      </c>
      <c r="P628" s="355"/>
      <c r="Q628" s="344">
        <f t="shared" si="69"/>
        <v>27953</v>
      </c>
      <c r="R628" s="23">
        <f t="shared" si="70"/>
        <v>-5</v>
      </c>
      <c r="S628" s="86">
        <f t="shared" si="73"/>
        <v>27948</v>
      </c>
    </row>
    <row r="629" spans="2:19" x14ac:dyDescent="0.2">
      <c r="B629" s="83">
        <f t="shared" si="74"/>
        <v>37</v>
      </c>
      <c r="C629" s="3"/>
      <c r="D629" s="3"/>
      <c r="E629" s="3"/>
      <c r="F629" s="26" t="s">
        <v>202</v>
      </c>
      <c r="G629" s="3">
        <v>632</v>
      </c>
      <c r="H629" s="3" t="s">
        <v>145</v>
      </c>
      <c r="I629" s="19">
        <v>15100</v>
      </c>
      <c r="J629" s="19">
        <v>-1400</v>
      </c>
      <c r="K629" s="87">
        <f t="shared" si="71"/>
        <v>13700</v>
      </c>
      <c r="L629" s="356"/>
      <c r="M629" s="345"/>
      <c r="N629" s="208"/>
      <c r="O629" s="87">
        <f t="shared" si="72"/>
        <v>0</v>
      </c>
      <c r="P629" s="356"/>
      <c r="Q629" s="345">
        <f t="shared" si="69"/>
        <v>15100</v>
      </c>
      <c r="R629" s="19">
        <f t="shared" si="70"/>
        <v>-1400</v>
      </c>
      <c r="S629" s="87">
        <f t="shared" si="73"/>
        <v>13700</v>
      </c>
    </row>
    <row r="630" spans="2:19" x14ac:dyDescent="0.2">
      <c r="B630" s="83">
        <f t="shared" si="74"/>
        <v>38</v>
      </c>
      <c r="C630" s="3"/>
      <c r="D630" s="3"/>
      <c r="E630" s="3"/>
      <c r="F630" s="26" t="s">
        <v>202</v>
      </c>
      <c r="G630" s="3">
        <v>633</v>
      </c>
      <c r="H630" s="3" t="s">
        <v>136</v>
      </c>
      <c r="I630" s="19">
        <f>6536+1802</f>
        <v>8338</v>
      </c>
      <c r="J630" s="19">
        <v>1395</v>
      </c>
      <c r="K630" s="87">
        <f t="shared" si="71"/>
        <v>9733</v>
      </c>
      <c r="L630" s="356"/>
      <c r="M630" s="345"/>
      <c r="N630" s="208"/>
      <c r="O630" s="87">
        <f t="shared" si="72"/>
        <v>0</v>
      </c>
      <c r="P630" s="356"/>
      <c r="Q630" s="345">
        <f t="shared" si="69"/>
        <v>8338</v>
      </c>
      <c r="R630" s="19">
        <f t="shared" si="70"/>
        <v>1395</v>
      </c>
      <c r="S630" s="87">
        <f t="shared" si="73"/>
        <v>9733</v>
      </c>
    </row>
    <row r="631" spans="2:19" x14ac:dyDescent="0.2">
      <c r="B631" s="83">
        <f t="shared" si="74"/>
        <v>39</v>
      </c>
      <c r="C631" s="3"/>
      <c r="D631" s="3"/>
      <c r="E631" s="3"/>
      <c r="F631" s="26" t="s">
        <v>202</v>
      </c>
      <c r="G631" s="3">
        <v>635</v>
      </c>
      <c r="H631" s="3" t="s">
        <v>144</v>
      </c>
      <c r="I631" s="19">
        <v>1700</v>
      </c>
      <c r="J631" s="19"/>
      <c r="K631" s="87">
        <f t="shared" si="71"/>
        <v>1700</v>
      </c>
      <c r="L631" s="356"/>
      <c r="M631" s="345"/>
      <c r="N631" s="208"/>
      <c r="O631" s="87">
        <f t="shared" si="72"/>
        <v>0</v>
      </c>
      <c r="P631" s="356"/>
      <c r="Q631" s="345">
        <f t="shared" si="69"/>
        <v>1700</v>
      </c>
      <c r="R631" s="19">
        <f t="shared" si="70"/>
        <v>0</v>
      </c>
      <c r="S631" s="87">
        <f t="shared" si="73"/>
        <v>1700</v>
      </c>
    </row>
    <row r="632" spans="2:19" x14ac:dyDescent="0.2">
      <c r="B632" s="83">
        <f t="shared" si="74"/>
        <v>40</v>
      </c>
      <c r="C632" s="3"/>
      <c r="D632" s="3"/>
      <c r="E632" s="3"/>
      <c r="F632" s="26" t="s">
        <v>202</v>
      </c>
      <c r="G632" s="3">
        <v>637</v>
      </c>
      <c r="H632" s="3" t="s">
        <v>133</v>
      </c>
      <c r="I632" s="19">
        <f>2740+75</f>
        <v>2815</v>
      </c>
      <c r="J632" s="19"/>
      <c r="K632" s="87">
        <f t="shared" si="71"/>
        <v>2815</v>
      </c>
      <c r="L632" s="356"/>
      <c r="M632" s="345"/>
      <c r="N632" s="208"/>
      <c r="O632" s="87">
        <f t="shared" si="72"/>
        <v>0</v>
      </c>
      <c r="P632" s="356"/>
      <c r="Q632" s="345">
        <f t="shared" si="69"/>
        <v>2815</v>
      </c>
      <c r="R632" s="19">
        <f t="shared" si="70"/>
        <v>0</v>
      </c>
      <c r="S632" s="87">
        <f t="shared" si="73"/>
        <v>2815</v>
      </c>
    </row>
    <row r="633" spans="2:19" x14ac:dyDescent="0.2">
      <c r="B633" s="83">
        <f t="shared" si="74"/>
        <v>41</v>
      </c>
      <c r="C633" s="7"/>
      <c r="D633" s="7"/>
      <c r="E633" s="7"/>
      <c r="F633" s="25" t="s">
        <v>202</v>
      </c>
      <c r="G633" s="7">
        <v>640</v>
      </c>
      <c r="H633" s="7" t="s">
        <v>140</v>
      </c>
      <c r="I633" s="23">
        <v>3614</v>
      </c>
      <c r="J633" s="23"/>
      <c r="K633" s="86">
        <f t="shared" si="71"/>
        <v>3614</v>
      </c>
      <c r="L633" s="355"/>
      <c r="M633" s="344"/>
      <c r="N633" s="246"/>
      <c r="O633" s="86">
        <f t="shared" si="72"/>
        <v>0</v>
      </c>
      <c r="P633" s="355"/>
      <c r="Q633" s="344">
        <f t="shared" si="69"/>
        <v>3614</v>
      </c>
      <c r="R633" s="23">
        <f t="shared" si="70"/>
        <v>0</v>
      </c>
      <c r="S633" s="86">
        <f t="shared" si="73"/>
        <v>3614</v>
      </c>
    </row>
    <row r="634" spans="2:19" x14ac:dyDescent="0.2">
      <c r="B634" s="83">
        <f t="shared" si="74"/>
        <v>42</v>
      </c>
      <c r="C634" s="6"/>
      <c r="D634" s="6"/>
      <c r="E634" s="6" t="s">
        <v>99</v>
      </c>
      <c r="F634" s="29"/>
      <c r="G634" s="6"/>
      <c r="H634" s="6" t="s">
        <v>240</v>
      </c>
      <c r="I634" s="40">
        <f>I635+I636+I637+I642</f>
        <v>295935</v>
      </c>
      <c r="J634" s="40">
        <f>J635+J636+J637+J642</f>
        <v>-9909</v>
      </c>
      <c r="K634" s="100">
        <f t="shared" si="71"/>
        <v>286026</v>
      </c>
      <c r="L634" s="355"/>
      <c r="M634" s="398">
        <v>0</v>
      </c>
      <c r="N634" s="261"/>
      <c r="O634" s="100">
        <f t="shared" si="72"/>
        <v>0</v>
      </c>
      <c r="P634" s="355"/>
      <c r="Q634" s="398">
        <f t="shared" si="69"/>
        <v>295935</v>
      </c>
      <c r="R634" s="40">
        <f t="shared" si="70"/>
        <v>-9909</v>
      </c>
      <c r="S634" s="100">
        <f t="shared" si="73"/>
        <v>286026</v>
      </c>
    </row>
    <row r="635" spans="2:19" x14ac:dyDescent="0.2">
      <c r="B635" s="83">
        <f t="shared" si="74"/>
        <v>43</v>
      </c>
      <c r="C635" s="7"/>
      <c r="D635" s="7"/>
      <c r="E635" s="7"/>
      <c r="F635" s="25" t="s">
        <v>202</v>
      </c>
      <c r="G635" s="7">
        <v>610</v>
      </c>
      <c r="H635" s="7" t="s">
        <v>142</v>
      </c>
      <c r="I635" s="23">
        <f>154811+10432-3084</f>
        <v>162159</v>
      </c>
      <c r="J635" s="23"/>
      <c r="K635" s="86">
        <f t="shared" si="71"/>
        <v>162159</v>
      </c>
      <c r="L635" s="355"/>
      <c r="M635" s="344"/>
      <c r="N635" s="246"/>
      <c r="O635" s="86">
        <f t="shared" si="72"/>
        <v>0</v>
      </c>
      <c r="P635" s="355"/>
      <c r="Q635" s="344">
        <f t="shared" si="69"/>
        <v>162159</v>
      </c>
      <c r="R635" s="23">
        <f t="shared" si="70"/>
        <v>0</v>
      </c>
      <c r="S635" s="86">
        <f t="shared" si="73"/>
        <v>162159</v>
      </c>
    </row>
    <row r="636" spans="2:19" x14ac:dyDescent="0.2">
      <c r="B636" s="83">
        <f t="shared" si="74"/>
        <v>44</v>
      </c>
      <c r="C636" s="7"/>
      <c r="D636" s="7"/>
      <c r="E636" s="7"/>
      <c r="F636" s="25" t="s">
        <v>202</v>
      </c>
      <c r="G636" s="7">
        <v>620</v>
      </c>
      <c r="H636" s="7" t="s">
        <v>135</v>
      </c>
      <c r="I636" s="23">
        <f>60222+3855-1086</f>
        <v>62991</v>
      </c>
      <c r="J636" s="23"/>
      <c r="K636" s="86">
        <f t="shared" si="71"/>
        <v>62991</v>
      </c>
      <c r="L636" s="355"/>
      <c r="M636" s="344"/>
      <c r="N636" s="246"/>
      <c r="O636" s="86">
        <f t="shared" si="72"/>
        <v>0</v>
      </c>
      <c r="P636" s="355"/>
      <c r="Q636" s="344">
        <f t="shared" si="69"/>
        <v>62991</v>
      </c>
      <c r="R636" s="23">
        <f t="shared" si="70"/>
        <v>0</v>
      </c>
      <c r="S636" s="86">
        <f t="shared" si="73"/>
        <v>62991</v>
      </c>
    </row>
    <row r="637" spans="2:19" x14ac:dyDescent="0.2">
      <c r="B637" s="83">
        <f t="shared" si="74"/>
        <v>45</v>
      </c>
      <c r="C637" s="7"/>
      <c r="D637" s="7"/>
      <c r="E637" s="7"/>
      <c r="F637" s="25" t="s">
        <v>202</v>
      </c>
      <c r="G637" s="7">
        <v>630</v>
      </c>
      <c r="H637" s="7" t="s">
        <v>132</v>
      </c>
      <c r="I637" s="23">
        <f>SUM(I638:I641)</f>
        <v>65816</v>
      </c>
      <c r="J637" s="23">
        <f>SUM(J638:J641)</f>
        <v>-9909</v>
      </c>
      <c r="K637" s="86">
        <f t="shared" si="71"/>
        <v>55907</v>
      </c>
      <c r="L637" s="355"/>
      <c r="M637" s="344"/>
      <c r="N637" s="246"/>
      <c r="O637" s="86">
        <f t="shared" si="72"/>
        <v>0</v>
      </c>
      <c r="P637" s="355"/>
      <c r="Q637" s="344">
        <f t="shared" si="69"/>
        <v>65816</v>
      </c>
      <c r="R637" s="23">
        <f t="shared" si="70"/>
        <v>-9909</v>
      </c>
      <c r="S637" s="86">
        <f t="shared" si="73"/>
        <v>55907</v>
      </c>
    </row>
    <row r="638" spans="2:19" x14ac:dyDescent="0.2">
      <c r="B638" s="83">
        <f t="shared" si="74"/>
        <v>46</v>
      </c>
      <c r="C638" s="3"/>
      <c r="D638" s="3"/>
      <c r="E638" s="3"/>
      <c r="F638" s="26" t="s">
        <v>202</v>
      </c>
      <c r="G638" s="3">
        <v>632</v>
      </c>
      <c r="H638" s="3" t="s">
        <v>145</v>
      </c>
      <c r="I638" s="19">
        <v>36700</v>
      </c>
      <c r="J638" s="19">
        <v>-9641</v>
      </c>
      <c r="K638" s="87">
        <f t="shared" si="71"/>
        <v>27059</v>
      </c>
      <c r="L638" s="356"/>
      <c r="M638" s="345"/>
      <c r="N638" s="208"/>
      <c r="O638" s="87">
        <f t="shared" si="72"/>
        <v>0</v>
      </c>
      <c r="P638" s="356"/>
      <c r="Q638" s="345">
        <f t="shared" si="69"/>
        <v>36700</v>
      </c>
      <c r="R638" s="19">
        <f t="shared" si="70"/>
        <v>-9641</v>
      </c>
      <c r="S638" s="87">
        <f t="shared" si="73"/>
        <v>27059</v>
      </c>
    </row>
    <row r="639" spans="2:19" x14ac:dyDescent="0.2">
      <c r="B639" s="83">
        <f t="shared" si="74"/>
        <v>47</v>
      </c>
      <c r="C639" s="3"/>
      <c r="D639" s="3"/>
      <c r="E639" s="3"/>
      <c r="F639" s="26" t="s">
        <v>202</v>
      </c>
      <c r="G639" s="3">
        <v>633</v>
      </c>
      <c r="H639" s="3" t="s">
        <v>136</v>
      </c>
      <c r="I639" s="19">
        <f>14399+4557</f>
        <v>18956</v>
      </c>
      <c r="J639" s="19">
        <v>-268</v>
      </c>
      <c r="K639" s="87">
        <f t="shared" si="71"/>
        <v>18688</v>
      </c>
      <c r="L639" s="356"/>
      <c r="M639" s="345"/>
      <c r="N639" s="208"/>
      <c r="O639" s="87">
        <f t="shared" si="72"/>
        <v>0</v>
      </c>
      <c r="P639" s="356"/>
      <c r="Q639" s="345">
        <f t="shared" si="69"/>
        <v>18956</v>
      </c>
      <c r="R639" s="19">
        <f t="shared" si="70"/>
        <v>-268</v>
      </c>
      <c r="S639" s="87">
        <f t="shared" si="73"/>
        <v>18688</v>
      </c>
    </row>
    <row r="640" spans="2:19" x14ac:dyDescent="0.2">
      <c r="B640" s="83">
        <f t="shared" si="74"/>
        <v>48</v>
      </c>
      <c r="C640" s="3"/>
      <c r="D640" s="3"/>
      <c r="E640" s="3"/>
      <c r="F640" s="26" t="s">
        <v>202</v>
      </c>
      <c r="G640" s="3">
        <v>635</v>
      </c>
      <c r="H640" s="3" t="s">
        <v>144</v>
      </c>
      <c r="I640" s="19">
        <v>5000</v>
      </c>
      <c r="J640" s="19"/>
      <c r="K640" s="87">
        <f t="shared" si="71"/>
        <v>5000</v>
      </c>
      <c r="L640" s="356"/>
      <c r="M640" s="345"/>
      <c r="N640" s="208"/>
      <c r="O640" s="87">
        <f t="shared" si="72"/>
        <v>0</v>
      </c>
      <c r="P640" s="356"/>
      <c r="Q640" s="345">
        <f t="shared" si="69"/>
        <v>5000</v>
      </c>
      <c r="R640" s="19">
        <f t="shared" si="70"/>
        <v>0</v>
      </c>
      <c r="S640" s="87">
        <f t="shared" si="73"/>
        <v>5000</v>
      </c>
    </row>
    <row r="641" spans="2:19" x14ac:dyDescent="0.2">
      <c r="B641" s="83">
        <f t="shared" si="74"/>
        <v>49</v>
      </c>
      <c r="C641" s="3"/>
      <c r="D641" s="3"/>
      <c r="E641" s="3"/>
      <c r="F641" s="26" t="s">
        <v>202</v>
      </c>
      <c r="G641" s="3">
        <v>637</v>
      </c>
      <c r="H641" s="3" t="s">
        <v>133</v>
      </c>
      <c r="I641" s="19">
        <f>5060+100</f>
        <v>5160</v>
      </c>
      <c r="J641" s="19"/>
      <c r="K641" s="87">
        <f t="shared" si="71"/>
        <v>5160</v>
      </c>
      <c r="L641" s="356"/>
      <c r="M641" s="345"/>
      <c r="N641" s="208"/>
      <c r="O641" s="87">
        <f t="shared" si="72"/>
        <v>0</v>
      </c>
      <c r="P641" s="356"/>
      <c r="Q641" s="345">
        <f t="shared" si="69"/>
        <v>5160</v>
      </c>
      <c r="R641" s="19">
        <f t="shared" si="70"/>
        <v>0</v>
      </c>
      <c r="S641" s="87">
        <f t="shared" si="73"/>
        <v>5160</v>
      </c>
    </row>
    <row r="642" spans="2:19" x14ac:dyDescent="0.2">
      <c r="B642" s="83">
        <f t="shared" si="74"/>
        <v>50</v>
      </c>
      <c r="C642" s="7"/>
      <c r="D642" s="7"/>
      <c r="E642" s="7"/>
      <c r="F642" s="25" t="s">
        <v>202</v>
      </c>
      <c r="G642" s="7">
        <v>640</v>
      </c>
      <c r="H642" s="7" t="s">
        <v>140</v>
      </c>
      <c r="I642" s="23">
        <f>8441-3472</f>
        <v>4969</v>
      </c>
      <c r="J642" s="23"/>
      <c r="K642" s="86">
        <f t="shared" si="71"/>
        <v>4969</v>
      </c>
      <c r="L642" s="355"/>
      <c r="M642" s="344"/>
      <c r="N642" s="246"/>
      <c r="O642" s="86">
        <f t="shared" si="72"/>
        <v>0</v>
      </c>
      <c r="P642" s="355"/>
      <c r="Q642" s="344">
        <f t="shared" si="69"/>
        <v>4969</v>
      </c>
      <c r="R642" s="23">
        <f t="shared" si="70"/>
        <v>0</v>
      </c>
      <c r="S642" s="86">
        <f t="shared" si="73"/>
        <v>4969</v>
      </c>
    </row>
    <row r="643" spans="2:19" x14ac:dyDescent="0.2">
      <c r="B643" s="83">
        <f t="shared" si="74"/>
        <v>51</v>
      </c>
      <c r="C643" s="6"/>
      <c r="D643" s="6"/>
      <c r="E643" s="6" t="s">
        <v>93</v>
      </c>
      <c r="F643" s="29"/>
      <c r="G643" s="6"/>
      <c r="H643" s="6" t="s">
        <v>71</v>
      </c>
      <c r="I643" s="40">
        <f>I644+I645+I646+I651</f>
        <v>153266</v>
      </c>
      <c r="J643" s="40">
        <f>J644+J645+J646+J651</f>
        <v>60</v>
      </c>
      <c r="K643" s="100">
        <f t="shared" si="71"/>
        <v>153326</v>
      </c>
      <c r="L643" s="355"/>
      <c r="M643" s="398">
        <f>M652</f>
        <v>14300</v>
      </c>
      <c r="N643" s="261"/>
      <c r="O643" s="100">
        <f t="shared" si="72"/>
        <v>14300</v>
      </c>
      <c r="P643" s="355"/>
      <c r="Q643" s="398">
        <f t="shared" si="69"/>
        <v>167566</v>
      </c>
      <c r="R643" s="40">
        <f t="shared" si="70"/>
        <v>60</v>
      </c>
      <c r="S643" s="100">
        <f t="shared" si="73"/>
        <v>167626</v>
      </c>
    </row>
    <row r="644" spans="2:19" x14ac:dyDescent="0.2">
      <c r="B644" s="83">
        <f t="shared" si="74"/>
        <v>52</v>
      </c>
      <c r="C644" s="7"/>
      <c r="D644" s="7"/>
      <c r="E644" s="7"/>
      <c r="F644" s="25" t="s">
        <v>202</v>
      </c>
      <c r="G644" s="7">
        <v>610</v>
      </c>
      <c r="H644" s="7" t="s">
        <v>142</v>
      </c>
      <c r="I644" s="23">
        <f>86333+5222-1749</f>
        <v>89806</v>
      </c>
      <c r="J644" s="23"/>
      <c r="K644" s="86">
        <f t="shared" si="71"/>
        <v>89806</v>
      </c>
      <c r="L644" s="355"/>
      <c r="M644" s="344"/>
      <c r="N644" s="246"/>
      <c r="O644" s="86">
        <f t="shared" si="72"/>
        <v>0</v>
      </c>
      <c r="P644" s="355"/>
      <c r="Q644" s="344">
        <f t="shared" si="69"/>
        <v>89806</v>
      </c>
      <c r="R644" s="23">
        <f t="shared" si="70"/>
        <v>0</v>
      </c>
      <c r="S644" s="86">
        <f t="shared" si="73"/>
        <v>89806</v>
      </c>
    </row>
    <row r="645" spans="2:19" x14ac:dyDescent="0.2">
      <c r="B645" s="83">
        <f t="shared" si="74"/>
        <v>53</v>
      </c>
      <c r="C645" s="7"/>
      <c r="D645" s="7"/>
      <c r="E645" s="7"/>
      <c r="F645" s="25" t="s">
        <v>202</v>
      </c>
      <c r="G645" s="7">
        <v>620</v>
      </c>
      <c r="H645" s="7" t="s">
        <v>135</v>
      </c>
      <c r="I645" s="23">
        <f>31793+1930-611</f>
        <v>33112</v>
      </c>
      <c r="J645" s="23"/>
      <c r="K645" s="86">
        <f t="shared" si="71"/>
        <v>33112</v>
      </c>
      <c r="L645" s="355"/>
      <c r="M645" s="344"/>
      <c r="N645" s="246"/>
      <c r="O645" s="86">
        <f t="shared" si="72"/>
        <v>0</v>
      </c>
      <c r="P645" s="355"/>
      <c r="Q645" s="344">
        <f t="shared" si="69"/>
        <v>33112</v>
      </c>
      <c r="R645" s="23">
        <f t="shared" si="70"/>
        <v>0</v>
      </c>
      <c r="S645" s="86">
        <f t="shared" si="73"/>
        <v>33112</v>
      </c>
    </row>
    <row r="646" spans="2:19" x14ac:dyDescent="0.2">
      <c r="B646" s="83">
        <f t="shared" si="74"/>
        <v>54</v>
      </c>
      <c r="C646" s="7"/>
      <c r="D646" s="7"/>
      <c r="E646" s="7"/>
      <c r="F646" s="25" t="s">
        <v>202</v>
      </c>
      <c r="G646" s="7">
        <v>630</v>
      </c>
      <c r="H646" s="7" t="s">
        <v>132</v>
      </c>
      <c r="I646" s="23">
        <f>SUM(I647:I650)</f>
        <v>30184</v>
      </c>
      <c r="J646" s="23">
        <f>SUM(J647:J650)</f>
        <v>60</v>
      </c>
      <c r="K646" s="86">
        <f t="shared" si="71"/>
        <v>30244</v>
      </c>
      <c r="L646" s="355"/>
      <c r="M646" s="344"/>
      <c r="N646" s="246"/>
      <c r="O646" s="86">
        <f t="shared" si="72"/>
        <v>0</v>
      </c>
      <c r="P646" s="355"/>
      <c r="Q646" s="344">
        <f t="shared" si="69"/>
        <v>30184</v>
      </c>
      <c r="R646" s="23">
        <f t="shared" si="70"/>
        <v>60</v>
      </c>
      <c r="S646" s="86">
        <f t="shared" si="73"/>
        <v>30244</v>
      </c>
    </row>
    <row r="647" spans="2:19" x14ac:dyDescent="0.2">
      <c r="B647" s="83">
        <f t="shared" si="74"/>
        <v>55</v>
      </c>
      <c r="C647" s="3"/>
      <c r="D647" s="3"/>
      <c r="E647" s="3"/>
      <c r="F647" s="26" t="s">
        <v>202</v>
      </c>
      <c r="G647" s="3">
        <v>632</v>
      </c>
      <c r="H647" s="3" t="s">
        <v>145</v>
      </c>
      <c r="I647" s="19">
        <v>18320</v>
      </c>
      <c r="J647" s="19">
        <v>-2000</v>
      </c>
      <c r="K647" s="87">
        <f t="shared" si="71"/>
        <v>16320</v>
      </c>
      <c r="L647" s="356"/>
      <c r="M647" s="345"/>
      <c r="N647" s="208"/>
      <c r="O647" s="87">
        <f t="shared" si="72"/>
        <v>0</v>
      </c>
      <c r="P647" s="356"/>
      <c r="Q647" s="345">
        <f t="shared" si="69"/>
        <v>18320</v>
      </c>
      <c r="R647" s="19">
        <f t="shared" si="70"/>
        <v>-2000</v>
      </c>
      <c r="S647" s="87">
        <f t="shared" si="73"/>
        <v>16320</v>
      </c>
    </row>
    <row r="648" spans="2:19" x14ac:dyDescent="0.2">
      <c r="B648" s="83">
        <f t="shared" si="74"/>
        <v>56</v>
      </c>
      <c r="C648" s="3"/>
      <c r="D648" s="3"/>
      <c r="E648" s="3"/>
      <c r="F648" s="26" t="s">
        <v>202</v>
      </c>
      <c r="G648" s="3">
        <v>633</v>
      </c>
      <c r="H648" s="3" t="s">
        <v>136</v>
      </c>
      <c r="I648" s="19">
        <f>9424+2360-5000</f>
        <v>6784</v>
      </c>
      <c r="J648" s="19">
        <v>4436</v>
      </c>
      <c r="K648" s="87">
        <f t="shared" si="71"/>
        <v>11220</v>
      </c>
      <c r="L648" s="356"/>
      <c r="M648" s="345"/>
      <c r="N648" s="208"/>
      <c r="O648" s="87">
        <f t="shared" si="72"/>
        <v>0</v>
      </c>
      <c r="P648" s="356"/>
      <c r="Q648" s="345">
        <f t="shared" si="69"/>
        <v>6784</v>
      </c>
      <c r="R648" s="19">
        <f t="shared" si="70"/>
        <v>4436</v>
      </c>
      <c r="S648" s="87">
        <f t="shared" si="73"/>
        <v>11220</v>
      </c>
    </row>
    <row r="649" spans="2:19" x14ac:dyDescent="0.2">
      <c r="B649" s="83">
        <f t="shared" si="74"/>
        <v>57</v>
      </c>
      <c r="C649" s="3"/>
      <c r="D649" s="3"/>
      <c r="E649" s="3"/>
      <c r="F649" s="26" t="s">
        <v>202</v>
      </c>
      <c r="G649" s="3">
        <v>635</v>
      </c>
      <c r="H649" s="3" t="s">
        <v>144</v>
      </c>
      <c r="I649" s="19">
        <f>6300+3000-6700</f>
        <v>2600</v>
      </c>
      <c r="J649" s="19">
        <v>-2456</v>
      </c>
      <c r="K649" s="87">
        <f t="shared" si="71"/>
        <v>144</v>
      </c>
      <c r="L649" s="356"/>
      <c r="M649" s="345"/>
      <c r="N649" s="208"/>
      <c r="O649" s="87">
        <f t="shared" si="72"/>
        <v>0</v>
      </c>
      <c r="P649" s="356"/>
      <c r="Q649" s="345">
        <f t="shared" si="69"/>
        <v>2600</v>
      </c>
      <c r="R649" s="19">
        <f t="shared" si="70"/>
        <v>-2456</v>
      </c>
      <c r="S649" s="87">
        <f t="shared" si="73"/>
        <v>144</v>
      </c>
    </row>
    <row r="650" spans="2:19" x14ac:dyDescent="0.2">
      <c r="B650" s="83">
        <f t="shared" si="74"/>
        <v>58</v>
      </c>
      <c r="C650" s="3"/>
      <c r="D650" s="3"/>
      <c r="E650" s="3"/>
      <c r="F650" s="26" t="s">
        <v>202</v>
      </c>
      <c r="G650" s="3">
        <v>637</v>
      </c>
      <c r="H650" s="3" t="s">
        <v>133</v>
      </c>
      <c r="I650" s="19">
        <v>2480</v>
      </c>
      <c r="J650" s="19">
        <v>80</v>
      </c>
      <c r="K650" s="87">
        <f t="shared" si="71"/>
        <v>2560</v>
      </c>
      <c r="L650" s="356"/>
      <c r="M650" s="345"/>
      <c r="N650" s="208"/>
      <c r="O650" s="87">
        <f t="shared" si="72"/>
        <v>0</v>
      </c>
      <c r="P650" s="356"/>
      <c r="Q650" s="345">
        <f t="shared" si="69"/>
        <v>2480</v>
      </c>
      <c r="R650" s="19">
        <f t="shared" si="70"/>
        <v>80</v>
      </c>
      <c r="S650" s="87">
        <f t="shared" si="73"/>
        <v>2560</v>
      </c>
    </row>
    <row r="651" spans="2:19" x14ac:dyDescent="0.2">
      <c r="B651" s="83">
        <f t="shared" si="74"/>
        <v>59</v>
      </c>
      <c r="C651" s="3"/>
      <c r="D651" s="3"/>
      <c r="E651" s="3"/>
      <c r="F651" s="25" t="s">
        <v>202</v>
      </c>
      <c r="G651" s="7">
        <v>640</v>
      </c>
      <c r="H651" s="7" t="s">
        <v>140</v>
      </c>
      <c r="I651" s="23">
        <v>164</v>
      </c>
      <c r="J651" s="23"/>
      <c r="K651" s="86">
        <f t="shared" si="71"/>
        <v>164</v>
      </c>
      <c r="L651" s="355"/>
      <c r="M651" s="344"/>
      <c r="N651" s="246"/>
      <c r="O651" s="86">
        <f t="shared" si="72"/>
        <v>0</v>
      </c>
      <c r="P651" s="355"/>
      <c r="Q651" s="344">
        <f t="shared" si="69"/>
        <v>164</v>
      </c>
      <c r="R651" s="23">
        <f t="shared" si="70"/>
        <v>0</v>
      </c>
      <c r="S651" s="86">
        <f t="shared" si="73"/>
        <v>164</v>
      </c>
    </row>
    <row r="652" spans="2:19" x14ac:dyDescent="0.2">
      <c r="B652" s="83">
        <f t="shared" si="74"/>
        <v>60</v>
      </c>
      <c r="C652" s="3"/>
      <c r="D652" s="3"/>
      <c r="E652" s="3"/>
      <c r="F652" s="25" t="s">
        <v>202</v>
      </c>
      <c r="G652" s="7">
        <v>710</v>
      </c>
      <c r="H652" s="210" t="s">
        <v>187</v>
      </c>
      <c r="I652" s="23">
        <f>I653</f>
        <v>0</v>
      </c>
      <c r="J652" s="23"/>
      <c r="K652" s="86">
        <f t="shared" si="71"/>
        <v>0</v>
      </c>
      <c r="L652" s="355"/>
      <c r="M652" s="344">
        <f>M653</f>
        <v>14300</v>
      </c>
      <c r="N652" s="246"/>
      <c r="O652" s="86">
        <f t="shared" si="72"/>
        <v>14300</v>
      </c>
      <c r="P652" s="355"/>
      <c r="Q652" s="349">
        <f t="shared" si="69"/>
        <v>14300</v>
      </c>
      <c r="R652" s="18">
        <f t="shared" si="70"/>
        <v>0</v>
      </c>
      <c r="S652" s="114">
        <f t="shared" si="73"/>
        <v>14300</v>
      </c>
    </row>
    <row r="653" spans="2:19" x14ac:dyDescent="0.2">
      <c r="B653" s="83">
        <f t="shared" si="74"/>
        <v>61</v>
      </c>
      <c r="C653" s="3"/>
      <c r="D653" s="3"/>
      <c r="E653" s="3"/>
      <c r="F653" s="26"/>
      <c r="G653" s="3"/>
      <c r="H653" s="130" t="s">
        <v>197</v>
      </c>
      <c r="I653" s="19">
        <f>I654</f>
        <v>0</v>
      </c>
      <c r="J653" s="19"/>
      <c r="K653" s="87">
        <f t="shared" si="71"/>
        <v>0</v>
      </c>
      <c r="L653" s="356"/>
      <c r="M653" s="345">
        <f>M654</f>
        <v>14300</v>
      </c>
      <c r="N653" s="208"/>
      <c r="O653" s="87">
        <f t="shared" si="72"/>
        <v>14300</v>
      </c>
      <c r="P653" s="356"/>
      <c r="Q653" s="345">
        <f t="shared" si="69"/>
        <v>14300</v>
      </c>
      <c r="R653" s="19">
        <f t="shared" si="70"/>
        <v>0</v>
      </c>
      <c r="S653" s="87">
        <f t="shared" si="73"/>
        <v>14300</v>
      </c>
    </row>
    <row r="654" spans="2:19" x14ac:dyDescent="0.2">
      <c r="B654" s="83">
        <f t="shared" si="74"/>
        <v>62</v>
      </c>
      <c r="C654" s="3"/>
      <c r="D654" s="3"/>
      <c r="E654" s="3"/>
      <c r="F654" s="31"/>
      <c r="G654" s="4"/>
      <c r="H654" s="12" t="s">
        <v>584</v>
      </c>
      <c r="I654" s="21">
        <v>0</v>
      </c>
      <c r="J654" s="21"/>
      <c r="K654" s="88">
        <f t="shared" si="71"/>
        <v>0</v>
      </c>
      <c r="L654" s="357"/>
      <c r="M654" s="346">
        <v>14300</v>
      </c>
      <c r="N654" s="247"/>
      <c r="O654" s="88">
        <f t="shared" si="72"/>
        <v>14300</v>
      </c>
      <c r="P654" s="357"/>
      <c r="Q654" s="345">
        <f t="shared" si="69"/>
        <v>14300</v>
      </c>
      <c r="R654" s="19">
        <f t="shared" si="70"/>
        <v>0</v>
      </c>
      <c r="S654" s="87">
        <f t="shared" si="73"/>
        <v>14300</v>
      </c>
    </row>
    <row r="655" spans="2:19" x14ac:dyDescent="0.2">
      <c r="B655" s="83">
        <f t="shared" si="74"/>
        <v>63</v>
      </c>
      <c r="C655" s="6"/>
      <c r="D655" s="6"/>
      <c r="E655" s="6" t="s">
        <v>103</v>
      </c>
      <c r="F655" s="29"/>
      <c r="G655" s="6"/>
      <c r="H655" s="6" t="s">
        <v>104</v>
      </c>
      <c r="I655" s="40">
        <f>I656+I657+I658+I663</f>
        <v>207004</v>
      </c>
      <c r="J655" s="40">
        <f>J656+J657+J658+J663</f>
        <v>-405</v>
      </c>
      <c r="K655" s="100">
        <f t="shared" si="71"/>
        <v>206599</v>
      </c>
      <c r="L655" s="355"/>
      <c r="M655" s="398">
        <v>0</v>
      </c>
      <c r="N655" s="261"/>
      <c r="O655" s="100">
        <f t="shared" si="72"/>
        <v>0</v>
      </c>
      <c r="P655" s="355"/>
      <c r="Q655" s="398">
        <f t="shared" si="69"/>
        <v>207004</v>
      </c>
      <c r="R655" s="40">
        <f t="shared" si="70"/>
        <v>-405</v>
      </c>
      <c r="S655" s="100">
        <f t="shared" si="73"/>
        <v>206599</v>
      </c>
    </row>
    <row r="656" spans="2:19" x14ac:dyDescent="0.2">
      <c r="B656" s="83">
        <f t="shared" si="74"/>
        <v>64</v>
      </c>
      <c r="C656" s="7"/>
      <c r="D656" s="7"/>
      <c r="E656" s="7"/>
      <c r="F656" s="25" t="s">
        <v>202</v>
      </c>
      <c r="G656" s="7">
        <v>610</v>
      </c>
      <c r="H656" s="7" t="s">
        <v>142</v>
      </c>
      <c r="I656" s="23">
        <f>105495+7419-2114</f>
        <v>110800</v>
      </c>
      <c r="J656" s="23"/>
      <c r="K656" s="86">
        <f t="shared" ref="K656:K719" si="75">J656+I656</f>
        <v>110800</v>
      </c>
      <c r="L656" s="355"/>
      <c r="M656" s="344"/>
      <c r="N656" s="246"/>
      <c r="O656" s="86">
        <f t="shared" ref="O656:O719" si="76">N656+M656</f>
        <v>0</v>
      </c>
      <c r="P656" s="355"/>
      <c r="Q656" s="344">
        <f t="shared" si="69"/>
        <v>110800</v>
      </c>
      <c r="R656" s="23">
        <f t="shared" si="70"/>
        <v>0</v>
      </c>
      <c r="S656" s="86">
        <f t="shared" si="73"/>
        <v>110800</v>
      </c>
    </row>
    <row r="657" spans="2:19" x14ac:dyDescent="0.2">
      <c r="B657" s="83">
        <f t="shared" ref="B657:B720" si="77">B656+1</f>
        <v>65</v>
      </c>
      <c r="C657" s="7"/>
      <c r="D657" s="7"/>
      <c r="E657" s="7"/>
      <c r="F657" s="25" t="s">
        <v>202</v>
      </c>
      <c r="G657" s="7">
        <v>620</v>
      </c>
      <c r="H657" s="7" t="s">
        <v>135</v>
      </c>
      <c r="I657" s="23">
        <f>38866+2741-739</f>
        <v>40868</v>
      </c>
      <c r="J657" s="23"/>
      <c r="K657" s="86">
        <f t="shared" si="75"/>
        <v>40868</v>
      </c>
      <c r="L657" s="355"/>
      <c r="M657" s="344"/>
      <c r="N657" s="246"/>
      <c r="O657" s="86">
        <f t="shared" si="76"/>
        <v>0</v>
      </c>
      <c r="P657" s="355"/>
      <c r="Q657" s="344">
        <f t="shared" si="69"/>
        <v>40868</v>
      </c>
      <c r="R657" s="23">
        <f t="shared" si="70"/>
        <v>0</v>
      </c>
      <c r="S657" s="86">
        <f t="shared" si="73"/>
        <v>40868</v>
      </c>
    </row>
    <row r="658" spans="2:19" x14ac:dyDescent="0.2">
      <c r="B658" s="83">
        <f t="shared" si="77"/>
        <v>66</v>
      </c>
      <c r="C658" s="7"/>
      <c r="D658" s="7"/>
      <c r="E658" s="7"/>
      <c r="F658" s="25" t="s">
        <v>202</v>
      </c>
      <c r="G658" s="7">
        <v>630</v>
      </c>
      <c r="H658" s="7" t="s">
        <v>132</v>
      </c>
      <c r="I658" s="23">
        <f>SUM(I659:I662)</f>
        <v>54573</v>
      </c>
      <c r="J658" s="23">
        <f>SUM(J659:J662)</f>
        <v>-405</v>
      </c>
      <c r="K658" s="86">
        <f t="shared" si="75"/>
        <v>54168</v>
      </c>
      <c r="L658" s="355"/>
      <c r="M658" s="344"/>
      <c r="N658" s="246"/>
      <c r="O658" s="86">
        <f t="shared" si="76"/>
        <v>0</v>
      </c>
      <c r="P658" s="355"/>
      <c r="Q658" s="344">
        <f t="shared" si="69"/>
        <v>54573</v>
      </c>
      <c r="R658" s="23">
        <f t="shared" si="70"/>
        <v>-405</v>
      </c>
      <c r="S658" s="86">
        <f t="shared" si="73"/>
        <v>54168</v>
      </c>
    </row>
    <row r="659" spans="2:19" x14ac:dyDescent="0.2">
      <c r="B659" s="83">
        <f t="shared" si="77"/>
        <v>67</v>
      </c>
      <c r="C659" s="3"/>
      <c r="D659" s="3"/>
      <c r="E659" s="3"/>
      <c r="F659" s="26" t="s">
        <v>202</v>
      </c>
      <c r="G659" s="3">
        <v>632</v>
      </c>
      <c r="H659" s="3" t="s">
        <v>145</v>
      </c>
      <c r="I659" s="19">
        <v>32500</v>
      </c>
      <c r="J659" s="19">
        <v>-5000</v>
      </c>
      <c r="K659" s="87">
        <f t="shared" si="75"/>
        <v>27500</v>
      </c>
      <c r="L659" s="356"/>
      <c r="M659" s="345"/>
      <c r="N659" s="208"/>
      <c r="O659" s="87">
        <f t="shared" si="76"/>
        <v>0</v>
      </c>
      <c r="P659" s="356"/>
      <c r="Q659" s="345">
        <f t="shared" si="69"/>
        <v>32500</v>
      </c>
      <c r="R659" s="19">
        <f t="shared" si="70"/>
        <v>-5000</v>
      </c>
      <c r="S659" s="87">
        <f t="shared" si="73"/>
        <v>27500</v>
      </c>
    </row>
    <row r="660" spans="2:19" x14ac:dyDescent="0.2">
      <c r="B660" s="83">
        <f t="shared" si="77"/>
        <v>68</v>
      </c>
      <c r="C660" s="3"/>
      <c r="D660" s="3"/>
      <c r="E660" s="3"/>
      <c r="F660" s="26" t="s">
        <v>202</v>
      </c>
      <c r="G660" s="3">
        <v>633</v>
      </c>
      <c r="H660" s="3" t="s">
        <v>136</v>
      </c>
      <c r="I660" s="19">
        <f>9021+2852</f>
        <v>11873</v>
      </c>
      <c r="J660" s="19">
        <v>5595</v>
      </c>
      <c r="K660" s="87">
        <f t="shared" si="75"/>
        <v>17468</v>
      </c>
      <c r="L660" s="356"/>
      <c r="M660" s="345"/>
      <c r="N660" s="208"/>
      <c r="O660" s="87">
        <f t="shared" si="76"/>
        <v>0</v>
      </c>
      <c r="P660" s="356"/>
      <c r="Q660" s="345">
        <f t="shared" si="69"/>
        <v>11873</v>
      </c>
      <c r="R660" s="19">
        <f t="shared" si="70"/>
        <v>5595</v>
      </c>
      <c r="S660" s="87">
        <f t="shared" si="73"/>
        <v>17468</v>
      </c>
    </row>
    <row r="661" spans="2:19" x14ac:dyDescent="0.2">
      <c r="B661" s="83">
        <f t="shared" si="77"/>
        <v>69</v>
      </c>
      <c r="C661" s="3"/>
      <c r="D661" s="3"/>
      <c r="E661" s="3"/>
      <c r="F661" s="26" t="s">
        <v>202</v>
      </c>
      <c r="G661" s="3">
        <v>635</v>
      </c>
      <c r="H661" s="3" t="s">
        <v>144</v>
      </c>
      <c r="I661" s="19">
        <v>7150</v>
      </c>
      <c r="J661" s="19">
        <v>-1000</v>
      </c>
      <c r="K661" s="87">
        <f t="shared" si="75"/>
        <v>6150</v>
      </c>
      <c r="L661" s="356"/>
      <c r="M661" s="345"/>
      <c r="N661" s="208"/>
      <c r="O661" s="87">
        <f t="shared" si="76"/>
        <v>0</v>
      </c>
      <c r="P661" s="356"/>
      <c r="Q661" s="345">
        <f t="shared" si="69"/>
        <v>7150</v>
      </c>
      <c r="R661" s="19">
        <f t="shared" si="70"/>
        <v>-1000</v>
      </c>
      <c r="S661" s="87">
        <f t="shared" si="73"/>
        <v>6150</v>
      </c>
    </row>
    <row r="662" spans="2:19" x14ac:dyDescent="0.2">
      <c r="B662" s="83">
        <f t="shared" si="77"/>
        <v>70</v>
      </c>
      <c r="C662" s="3"/>
      <c r="D662" s="3"/>
      <c r="E662" s="3"/>
      <c r="F662" s="26" t="s">
        <v>202</v>
      </c>
      <c r="G662" s="3">
        <v>637</v>
      </c>
      <c r="H662" s="3" t="s">
        <v>133</v>
      </c>
      <c r="I662" s="19">
        <f>2950+100</f>
        <v>3050</v>
      </c>
      <c r="J662" s="19"/>
      <c r="K662" s="87">
        <f t="shared" si="75"/>
        <v>3050</v>
      </c>
      <c r="L662" s="356"/>
      <c r="M662" s="345"/>
      <c r="N662" s="208"/>
      <c r="O662" s="87">
        <f t="shared" si="76"/>
        <v>0</v>
      </c>
      <c r="P662" s="356"/>
      <c r="Q662" s="345">
        <f t="shared" si="69"/>
        <v>3050</v>
      </c>
      <c r="R662" s="19">
        <f t="shared" si="70"/>
        <v>0</v>
      </c>
      <c r="S662" s="87">
        <f t="shared" si="73"/>
        <v>3050</v>
      </c>
    </row>
    <row r="663" spans="2:19" x14ac:dyDescent="0.2">
      <c r="B663" s="83">
        <f t="shared" si="77"/>
        <v>71</v>
      </c>
      <c r="C663" s="3"/>
      <c r="D663" s="3"/>
      <c r="E663" s="3"/>
      <c r="F663" s="25" t="s">
        <v>202</v>
      </c>
      <c r="G663" s="7">
        <v>640</v>
      </c>
      <c r="H663" s="7" t="s">
        <v>140</v>
      </c>
      <c r="I663" s="23">
        <v>763</v>
      </c>
      <c r="J663" s="23"/>
      <c r="K663" s="86">
        <f t="shared" si="75"/>
        <v>763</v>
      </c>
      <c r="L663" s="355"/>
      <c r="M663" s="344"/>
      <c r="N663" s="246"/>
      <c r="O663" s="86">
        <f t="shared" si="76"/>
        <v>0</v>
      </c>
      <c r="P663" s="355"/>
      <c r="Q663" s="344">
        <f t="shared" ref="Q663:Q724" si="78">I663+M663</f>
        <v>763</v>
      </c>
      <c r="R663" s="23">
        <f t="shared" ref="R663:R690" si="79">J663+N663</f>
        <v>0</v>
      </c>
      <c r="S663" s="86">
        <f t="shared" ref="S663:S690" si="80">K663+O663</f>
        <v>763</v>
      </c>
    </row>
    <row r="664" spans="2:19" x14ac:dyDescent="0.2">
      <c r="B664" s="83">
        <f t="shared" si="77"/>
        <v>72</v>
      </c>
      <c r="C664" s="6"/>
      <c r="D664" s="6"/>
      <c r="E664" s="6" t="s">
        <v>106</v>
      </c>
      <c r="F664" s="29"/>
      <c r="G664" s="6"/>
      <c r="H664" s="6" t="s">
        <v>107</v>
      </c>
      <c r="I664" s="40">
        <f>I665+I666+I667+I672</f>
        <v>200781</v>
      </c>
      <c r="J664" s="40">
        <f>J665+J666+J667+J672</f>
        <v>-9</v>
      </c>
      <c r="K664" s="100">
        <f t="shared" si="75"/>
        <v>200772</v>
      </c>
      <c r="L664" s="355"/>
      <c r="M664" s="398">
        <v>0</v>
      </c>
      <c r="N664" s="261"/>
      <c r="O664" s="100">
        <f t="shared" si="76"/>
        <v>0</v>
      </c>
      <c r="P664" s="355"/>
      <c r="Q664" s="398">
        <f t="shared" si="78"/>
        <v>200781</v>
      </c>
      <c r="R664" s="40">
        <f t="shared" si="79"/>
        <v>-9</v>
      </c>
      <c r="S664" s="100">
        <f t="shared" si="80"/>
        <v>200772</v>
      </c>
    </row>
    <row r="665" spans="2:19" x14ac:dyDescent="0.2">
      <c r="B665" s="83">
        <f t="shared" si="77"/>
        <v>73</v>
      </c>
      <c r="C665" s="7"/>
      <c r="D665" s="7"/>
      <c r="E665" s="7"/>
      <c r="F665" s="25" t="s">
        <v>202</v>
      </c>
      <c r="G665" s="7">
        <v>610</v>
      </c>
      <c r="H665" s="7" t="s">
        <v>142</v>
      </c>
      <c r="I665" s="23">
        <f>106642+7835-2186</f>
        <v>112291</v>
      </c>
      <c r="J665" s="23"/>
      <c r="K665" s="86">
        <f t="shared" si="75"/>
        <v>112291</v>
      </c>
      <c r="L665" s="355"/>
      <c r="M665" s="344"/>
      <c r="N665" s="246"/>
      <c r="O665" s="86">
        <f t="shared" si="76"/>
        <v>0</v>
      </c>
      <c r="P665" s="355"/>
      <c r="Q665" s="344">
        <f t="shared" si="78"/>
        <v>112291</v>
      </c>
      <c r="R665" s="23">
        <f t="shared" si="79"/>
        <v>0</v>
      </c>
      <c r="S665" s="86">
        <f t="shared" si="80"/>
        <v>112291</v>
      </c>
    </row>
    <row r="666" spans="2:19" x14ac:dyDescent="0.2">
      <c r="B666" s="83">
        <f t="shared" si="77"/>
        <v>74</v>
      </c>
      <c r="C666" s="7"/>
      <c r="D666" s="7"/>
      <c r="E666" s="7"/>
      <c r="F666" s="25" t="s">
        <v>202</v>
      </c>
      <c r="G666" s="7">
        <v>620</v>
      </c>
      <c r="H666" s="7" t="s">
        <v>135</v>
      </c>
      <c r="I666" s="23">
        <f>39288+2895-764</f>
        <v>41419</v>
      </c>
      <c r="J666" s="23"/>
      <c r="K666" s="86">
        <f t="shared" si="75"/>
        <v>41419</v>
      </c>
      <c r="L666" s="355"/>
      <c r="M666" s="344"/>
      <c r="N666" s="246"/>
      <c r="O666" s="86">
        <f t="shared" si="76"/>
        <v>0</v>
      </c>
      <c r="P666" s="355"/>
      <c r="Q666" s="344">
        <f t="shared" si="78"/>
        <v>41419</v>
      </c>
      <c r="R666" s="23">
        <f t="shared" si="79"/>
        <v>0</v>
      </c>
      <c r="S666" s="86">
        <f t="shared" si="80"/>
        <v>41419</v>
      </c>
    </row>
    <row r="667" spans="2:19" x14ac:dyDescent="0.2">
      <c r="B667" s="83">
        <f t="shared" si="77"/>
        <v>75</v>
      </c>
      <c r="C667" s="7"/>
      <c r="D667" s="7"/>
      <c r="E667" s="7"/>
      <c r="F667" s="25" t="s">
        <v>202</v>
      </c>
      <c r="G667" s="7">
        <v>630</v>
      </c>
      <c r="H667" s="7" t="s">
        <v>132</v>
      </c>
      <c r="I667" s="23">
        <f>SUM(I668:I671)</f>
        <v>43901</v>
      </c>
      <c r="J667" s="23">
        <f>SUM(J668:J671)</f>
        <v>-9</v>
      </c>
      <c r="K667" s="86">
        <f t="shared" si="75"/>
        <v>43892</v>
      </c>
      <c r="L667" s="355"/>
      <c r="M667" s="344"/>
      <c r="N667" s="246"/>
      <c r="O667" s="86">
        <f t="shared" si="76"/>
        <v>0</v>
      </c>
      <c r="P667" s="355"/>
      <c r="Q667" s="344">
        <f t="shared" si="78"/>
        <v>43901</v>
      </c>
      <c r="R667" s="23">
        <f t="shared" si="79"/>
        <v>-9</v>
      </c>
      <c r="S667" s="86">
        <f t="shared" si="80"/>
        <v>43892</v>
      </c>
    </row>
    <row r="668" spans="2:19" x14ac:dyDescent="0.2">
      <c r="B668" s="83">
        <f t="shared" si="77"/>
        <v>76</v>
      </c>
      <c r="C668" s="3"/>
      <c r="D668" s="3"/>
      <c r="E668" s="3"/>
      <c r="F668" s="26" t="s">
        <v>202</v>
      </c>
      <c r="G668" s="3">
        <v>632</v>
      </c>
      <c r="H668" s="3" t="s">
        <v>145</v>
      </c>
      <c r="I668" s="19">
        <v>24560</v>
      </c>
      <c r="J668" s="19">
        <v>-230</v>
      </c>
      <c r="K668" s="87">
        <f t="shared" si="75"/>
        <v>24330</v>
      </c>
      <c r="L668" s="356"/>
      <c r="M668" s="345"/>
      <c r="N668" s="208"/>
      <c r="O668" s="87">
        <f t="shared" si="76"/>
        <v>0</v>
      </c>
      <c r="P668" s="356"/>
      <c r="Q668" s="345">
        <f t="shared" si="78"/>
        <v>24560</v>
      </c>
      <c r="R668" s="19">
        <f t="shared" si="79"/>
        <v>-230</v>
      </c>
      <c r="S668" s="87">
        <f t="shared" si="80"/>
        <v>24330</v>
      </c>
    </row>
    <row r="669" spans="2:19" x14ac:dyDescent="0.2">
      <c r="B669" s="83">
        <f t="shared" si="77"/>
        <v>77</v>
      </c>
      <c r="C669" s="3"/>
      <c r="D669" s="3"/>
      <c r="E669" s="3"/>
      <c r="F669" s="26" t="s">
        <v>202</v>
      </c>
      <c r="G669" s="3">
        <v>633</v>
      </c>
      <c r="H669" s="3" t="s">
        <v>136</v>
      </c>
      <c r="I669" s="19">
        <f>9768+3113-3539</f>
        <v>9342</v>
      </c>
      <c r="J669" s="19">
        <v>-9</v>
      </c>
      <c r="K669" s="87">
        <f t="shared" si="75"/>
        <v>9333</v>
      </c>
      <c r="L669" s="356"/>
      <c r="M669" s="345"/>
      <c r="N669" s="208"/>
      <c r="O669" s="87">
        <f t="shared" si="76"/>
        <v>0</v>
      </c>
      <c r="P669" s="356"/>
      <c r="Q669" s="345">
        <f t="shared" si="78"/>
        <v>9342</v>
      </c>
      <c r="R669" s="19">
        <f t="shared" si="79"/>
        <v>-9</v>
      </c>
      <c r="S669" s="87">
        <f t="shared" si="80"/>
        <v>9333</v>
      </c>
    </row>
    <row r="670" spans="2:19" x14ac:dyDescent="0.2">
      <c r="B670" s="83">
        <f t="shared" si="77"/>
        <v>78</v>
      </c>
      <c r="C670" s="3"/>
      <c r="D670" s="3"/>
      <c r="E670" s="3"/>
      <c r="F670" s="26" t="s">
        <v>202</v>
      </c>
      <c r="G670" s="3">
        <v>635</v>
      </c>
      <c r="H670" s="3" t="s">
        <v>144</v>
      </c>
      <c r="I670" s="19">
        <f>3100+3539</f>
        <v>6639</v>
      </c>
      <c r="J670" s="19">
        <v>230</v>
      </c>
      <c r="K670" s="87">
        <f t="shared" si="75"/>
        <v>6869</v>
      </c>
      <c r="L670" s="356"/>
      <c r="M670" s="345"/>
      <c r="N670" s="208"/>
      <c r="O670" s="87">
        <f t="shared" si="76"/>
        <v>0</v>
      </c>
      <c r="P670" s="356"/>
      <c r="Q670" s="345">
        <f t="shared" si="78"/>
        <v>6639</v>
      </c>
      <c r="R670" s="19">
        <f t="shared" si="79"/>
        <v>230</v>
      </c>
      <c r="S670" s="87">
        <f t="shared" si="80"/>
        <v>6869</v>
      </c>
    </row>
    <row r="671" spans="2:19" x14ac:dyDescent="0.2">
      <c r="B671" s="83">
        <f t="shared" si="77"/>
        <v>79</v>
      </c>
      <c r="C671" s="3"/>
      <c r="D671" s="3"/>
      <c r="E671" s="3"/>
      <c r="F671" s="26" t="s">
        <v>202</v>
      </c>
      <c r="G671" s="3">
        <v>637</v>
      </c>
      <c r="H671" s="3" t="s">
        <v>133</v>
      </c>
      <c r="I671" s="19">
        <f>3220+140</f>
        <v>3360</v>
      </c>
      <c r="J671" s="19"/>
      <c r="K671" s="87">
        <f t="shared" si="75"/>
        <v>3360</v>
      </c>
      <c r="L671" s="356"/>
      <c r="M671" s="345"/>
      <c r="N671" s="208"/>
      <c r="O671" s="87">
        <f t="shared" si="76"/>
        <v>0</v>
      </c>
      <c r="P671" s="356"/>
      <c r="Q671" s="345">
        <f t="shared" si="78"/>
        <v>3360</v>
      </c>
      <c r="R671" s="19">
        <f t="shared" si="79"/>
        <v>0</v>
      </c>
      <c r="S671" s="87">
        <f t="shared" si="80"/>
        <v>3360</v>
      </c>
    </row>
    <row r="672" spans="2:19" x14ac:dyDescent="0.2">
      <c r="B672" s="83">
        <f t="shared" si="77"/>
        <v>80</v>
      </c>
      <c r="C672" s="7"/>
      <c r="D672" s="7"/>
      <c r="E672" s="7"/>
      <c r="F672" s="25" t="s">
        <v>202</v>
      </c>
      <c r="G672" s="7">
        <v>640</v>
      </c>
      <c r="H672" s="7" t="s">
        <v>140</v>
      </c>
      <c r="I672" s="23">
        <v>3170</v>
      </c>
      <c r="J672" s="23"/>
      <c r="K672" s="86">
        <f t="shared" si="75"/>
        <v>3170</v>
      </c>
      <c r="L672" s="355"/>
      <c r="M672" s="344"/>
      <c r="N672" s="246"/>
      <c r="O672" s="86">
        <f t="shared" si="76"/>
        <v>0</v>
      </c>
      <c r="P672" s="355"/>
      <c r="Q672" s="344">
        <f t="shared" si="78"/>
        <v>3170</v>
      </c>
      <c r="R672" s="23">
        <f t="shared" si="79"/>
        <v>0</v>
      </c>
      <c r="S672" s="86">
        <f t="shared" si="80"/>
        <v>3170</v>
      </c>
    </row>
    <row r="673" spans="2:19" x14ac:dyDescent="0.2">
      <c r="B673" s="83">
        <f t="shared" si="77"/>
        <v>81</v>
      </c>
      <c r="C673" s="6"/>
      <c r="D673" s="6"/>
      <c r="E673" s="6" t="s">
        <v>91</v>
      </c>
      <c r="F673" s="29"/>
      <c r="G673" s="6"/>
      <c r="H673" s="6" t="s">
        <v>92</v>
      </c>
      <c r="I673" s="40">
        <f>I674+I675+I676+I681</f>
        <v>297089</v>
      </c>
      <c r="J673" s="40">
        <f>J674+J675+J676+J681</f>
        <v>458</v>
      </c>
      <c r="K673" s="100">
        <f t="shared" si="75"/>
        <v>297547</v>
      </c>
      <c r="L673" s="355"/>
      <c r="M673" s="398">
        <v>0</v>
      </c>
      <c r="N673" s="261"/>
      <c r="O673" s="100">
        <f t="shared" si="76"/>
        <v>0</v>
      </c>
      <c r="P673" s="355"/>
      <c r="Q673" s="398">
        <f t="shared" si="78"/>
        <v>297089</v>
      </c>
      <c r="R673" s="40">
        <f t="shared" si="79"/>
        <v>458</v>
      </c>
      <c r="S673" s="100">
        <f t="shared" si="80"/>
        <v>297547</v>
      </c>
    </row>
    <row r="674" spans="2:19" x14ac:dyDescent="0.2">
      <c r="B674" s="83">
        <f t="shared" si="77"/>
        <v>82</v>
      </c>
      <c r="C674" s="7"/>
      <c r="D674" s="7"/>
      <c r="E674" s="7"/>
      <c r="F674" s="25" t="s">
        <v>202</v>
      </c>
      <c r="G674" s="7">
        <v>610</v>
      </c>
      <c r="H674" s="7" t="s">
        <v>142</v>
      </c>
      <c r="I674" s="23">
        <f>158713+11046-3157</f>
        <v>166602</v>
      </c>
      <c r="J674" s="23"/>
      <c r="K674" s="86">
        <f t="shared" si="75"/>
        <v>166602</v>
      </c>
      <c r="L674" s="355"/>
      <c r="M674" s="344"/>
      <c r="N674" s="246"/>
      <c r="O674" s="86">
        <f t="shared" si="76"/>
        <v>0</v>
      </c>
      <c r="P674" s="355"/>
      <c r="Q674" s="344">
        <f t="shared" si="78"/>
        <v>166602</v>
      </c>
      <c r="R674" s="23">
        <f t="shared" si="79"/>
        <v>0</v>
      </c>
      <c r="S674" s="86">
        <f t="shared" si="80"/>
        <v>166602</v>
      </c>
    </row>
    <row r="675" spans="2:19" x14ac:dyDescent="0.2">
      <c r="B675" s="83">
        <f t="shared" si="77"/>
        <v>83</v>
      </c>
      <c r="C675" s="7"/>
      <c r="D675" s="7"/>
      <c r="E675" s="7"/>
      <c r="F675" s="25" t="s">
        <v>202</v>
      </c>
      <c r="G675" s="7">
        <v>620</v>
      </c>
      <c r="H675" s="7" t="s">
        <v>135</v>
      </c>
      <c r="I675" s="23">
        <f>60173+4082-1110</f>
        <v>63145</v>
      </c>
      <c r="J675" s="23"/>
      <c r="K675" s="86">
        <f t="shared" si="75"/>
        <v>63145</v>
      </c>
      <c r="L675" s="355"/>
      <c r="M675" s="344"/>
      <c r="N675" s="246"/>
      <c r="O675" s="86">
        <f t="shared" si="76"/>
        <v>0</v>
      </c>
      <c r="P675" s="355"/>
      <c r="Q675" s="344">
        <f t="shared" si="78"/>
        <v>63145</v>
      </c>
      <c r="R675" s="23">
        <f t="shared" si="79"/>
        <v>0</v>
      </c>
      <c r="S675" s="86">
        <f t="shared" si="80"/>
        <v>63145</v>
      </c>
    </row>
    <row r="676" spans="2:19" x14ac:dyDescent="0.2">
      <c r="B676" s="83">
        <f t="shared" si="77"/>
        <v>84</v>
      </c>
      <c r="C676" s="7"/>
      <c r="D676" s="7"/>
      <c r="E676" s="7"/>
      <c r="F676" s="25" t="s">
        <v>202</v>
      </c>
      <c r="G676" s="7">
        <v>630</v>
      </c>
      <c r="H676" s="7" t="s">
        <v>132</v>
      </c>
      <c r="I676" s="23">
        <f>SUM(I677:I680)</f>
        <v>62834</v>
      </c>
      <c r="J676" s="23">
        <f>SUM(J677:J680)</f>
        <v>458</v>
      </c>
      <c r="K676" s="86">
        <f t="shared" si="75"/>
        <v>63292</v>
      </c>
      <c r="L676" s="355"/>
      <c r="M676" s="344"/>
      <c r="N676" s="246"/>
      <c r="O676" s="86">
        <f t="shared" si="76"/>
        <v>0</v>
      </c>
      <c r="P676" s="355"/>
      <c r="Q676" s="344">
        <f t="shared" si="78"/>
        <v>62834</v>
      </c>
      <c r="R676" s="23">
        <f t="shared" si="79"/>
        <v>458</v>
      </c>
      <c r="S676" s="86">
        <f t="shared" si="80"/>
        <v>63292</v>
      </c>
    </row>
    <row r="677" spans="2:19" x14ac:dyDescent="0.2">
      <c r="B677" s="83">
        <f t="shared" si="77"/>
        <v>85</v>
      </c>
      <c r="C677" s="3"/>
      <c r="D677" s="3"/>
      <c r="E677" s="3"/>
      <c r="F677" s="26" t="s">
        <v>202</v>
      </c>
      <c r="G677" s="3">
        <v>632</v>
      </c>
      <c r="H677" s="3" t="s">
        <v>145</v>
      </c>
      <c r="I677" s="19">
        <v>40100</v>
      </c>
      <c r="J677" s="19">
        <v>-2000</v>
      </c>
      <c r="K677" s="87">
        <f t="shared" si="75"/>
        <v>38100</v>
      </c>
      <c r="L677" s="356"/>
      <c r="M677" s="345"/>
      <c r="N677" s="208"/>
      <c r="O677" s="87">
        <f t="shared" si="76"/>
        <v>0</v>
      </c>
      <c r="P677" s="356"/>
      <c r="Q677" s="345">
        <f t="shared" si="78"/>
        <v>40100</v>
      </c>
      <c r="R677" s="19">
        <f t="shared" si="79"/>
        <v>-2000</v>
      </c>
      <c r="S677" s="87">
        <f t="shared" si="80"/>
        <v>38100</v>
      </c>
    </row>
    <row r="678" spans="2:19" x14ac:dyDescent="0.2">
      <c r="B678" s="83">
        <f t="shared" si="77"/>
        <v>86</v>
      </c>
      <c r="C678" s="3"/>
      <c r="D678" s="3"/>
      <c r="E678" s="3"/>
      <c r="F678" s="26" t="s">
        <v>202</v>
      </c>
      <c r="G678" s="3">
        <v>633</v>
      </c>
      <c r="H678" s="3" t="s">
        <v>136</v>
      </c>
      <c r="I678" s="19">
        <f>10385+3999</f>
        <v>14384</v>
      </c>
      <c r="J678" s="19">
        <v>2458</v>
      </c>
      <c r="K678" s="87">
        <f t="shared" si="75"/>
        <v>16842</v>
      </c>
      <c r="L678" s="356"/>
      <c r="M678" s="345"/>
      <c r="N678" s="208"/>
      <c r="O678" s="87">
        <f t="shared" si="76"/>
        <v>0</v>
      </c>
      <c r="P678" s="356"/>
      <c r="Q678" s="345">
        <f t="shared" si="78"/>
        <v>14384</v>
      </c>
      <c r="R678" s="19">
        <f t="shared" si="79"/>
        <v>2458</v>
      </c>
      <c r="S678" s="87">
        <f t="shared" si="80"/>
        <v>16842</v>
      </c>
    </row>
    <row r="679" spans="2:19" x14ac:dyDescent="0.2">
      <c r="B679" s="83">
        <f t="shared" si="77"/>
        <v>87</v>
      </c>
      <c r="C679" s="3"/>
      <c r="D679" s="3"/>
      <c r="E679" s="3"/>
      <c r="F679" s="26" t="s">
        <v>202</v>
      </c>
      <c r="G679" s="3">
        <v>635</v>
      </c>
      <c r="H679" s="3" t="s">
        <v>144</v>
      </c>
      <c r="I679" s="19">
        <v>3600</v>
      </c>
      <c r="J679" s="19"/>
      <c r="K679" s="87">
        <f t="shared" si="75"/>
        <v>3600</v>
      </c>
      <c r="L679" s="356"/>
      <c r="M679" s="345"/>
      <c r="N679" s="208"/>
      <c r="O679" s="87">
        <f t="shared" si="76"/>
        <v>0</v>
      </c>
      <c r="P679" s="356"/>
      <c r="Q679" s="345">
        <f t="shared" si="78"/>
        <v>3600</v>
      </c>
      <c r="R679" s="19">
        <f t="shared" si="79"/>
        <v>0</v>
      </c>
      <c r="S679" s="87">
        <f t="shared" si="80"/>
        <v>3600</v>
      </c>
    </row>
    <row r="680" spans="2:19" x14ac:dyDescent="0.2">
      <c r="B680" s="83">
        <f t="shared" si="77"/>
        <v>88</v>
      </c>
      <c r="C680" s="3"/>
      <c r="D680" s="3"/>
      <c r="E680" s="3"/>
      <c r="F680" s="26" t="s">
        <v>202</v>
      </c>
      <c r="G680" s="3">
        <v>637</v>
      </c>
      <c r="H680" s="3" t="s">
        <v>133</v>
      </c>
      <c r="I680" s="19">
        <f>4570+180</f>
        <v>4750</v>
      </c>
      <c r="J680" s="19"/>
      <c r="K680" s="87">
        <f t="shared" si="75"/>
        <v>4750</v>
      </c>
      <c r="L680" s="356"/>
      <c r="M680" s="345"/>
      <c r="N680" s="208"/>
      <c r="O680" s="87">
        <f t="shared" si="76"/>
        <v>0</v>
      </c>
      <c r="P680" s="356"/>
      <c r="Q680" s="345">
        <f t="shared" si="78"/>
        <v>4750</v>
      </c>
      <c r="R680" s="19">
        <f t="shared" si="79"/>
        <v>0</v>
      </c>
      <c r="S680" s="87">
        <f t="shared" si="80"/>
        <v>4750</v>
      </c>
    </row>
    <row r="681" spans="2:19" x14ac:dyDescent="0.2">
      <c r="B681" s="83">
        <f t="shared" si="77"/>
        <v>89</v>
      </c>
      <c r="C681" s="7"/>
      <c r="D681" s="7"/>
      <c r="E681" s="7"/>
      <c r="F681" s="25" t="s">
        <v>202</v>
      </c>
      <c r="G681" s="7">
        <v>640</v>
      </c>
      <c r="H681" s="7" t="s">
        <v>140</v>
      </c>
      <c r="I681" s="23">
        <v>4508</v>
      </c>
      <c r="J681" s="23"/>
      <c r="K681" s="86">
        <f t="shared" si="75"/>
        <v>4508</v>
      </c>
      <c r="L681" s="355"/>
      <c r="M681" s="344"/>
      <c r="N681" s="246"/>
      <c r="O681" s="86">
        <f t="shared" si="76"/>
        <v>0</v>
      </c>
      <c r="P681" s="355"/>
      <c r="Q681" s="344">
        <f t="shared" si="78"/>
        <v>4508</v>
      </c>
      <c r="R681" s="23">
        <f t="shared" si="79"/>
        <v>0</v>
      </c>
      <c r="S681" s="86">
        <f t="shared" si="80"/>
        <v>4508</v>
      </c>
    </row>
    <row r="682" spans="2:19" x14ac:dyDescent="0.2">
      <c r="B682" s="83">
        <f t="shared" si="77"/>
        <v>90</v>
      </c>
      <c r="C682" s="6"/>
      <c r="D682" s="6"/>
      <c r="E682" s="6" t="s">
        <v>88</v>
      </c>
      <c r="F682" s="29"/>
      <c r="G682" s="6"/>
      <c r="H682" s="6" t="s">
        <v>89</v>
      </c>
      <c r="I682" s="40">
        <f>I683+I684+I685+I690</f>
        <v>307147</v>
      </c>
      <c r="J682" s="40">
        <f>J683+J684+J685+J690</f>
        <v>1660</v>
      </c>
      <c r="K682" s="100">
        <f t="shared" si="75"/>
        <v>308807</v>
      </c>
      <c r="L682" s="355"/>
      <c r="M682" s="398">
        <f>M691</f>
        <v>45600</v>
      </c>
      <c r="N682" s="261"/>
      <c r="O682" s="100">
        <f t="shared" si="76"/>
        <v>45600</v>
      </c>
      <c r="P682" s="355"/>
      <c r="Q682" s="398">
        <f t="shared" si="78"/>
        <v>352747</v>
      </c>
      <c r="R682" s="40">
        <f t="shared" si="79"/>
        <v>1660</v>
      </c>
      <c r="S682" s="100">
        <f t="shared" si="80"/>
        <v>354407</v>
      </c>
    </row>
    <row r="683" spans="2:19" x14ac:dyDescent="0.2">
      <c r="B683" s="83">
        <f t="shared" si="77"/>
        <v>91</v>
      </c>
      <c r="C683" s="7"/>
      <c r="D683" s="7"/>
      <c r="E683" s="7"/>
      <c r="F683" s="25" t="s">
        <v>202</v>
      </c>
      <c r="G683" s="7">
        <v>610</v>
      </c>
      <c r="H683" s="7" t="s">
        <v>142</v>
      </c>
      <c r="I683" s="23">
        <f>157097+10717-3448</f>
        <v>164366</v>
      </c>
      <c r="J683" s="23"/>
      <c r="K683" s="86">
        <f t="shared" si="75"/>
        <v>164366</v>
      </c>
      <c r="L683" s="355"/>
      <c r="M683" s="344"/>
      <c r="N683" s="246"/>
      <c r="O683" s="86">
        <f t="shared" si="76"/>
        <v>0</v>
      </c>
      <c r="P683" s="355"/>
      <c r="Q683" s="344">
        <f t="shared" si="78"/>
        <v>164366</v>
      </c>
      <c r="R683" s="23">
        <f t="shared" si="79"/>
        <v>0</v>
      </c>
      <c r="S683" s="86">
        <f t="shared" si="80"/>
        <v>164366</v>
      </c>
    </row>
    <row r="684" spans="2:19" x14ac:dyDescent="0.2">
      <c r="B684" s="83">
        <f t="shared" si="77"/>
        <v>92</v>
      </c>
      <c r="C684" s="7"/>
      <c r="D684" s="7"/>
      <c r="E684" s="7"/>
      <c r="F684" s="25" t="s">
        <v>202</v>
      </c>
      <c r="G684" s="7">
        <v>620</v>
      </c>
      <c r="H684" s="7" t="s">
        <v>135</v>
      </c>
      <c r="I684" s="23">
        <f>58912+3960-1213</f>
        <v>61659</v>
      </c>
      <c r="J684" s="23"/>
      <c r="K684" s="86">
        <f t="shared" si="75"/>
        <v>61659</v>
      </c>
      <c r="L684" s="355"/>
      <c r="M684" s="344"/>
      <c r="N684" s="246"/>
      <c r="O684" s="86">
        <f t="shared" si="76"/>
        <v>0</v>
      </c>
      <c r="P684" s="355"/>
      <c r="Q684" s="344">
        <f t="shared" si="78"/>
        <v>61659</v>
      </c>
      <c r="R684" s="23">
        <f t="shared" si="79"/>
        <v>0</v>
      </c>
      <c r="S684" s="86">
        <f t="shared" si="80"/>
        <v>61659</v>
      </c>
    </row>
    <row r="685" spans="2:19" x14ac:dyDescent="0.2">
      <c r="B685" s="83">
        <f t="shared" si="77"/>
        <v>93</v>
      </c>
      <c r="C685" s="7"/>
      <c r="D685" s="7"/>
      <c r="E685" s="7"/>
      <c r="F685" s="25" t="s">
        <v>202</v>
      </c>
      <c r="G685" s="7">
        <v>630</v>
      </c>
      <c r="H685" s="7" t="s">
        <v>132</v>
      </c>
      <c r="I685" s="23">
        <f>SUM(I686:I689)</f>
        <v>78400</v>
      </c>
      <c r="J685" s="23">
        <f>SUM(J686:J689)</f>
        <v>1660</v>
      </c>
      <c r="K685" s="86">
        <f t="shared" si="75"/>
        <v>80060</v>
      </c>
      <c r="L685" s="355"/>
      <c r="M685" s="344"/>
      <c r="N685" s="246"/>
      <c r="O685" s="86">
        <f t="shared" si="76"/>
        <v>0</v>
      </c>
      <c r="P685" s="355"/>
      <c r="Q685" s="344">
        <f t="shared" si="78"/>
        <v>78400</v>
      </c>
      <c r="R685" s="23">
        <f t="shared" si="79"/>
        <v>1660</v>
      </c>
      <c r="S685" s="86">
        <f t="shared" si="80"/>
        <v>80060</v>
      </c>
    </row>
    <row r="686" spans="2:19" x14ac:dyDescent="0.2">
      <c r="B686" s="83">
        <f t="shared" si="77"/>
        <v>94</v>
      </c>
      <c r="C686" s="3"/>
      <c r="D686" s="3"/>
      <c r="E686" s="3"/>
      <c r="F686" s="26" t="s">
        <v>202</v>
      </c>
      <c r="G686" s="3">
        <v>632</v>
      </c>
      <c r="H686" s="3" t="s">
        <v>145</v>
      </c>
      <c r="I686" s="19">
        <v>49100</v>
      </c>
      <c r="J686" s="19">
        <v>-2000</v>
      </c>
      <c r="K686" s="87">
        <f t="shared" si="75"/>
        <v>47100</v>
      </c>
      <c r="L686" s="356"/>
      <c r="M686" s="345"/>
      <c r="N686" s="208"/>
      <c r="O686" s="87">
        <f t="shared" si="76"/>
        <v>0</v>
      </c>
      <c r="P686" s="356"/>
      <c r="Q686" s="345">
        <f t="shared" si="78"/>
        <v>49100</v>
      </c>
      <c r="R686" s="19">
        <f t="shared" si="79"/>
        <v>-2000</v>
      </c>
      <c r="S686" s="87">
        <f t="shared" si="80"/>
        <v>47100</v>
      </c>
    </row>
    <row r="687" spans="2:19" x14ac:dyDescent="0.2">
      <c r="B687" s="83">
        <f t="shared" si="77"/>
        <v>95</v>
      </c>
      <c r="C687" s="3"/>
      <c r="D687" s="3"/>
      <c r="E687" s="3"/>
      <c r="F687" s="26" t="s">
        <v>202</v>
      </c>
      <c r="G687" s="3">
        <v>633</v>
      </c>
      <c r="H687" s="3" t="s">
        <v>136</v>
      </c>
      <c r="I687" s="19">
        <f>11827+4393-3760</f>
        <v>12460</v>
      </c>
      <c r="J687" s="19">
        <v>3000</v>
      </c>
      <c r="K687" s="87">
        <f t="shared" si="75"/>
        <v>15460</v>
      </c>
      <c r="L687" s="356"/>
      <c r="M687" s="345"/>
      <c r="N687" s="208"/>
      <c r="O687" s="87">
        <f t="shared" si="76"/>
        <v>0</v>
      </c>
      <c r="P687" s="356"/>
      <c r="Q687" s="345">
        <f t="shared" si="78"/>
        <v>12460</v>
      </c>
      <c r="R687" s="19">
        <f t="shared" si="79"/>
        <v>3000</v>
      </c>
      <c r="S687" s="87">
        <f t="shared" si="80"/>
        <v>15460</v>
      </c>
    </row>
    <row r="688" spans="2:19" x14ac:dyDescent="0.2">
      <c r="B688" s="83">
        <f t="shared" si="77"/>
        <v>96</v>
      </c>
      <c r="C688" s="3"/>
      <c r="D688" s="3"/>
      <c r="E688" s="3"/>
      <c r="F688" s="26" t="s">
        <v>202</v>
      </c>
      <c r="G688" s="3">
        <v>635</v>
      </c>
      <c r="H688" s="3" t="s">
        <v>144</v>
      </c>
      <c r="I688" s="19">
        <f>3100+3760+5000</f>
        <v>11860</v>
      </c>
      <c r="J688" s="19"/>
      <c r="K688" s="87">
        <f t="shared" si="75"/>
        <v>11860</v>
      </c>
      <c r="L688" s="356"/>
      <c r="M688" s="345"/>
      <c r="N688" s="208"/>
      <c r="O688" s="87">
        <f t="shared" si="76"/>
        <v>0</v>
      </c>
      <c r="P688" s="356"/>
      <c r="Q688" s="345">
        <f t="shared" si="78"/>
        <v>11860</v>
      </c>
      <c r="R688" s="19">
        <f t="shared" si="79"/>
        <v>0</v>
      </c>
      <c r="S688" s="87">
        <f t="shared" si="80"/>
        <v>11860</v>
      </c>
    </row>
    <row r="689" spans="2:19" x14ac:dyDescent="0.2">
      <c r="B689" s="83">
        <f t="shared" si="77"/>
        <v>97</v>
      </c>
      <c r="C689" s="3"/>
      <c r="D689" s="3"/>
      <c r="E689" s="3"/>
      <c r="F689" s="26" t="s">
        <v>202</v>
      </c>
      <c r="G689" s="3">
        <v>637</v>
      </c>
      <c r="H689" s="3" t="s">
        <v>133</v>
      </c>
      <c r="I689" s="19">
        <f>4780+200</f>
        <v>4980</v>
      </c>
      <c r="J689" s="19">
        <v>660</v>
      </c>
      <c r="K689" s="87">
        <f t="shared" si="75"/>
        <v>5640</v>
      </c>
      <c r="L689" s="356"/>
      <c r="M689" s="345"/>
      <c r="N689" s="208"/>
      <c r="O689" s="87">
        <f t="shared" si="76"/>
        <v>0</v>
      </c>
      <c r="P689" s="356"/>
      <c r="Q689" s="345">
        <f t="shared" si="78"/>
        <v>4980</v>
      </c>
      <c r="R689" s="19">
        <f t="shared" si="79"/>
        <v>660</v>
      </c>
      <c r="S689" s="87">
        <f t="shared" si="80"/>
        <v>5640</v>
      </c>
    </row>
    <row r="690" spans="2:19" x14ac:dyDescent="0.2">
      <c r="B690" s="83">
        <f t="shared" si="77"/>
        <v>98</v>
      </c>
      <c r="C690" s="7"/>
      <c r="D690" s="7"/>
      <c r="E690" s="7"/>
      <c r="F690" s="25" t="s">
        <v>202</v>
      </c>
      <c r="G690" s="7">
        <v>640</v>
      </c>
      <c r="H690" s="7" t="s">
        <v>140</v>
      </c>
      <c r="I690" s="23">
        <v>2722</v>
      </c>
      <c r="J690" s="23"/>
      <c r="K690" s="86">
        <f t="shared" si="75"/>
        <v>2722</v>
      </c>
      <c r="L690" s="355"/>
      <c r="M690" s="344"/>
      <c r="N690" s="246"/>
      <c r="O690" s="86">
        <f t="shared" si="76"/>
        <v>0</v>
      </c>
      <c r="P690" s="355"/>
      <c r="Q690" s="344">
        <f t="shared" si="78"/>
        <v>2722</v>
      </c>
      <c r="R690" s="23">
        <f t="shared" si="79"/>
        <v>0</v>
      </c>
      <c r="S690" s="86">
        <f t="shared" si="80"/>
        <v>2722</v>
      </c>
    </row>
    <row r="691" spans="2:19" x14ac:dyDescent="0.2">
      <c r="B691" s="83">
        <f t="shared" si="77"/>
        <v>99</v>
      </c>
      <c r="C691" s="7"/>
      <c r="D691" s="7"/>
      <c r="E691" s="7"/>
      <c r="F691" s="25" t="s">
        <v>202</v>
      </c>
      <c r="G691" s="7">
        <v>710</v>
      </c>
      <c r="H691" s="7" t="s">
        <v>187</v>
      </c>
      <c r="I691" s="23">
        <f t="shared" ref="I691:S692" si="81">I692</f>
        <v>0</v>
      </c>
      <c r="J691" s="23"/>
      <c r="K691" s="86">
        <f t="shared" si="75"/>
        <v>0</v>
      </c>
      <c r="L691" s="355"/>
      <c r="M691" s="344">
        <f t="shared" si="81"/>
        <v>45600</v>
      </c>
      <c r="N691" s="246"/>
      <c r="O691" s="86">
        <f t="shared" si="76"/>
        <v>45600</v>
      </c>
      <c r="P691" s="355"/>
      <c r="Q691" s="344">
        <f t="shared" si="81"/>
        <v>45600</v>
      </c>
      <c r="R691" s="23">
        <f t="shared" si="81"/>
        <v>0</v>
      </c>
      <c r="S691" s="86">
        <f t="shared" si="81"/>
        <v>45600</v>
      </c>
    </row>
    <row r="692" spans="2:19" x14ac:dyDescent="0.2">
      <c r="B692" s="83">
        <f t="shared" si="77"/>
        <v>100</v>
      </c>
      <c r="C692" s="7"/>
      <c r="D692" s="7"/>
      <c r="E692" s="7"/>
      <c r="F692" s="26" t="s">
        <v>202</v>
      </c>
      <c r="G692" s="3">
        <v>716</v>
      </c>
      <c r="H692" s="3" t="s">
        <v>231</v>
      </c>
      <c r="I692" s="23">
        <f t="shared" si="81"/>
        <v>0</v>
      </c>
      <c r="J692" s="23"/>
      <c r="K692" s="86">
        <f t="shared" si="75"/>
        <v>0</v>
      </c>
      <c r="L692" s="355"/>
      <c r="M692" s="363">
        <f t="shared" si="81"/>
        <v>45600</v>
      </c>
      <c r="N692" s="254"/>
      <c r="O692" s="123">
        <f t="shared" si="76"/>
        <v>45600</v>
      </c>
      <c r="P692" s="356"/>
      <c r="Q692" s="363">
        <f t="shared" si="81"/>
        <v>45600</v>
      </c>
      <c r="R692" s="20">
        <f t="shared" si="81"/>
        <v>0</v>
      </c>
      <c r="S692" s="123">
        <f t="shared" si="81"/>
        <v>45600</v>
      </c>
    </row>
    <row r="693" spans="2:19" x14ac:dyDescent="0.2">
      <c r="B693" s="83">
        <f t="shared" si="77"/>
        <v>101</v>
      </c>
      <c r="C693" s="7"/>
      <c r="D693" s="7"/>
      <c r="E693" s="7"/>
      <c r="F693" s="27"/>
      <c r="G693" s="4"/>
      <c r="H693" s="4" t="s">
        <v>648</v>
      </c>
      <c r="I693" s="232"/>
      <c r="J693" s="232"/>
      <c r="K693" s="403">
        <f t="shared" si="75"/>
        <v>0</v>
      </c>
      <c r="L693" s="395"/>
      <c r="M693" s="368">
        <v>45600</v>
      </c>
      <c r="N693" s="252"/>
      <c r="O693" s="113">
        <f t="shared" si="76"/>
        <v>45600</v>
      </c>
      <c r="P693" s="357"/>
      <c r="Q693" s="368">
        <f>M693</f>
        <v>45600</v>
      </c>
      <c r="R693" s="22">
        <f t="shared" ref="R693:S693" si="82">N693</f>
        <v>0</v>
      </c>
      <c r="S693" s="113">
        <f t="shared" si="82"/>
        <v>45600</v>
      </c>
    </row>
    <row r="694" spans="2:19" x14ac:dyDescent="0.2">
      <c r="B694" s="83">
        <f t="shared" si="77"/>
        <v>102</v>
      </c>
      <c r="C694" s="6"/>
      <c r="D694" s="6"/>
      <c r="E694" s="6" t="s">
        <v>110</v>
      </c>
      <c r="F694" s="29"/>
      <c r="G694" s="6"/>
      <c r="H694" s="6" t="s">
        <v>111</v>
      </c>
      <c r="I694" s="40">
        <f>I695+I696+I697+I702</f>
        <v>202128</v>
      </c>
      <c r="J694" s="40">
        <f>J695+J696+J697+J702</f>
        <v>-72</v>
      </c>
      <c r="K694" s="100">
        <f t="shared" si="75"/>
        <v>202056</v>
      </c>
      <c r="L694" s="355"/>
      <c r="M694" s="398">
        <v>0</v>
      </c>
      <c r="N694" s="261"/>
      <c r="O694" s="100">
        <f t="shared" si="76"/>
        <v>0</v>
      </c>
      <c r="P694" s="355"/>
      <c r="Q694" s="398">
        <f t="shared" si="78"/>
        <v>202128</v>
      </c>
      <c r="R694" s="40">
        <f t="shared" ref="R694:R724" si="83">J694+N694</f>
        <v>-72</v>
      </c>
      <c r="S694" s="100">
        <f t="shared" ref="S694:S724" si="84">K694+O694</f>
        <v>202056</v>
      </c>
    </row>
    <row r="695" spans="2:19" x14ac:dyDescent="0.2">
      <c r="B695" s="83">
        <f t="shared" si="77"/>
        <v>103</v>
      </c>
      <c r="C695" s="7"/>
      <c r="D695" s="7"/>
      <c r="E695" s="7"/>
      <c r="F695" s="25" t="s">
        <v>202</v>
      </c>
      <c r="G695" s="7">
        <v>610</v>
      </c>
      <c r="H695" s="7" t="s">
        <v>142</v>
      </c>
      <c r="I695" s="23">
        <f>117000+7744-1699</f>
        <v>123045</v>
      </c>
      <c r="J695" s="23"/>
      <c r="K695" s="86">
        <f t="shared" si="75"/>
        <v>123045</v>
      </c>
      <c r="L695" s="355"/>
      <c r="M695" s="344"/>
      <c r="N695" s="246"/>
      <c r="O695" s="86">
        <f t="shared" si="76"/>
        <v>0</v>
      </c>
      <c r="P695" s="355"/>
      <c r="Q695" s="344">
        <f t="shared" si="78"/>
        <v>123045</v>
      </c>
      <c r="R695" s="23">
        <f t="shared" si="83"/>
        <v>0</v>
      </c>
      <c r="S695" s="86">
        <f t="shared" si="84"/>
        <v>123045</v>
      </c>
    </row>
    <row r="696" spans="2:19" x14ac:dyDescent="0.2">
      <c r="B696" s="83">
        <f t="shared" si="77"/>
        <v>104</v>
      </c>
      <c r="C696" s="7"/>
      <c r="D696" s="7"/>
      <c r="E696" s="7"/>
      <c r="F696" s="25" t="s">
        <v>202</v>
      </c>
      <c r="G696" s="7">
        <v>620</v>
      </c>
      <c r="H696" s="7" t="s">
        <v>135</v>
      </c>
      <c r="I696" s="23">
        <f>43738+2861-601</f>
        <v>45998</v>
      </c>
      <c r="J696" s="23"/>
      <c r="K696" s="86">
        <f t="shared" si="75"/>
        <v>45998</v>
      </c>
      <c r="L696" s="355"/>
      <c r="M696" s="344"/>
      <c r="N696" s="246"/>
      <c r="O696" s="86">
        <f t="shared" si="76"/>
        <v>0</v>
      </c>
      <c r="P696" s="355"/>
      <c r="Q696" s="344">
        <f t="shared" si="78"/>
        <v>45998</v>
      </c>
      <c r="R696" s="23">
        <f t="shared" si="83"/>
        <v>0</v>
      </c>
      <c r="S696" s="86">
        <f t="shared" si="84"/>
        <v>45998</v>
      </c>
    </row>
    <row r="697" spans="2:19" x14ac:dyDescent="0.2">
      <c r="B697" s="83">
        <f t="shared" si="77"/>
        <v>105</v>
      </c>
      <c r="C697" s="7"/>
      <c r="D697" s="7"/>
      <c r="E697" s="7"/>
      <c r="F697" s="25" t="s">
        <v>202</v>
      </c>
      <c r="G697" s="7">
        <v>630</v>
      </c>
      <c r="H697" s="7" t="s">
        <v>132</v>
      </c>
      <c r="I697" s="23">
        <f>SUM(I698:I701)</f>
        <v>31421</v>
      </c>
      <c r="J697" s="23">
        <f>SUM(J698:J701)</f>
        <v>-72</v>
      </c>
      <c r="K697" s="86">
        <f t="shared" si="75"/>
        <v>31349</v>
      </c>
      <c r="L697" s="355"/>
      <c r="M697" s="344"/>
      <c r="N697" s="246"/>
      <c r="O697" s="86">
        <f t="shared" si="76"/>
        <v>0</v>
      </c>
      <c r="P697" s="355"/>
      <c r="Q697" s="344">
        <f t="shared" si="78"/>
        <v>31421</v>
      </c>
      <c r="R697" s="23">
        <f t="shared" si="83"/>
        <v>-72</v>
      </c>
      <c r="S697" s="86">
        <f t="shared" si="84"/>
        <v>31349</v>
      </c>
    </row>
    <row r="698" spans="2:19" x14ac:dyDescent="0.2">
      <c r="B698" s="83">
        <f t="shared" si="77"/>
        <v>106</v>
      </c>
      <c r="C698" s="3"/>
      <c r="D698" s="3"/>
      <c r="E698" s="3"/>
      <c r="F698" s="26" t="s">
        <v>202</v>
      </c>
      <c r="G698" s="3">
        <v>632</v>
      </c>
      <c r="H698" s="3" t="s">
        <v>145</v>
      </c>
      <c r="I698" s="19">
        <v>14550</v>
      </c>
      <c r="J698" s="19">
        <v>-2000</v>
      </c>
      <c r="K698" s="87">
        <f t="shared" si="75"/>
        <v>12550</v>
      </c>
      <c r="L698" s="356"/>
      <c r="M698" s="345"/>
      <c r="N698" s="208"/>
      <c r="O698" s="87">
        <f t="shared" si="76"/>
        <v>0</v>
      </c>
      <c r="P698" s="356"/>
      <c r="Q698" s="345">
        <f t="shared" si="78"/>
        <v>14550</v>
      </c>
      <c r="R698" s="19">
        <f t="shared" si="83"/>
        <v>-2000</v>
      </c>
      <c r="S698" s="87">
        <f t="shared" si="84"/>
        <v>12550</v>
      </c>
    </row>
    <row r="699" spans="2:19" x14ac:dyDescent="0.2">
      <c r="B699" s="83">
        <f t="shared" si="77"/>
        <v>107</v>
      </c>
      <c r="C699" s="3"/>
      <c r="D699" s="3"/>
      <c r="E699" s="3"/>
      <c r="F699" s="26" t="s">
        <v>202</v>
      </c>
      <c r="G699" s="3">
        <v>633</v>
      </c>
      <c r="H699" s="3" t="s">
        <v>136</v>
      </c>
      <c r="I699" s="19">
        <f>7764+2852</f>
        <v>10616</v>
      </c>
      <c r="J699" s="19">
        <v>-572</v>
      </c>
      <c r="K699" s="87">
        <f t="shared" si="75"/>
        <v>10044</v>
      </c>
      <c r="L699" s="356"/>
      <c r="M699" s="345"/>
      <c r="N699" s="208"/>
      <c r="O699" s="87">
        <f t="shared" si="76"/>
        <v>0</v>
      </c>
      <c r="P699" s="356"/>
      <c r="Q699" s="345">
        <f t="shared" si="78"/>
        <v>10616</v>
      </c>
      <c r="R699" s="19">
        <f t="shared" si="83"/>
        <v>-572</v>
      </c>
      <c r="S699" s="87">
        <f t="shared" si="84"/>
        <v>10044</v>
      </c>
    </row>
    <row r="700" spans="2:19" x14ac:dyDescent="0.2">
      <c r="B700" s="83">
        <f t="shared" si="77"/>
        <v>108</v>
      </c>
      <c r="C700" s="3"/>
      <c r="D700" s="3"/>
      <c r="E700" s="3"/>
      <c r="F700" s="26" t="s">
        <v>202</v>
      </c>
      <c r="G700" s="3">
        <v>635</v>
      </c>
      <c r="H700" s="3" t="s">
        <v>144</v>
      </c>
      <c r="I700" s="19">
        <v>1700</v>
      </c>
      <c r="J700" s="19">
        <v>2500</v>
      </c>
      <c r="K700" s="87">
        <f t="shared" si="75"/>
        <v>4200</v>
      </c>
      <c r="L700" s="356"/>
      <c r="M700" s="345"/>
      <c r="N700" s="208"/>
      <c r="O700" s="87">
        <f t="shared" si="76"/>
        <v>0</v>
      </c>
      <c r="P700" s="356"/>
      <c r="Q700" s="345">
        <f t="shared" si="78"/>
        <v>1700</v>
      </c>
      <c r="R700" s="19">
        <f t="shared" si="83"/>
        <v>2500</v>
      </c>
      <c r="S700" s="87">
        <f t="shared" si="84"/>
        <v>4200</v>
      </c>
    </row>
    <row r="701" spans="2:19" x14ac:dyDescent="0.2">
      <c r="B701" s="83">
        <f t="shared" si="77"/>
        <v>109</v>
      </c>
      <c r="C701" s="3"/>
      <c r="D701" s="3"/>
      <c r="E701" s="3"/>
      <c r="F701" s="26" t="s">
        <v>202</v>
      </c>
      <c r="G701" s="3">
        <v>637</v>
      </c>
      <c r="H701" s="3" t="s">
        <v>133</v>
      </c>
      <c r="I701" s="19">
        <f>4450+105</f>
        <v>4555</v>
      </c>
      <c r="J701" s="19"/>
      <c r="K701" s="87">
        <f t="shared" si="75"/>
        <v>4555</v>
      </c>
      <c r="L701" s="356"/>
      <c r="M701" s="345"/>
      <c r="N701" s="208"/>
      <c r="O701" s="87">
        <f t="shared" si="76"/>
        <v>0</v>
      </c>
      <c r="P701" s="356"/>
      <c r="Q701" s="345">
        <f t="shared" si="78"/>
        <v>4555</v>
      </c>
      <c r="R701" s="19">
        <f t="shared" si="83"/>
        <v>0</v>
      </c>
      <c r="S701" s="87">
        <f t="shared" si="84"/>
        <v>4555</v>
      </c>
    </row>
    <row r="702" spans="2:19" x14ac:dyDescent="0.2">
      <c r="B702" s="83">
        <f t="shared" si="77"/>
        <v>110</v>
      </c>
      <c r="C702" s="7"/>
      <c r="D702" s="7"/>
      <c r="E702" s="7"/>
      <c r="F702" s="25" t="s">
        <v>202</v>
      </c>
      <c r="G702" s="7">
        <v>640</v>
      </c>
      <c r="H702" s="7" t="s">
        <v>140</v>
      </c>
      <c r="I702" s="23">
        <v>1664</v>
      </c>
      <c r="J702" s="23"/>
      <c r="K702" s="86">
        <f t="shared" si="75"/>
        <v>1664</v>
      </c>
      <c r="L702" s="355"/>
      <c r="M702" s="344"/>
      <c r="N702" s="246"/>
      <c r="O702" s="86">
        <f t="shared" si="76"/>
        <v>0</v>
      </c>
      <c r="P702" s="355"/>
      <c r="Q702" s="344">
        <f t="shared" si="78"/>
        <v>1664</v>
      </c>
      <c r="R702" s="23">
        <f t="shared" si="83"/>
        <v>0</v>
      </c>
      <c r="S702" s="86">
        <f t="shared" si="84"/>
        <v>1664</v>
      </c>
    </row>
    <row r="703" spans="2:19" x14ac:dyDescent="0.2">
      <c r="B703" s="83">
        <f t="shared" si="77"/>
        <v>111</v>
      </c>
      <c r="C703" s="6"/>
      <c r="D703" s="6"/>
      <c r="E703" s="6" t="s">
        <v>109</v>
      </c>
      <c r="F703" s="29"/>
      <c r="G703" s="6"/>
      <c r="H703" s="6" t="s">
        <v>67</v>
      </c>
      <c r="I703" s="40">
        <f>I704+I705+I706+I711</f>
        <v>294418</v>
      </c>
      <c r="J703" s="40">
        <f>J704+J705+J706+J711</f>
        <v>10332</v>
      </c>
      <c r="K703" s="100">
        <f t="shared" si="75"/>
        <v>304750</v>
      </c>
      <c r="L703" s="355"/>
      <c r="M703" s="398">
        <f>M712</f>
        <v>946467</v>
      </c>
      <c r="N703" s="261"/>
      <c r="O703" s="100">
        <f t="shared" si="76"/>
        <v>946467</v>
      </c>
      <c r="P703" s="355"/>
      <c r="Q703" s="398">
        <f t="shared" si="78"/>
        <v>1240885</v>
      </c>
      <c r="R703" s="40">
        <f t="shared" si="83"/>
        <v>10332</v>
      </c>
      <c r="S703" s="100">
        <f t="shared" si="84"/>
        <v>1251217</v>
      </c>
    </row>
    <row r="704" spans="2:19" x14ac:dyDescent="0.2">
      <c r="B704" s="83">
        <f t="shared" si="77"/>
        <v>112</v>
      </c>
      <c r="C704" s="7"/>
      <c r="D704" s="7"/>
      <c r="E704" s="7"/>
      <c r="F704" s="25" t="s">
        <v>202</v>
      </c>
      <c r="G704" s="7">
        <v>610</v>
      </c>
      <c r="H704" s="7" t="s">
        <v>142</v>
      </c>
      <c r="I704" s="23">
        <f>148408+10517-2332+1290</f>
        <v>157883</v>
      </c>
      <c r="J704" s="23"/>
      <c r="K704" s="86">
        <f t="shared" si="75"/>
        <v>157883</v>
      </c>
      <c r="L704" s="355"/>
      <c r="M704" s="344"/>
      <c r="N704" s="246"/>
      <c r="O704" s="86">
        <f t="shared" si="76"/>
        <v>0</v>
      </c>
      <c r="P704" s="355"/>
      <c r="Q704" s="344">
        <f t="shared" si="78"/>
        <v>157883</v>
      </c>
      <c r="R704" s="23">
        <f t="shared" si="83"/>
        <v>0</v>
      </c>
      <c r="S704" s="86">
        <f t="shared" si="84"/>
        <v>157883</v>
      </c>
    </row>
    <row r="705" spans="2:19" x14ac:dyDescent="0.2">
      <c r="B705" s="83">
        <f t="shared" si="77"/>
        <v>113</v>
      </c>
      <c r="C705" s="7"/>
      <c r="D705" s="7"/>
      <c r="E705" s="7"/>
      <c r="F705" s="25" t="s">
        <v>202</v>
      </c>
      <c r="G705" s="7">
        <v>620</v>
      </c>
      <c r="H705" s="7" t="s">
        <v>135</v>
      </c>
      <c r="I705" s="23">
        <f>55513+3886-815+460</f>
        <v>59044</v>
      </c>
      <c r="J705" s="23"/>
      <c r="K705" s="86">
        <f t="shared" si="75"/>
        <v>59044</v>
      </c>
      <c r="L705" s="355"/>
      <c r="M705" s="344"/>
      <c r="N705" s="246"/>
      <c r="O705" s="86">
        <f t="shared" si="76"/>
        <v>0</v>
      </c>
      <c r="P705" s="355"/>
      <c r="Q705" s="344">
        <f t="shared" si="78"/>
        <v>59044</v>
      </c>
      <c r="R705" s="23">
        <f t="shared" si="83"/>
        <v>0</v>
      </c>
      <c r="S705" s="86">
        <f t="shared" si="84"/>
        <v>59044</v>
      </c>
    </row>
    <row r="706" spans="2:19" x14ac:dyDescent="0.2">
      <c r="B706" s="83">
        <f t="shared" si="77"/>
        <v>114</v>
      </c>
      <c r="C706" s="7"/>
      <c r="D706" s="7"/>
      <c r="E706" s="7"/>
      <c r="F706" s="25" t="s">
        <v>202</v>
      </c>
      <c r="G706" s="7">
        <v>630</v>
      </c>
      <c r="H706" s="7" t="s">
        <v>132</v>
      </c>
      <c r="I706" s="23">
        <f>SUM(I707:I710)</f>
        <v>75339</v>
      </c>
      <c r="J706" s="23">
        <f>SUM(J707:J710)</f>
        <v>10332</v>
      </c>
      <c r="K706" s="86">
        <f t="shared" si="75"/>
        <v>85671</v>
      </c>
      <c r="L706" s="355"/>
      <c r="M706" s="344"/>
      <c r="N706" s="246"/>
      <c r="O706" s="86">
        <f t="shared" si="76"/>
        <v>0</v>
      </c>
      <c r="P706" s="355"/>
      <c r="Q706" s="344">
        <f t="shared" si="78"/>
        <v>75339</v>
      </c>
      <c r="R706" s="23">
        <f t="shared" si="83"/>
        <v>10332</v>
      </c>
      <c r="S706" s="86">
        <f t="shared" si="84"/>
        <v>85671</v>
      </c>
    </row>
    <row r="707" spans="2:19" x14ac:dyDescent="0.2">
      <c r="B707" s="83">
        <f t="shared" si="77"/>
        <v>115</v>
      </c>
      <c r="C707" s="3"/>
      <c r="D707" s="3"/>
      <c r="E707" s="3"/>
      <c r="F707" s="26" t="s">
        <v>202</v>
      </c>
      <c r="G707" s="3">
        <v>632</v>
      </c>
      <c r="H707" s="3" t="s">
        <v>145</v>
      </c>
      <c r="I707" s="19">
        <v>38020</v>
      </c>
      <c r="J707" s="19">
        <v>2960</v>
      </c>
      <c r="K707" s="87">
        <f t="shared" si="75"/>
        <v>40980</v>
      </c>
      <c r="L707" s="356"/>
      <c r="M707" s="345"/>
      <c r="N707" s="208"/>
      <c r="O707" s="87">
        <f t="shared" si="76"/>
        <v>0</v>
      </c>
      <c r="P707" s="356"/>
      <c r="Q707" s="345">
        <f t="shared" si="78"/>
        <v>38020</v>
      </c>
      <c r="R707" s="19">
        <f t="shared" si="83"/>
        <v>2960</v>
      </c>
      <c r="S707" s="87">
        <f t="shared" si="84"/>
        <v>40980</v>
      </c>
    </row>
    <row r="708" spans="2:19" x14ac:dyDescent="0.2">
      <c r="B708" s="83">
        <f t="shared" si="77"/>
        <v>116</v>
      </c>
      <c r="C708" s="3"/>
      <c r="D708" s="3"/>
      <c r="E708" s="3"/>
      <c r="F708" s="26" t="s">
        <v>202</v>
      </c>
      <c r="G708" s="3">
        <v>633</v>
      </c>
      <c r="H708" s="3" t="s">
        <v>136</v>
      </c>
      <c r="I708" s="19">
        <f>18808+3147</f>
        <v>21955</v>
      </c>
      <c r="J708" s="19">
        <v>2149</v>
      </c>
      <c r="K708" s="87">
        <f t="shared" si="75"/>
        <v>24104</v>
      </c>
      <c r="L708" s="356"/>
      <c r="M708" s="345"/>
      <c r="N708" s="208"/>
      <c r="O708" s="87">
        <f t="shared" si="76"/>
        <v>0</v>
      </c>
      <c r="P708" s="356"/>
      <c r="Q708" s="345">
        <f t="shared" si="78"/>
        <v>21955</v>
      </c>
      <c r="R708" s="19">
        <f t="shared" si="83"/>
        <v>2149</v>
      </c>
      <c r="S708" s="87">
        <f t="shared" si="84"/>
        <v>24104</v>
      </c>
    </row>
    <row r="709" spans="2:19" x14ac:dyDescent="0.2">
      <c r="B709" s="83">
        <f t="shared" si="77"/>
        <v>117</v>
      </c>
      <c r="C709" s="3"/>
      <c r="D709" s="3"/>
      <c r="E709" s="3"/>
      <c r="F709" s="26" t="s">
        <v>202</v>
      </c>
      <c r="G709" s="3">
        <v>635</v>
      </c>
      <c r="H709" s="3" t="s">
        <v>144</v>
      </c>
      <c r="I709" s="19">
        <f>5800+5344</f>
        <v>11144</v>
      </c>
      <c r="J709" s="19">
        <v>4768</v>
      </c>
      <c r="K709" s="87">
        <f t="shared" si="75"/>
        <v>15912</v>
      </c>
      <c r="L709" s="356"/>
      <c r="M709" s="345"/>
      <c r="N709" s="208"/>
      <c r="O709" s="87">
        <f t="shared" si="76"/>
        <v>0</v>
      </c>
      <c r="P709" s="356"/>
      <c r="Q709" s="345">
        <f t="shared" si="78"/>
        <v>11144</v>
      </c>
      <c r="R709" s="19">
        <f t="shared" si="83"/>
        <v>4768</v>
      </c>
      <c r="S709" s="87">
        <f t="shared" si="84"/>
        <v>15912</v>
      </c>
    </row>
    <row r="710" spans="2:19" x14ac:dyDescent="0.2">
      <c r="B710" s="83">
        <f t="shared" si="77"/>
        <v>118</v>
      </c>
      <c r="C710" s="3"/>
      <c r="D710" s="3"/>
      <c r="E710" s="3"/>
      <c r="F710" s="26" t="s">
        <v>202</v>
      </c>
      <c r="G710" s="3">
        <v>637</v>
      </c>
      <c r="H710" s="3" t="s">
        <v>133</v>
      </c>
      <c r="I710" s="19">
        <f>4115+105</f>
        <v>4220</v>
      </c>
      <c r="J710" s="19">
        <v>455</v>
      </c>
      <c r="K710" s="87">
        <f t="shared" si="75"/>
        <v>4675</v>
      </c>
      <c r="L710" s="356"/>
      <c r="M710" s="345"/>
      <c r="N710" s="208"/>
      <c r="O710" s="87">
        <f t="shared" si="76"/>
        <v>0</v>
      </c>
      <c r="P710" s="356"/>
      <c r="Q710" s="345">
        <f t="shared" si="78"/>
        <v>4220</v>
      </c>
      <c r="R710" s="19">
        <f t="shared" si="83"/>
        <v>455</v>
      </c>
      <c r="S710" s="87">
        <f t="shared" si="84"/>
        <v>4675</v>
      </c>
    </row>
    <row r="711" spans="2:19" x14ac:dyDescent="0.2">
      <c r="B711" s="83">
        <f t="shared" si="77"/>
        <v>119</v>
      </c>
      <c r="C711" s="7"/>
      <c r="D711" s="7"/>
      <c r="E711" s="7"/>
      <c r="F711" s="25" t="s">
        <v>202</v>
      </c>
      <c r="G711" s="7">
        <v>640</v>
      </c>
      <c r="H711" s="7" t="s">
        <v>140</v>
      </c>
      <c r="I711" s="23">
        <v>2152</v>
      </c>
      <c r="J711" s="23"/>
      <c r="K711" s="86">
        <f t="shared" si="75"/>
        <v>2152</v>
      </c>
      <c r="L711" s="355"/>
      <c r="M711" s="344"/>
      <c r="N711" s="246"/>
      <c r="O711" s="86">
        <f t="shared" si="76"/>
        <v>0</v>
      </c>
      <c r="P711" s="355"/>
      <c r="Q711" s="344">
        <f t="shared" si="78"/>
        <v>2152</v>
      </c>
      <c r="R711" s="23">
        <f t="shared" si="83"/>
        <v>0</v>
      </c>
      <c r="S711" s="86">
        <f t="shared" si="84"/>
        <v>2152</v>
      </c>
    </row>
    <row r="712" spans="2:19" x14ac:dyDescent="0.2">
      <c r="B712" s="83">
        <f t="shared" si="77"/>
        <v>120</v>
      </c>
      <c r="C712" s="7"/>
      <c r="D712" s="7"/>
      <c r="E712" s="7"/>
      <c r="F712" s="25" t="s">
        <v>202</v>
      </c>
      <c r="G712" s="7">
        <v>710</v>
      </c>
      <c r="H712" s="7" t="s">
        <v>187</v>
      </c>
      <c r="I712" s="23"/>
      <c r="J712" s="23"/>
      <c r="K712" s="86">
        <f t="shared" si="75"/>
        <v>0</v>
      </c>
      <c r="L712" s="355"/>
      <c r="M712" s="344">
        <f>M713</f>
        <v>946467</v>
      </c>
      <c r="N712" s="246"/>
      <c r="O712" s="86">
        <f t="shared" si="76"/>
        <v>946467</v>
      </c>
      <c r="P712" s="355"/>
      <c r="Q712" s="344">
        <f t="shared" si="78"/>
        <v>946467</v>
      </c>
      <c r="R712" s="23">
        <f t="shared" si="83"/>
        <v>0</v>
      </c>
      <c r="S712" s="86">
        <f t="shared" si="84"/>
        <v>946467</v>
      </c>
    </row>
    <row r="713" spans="2:19" x14ac:dyDescent="0.2">
      <c r="B713" s="83">
        <f t="shared" si="77"/>
        <v>121</v>
      </c>
      <c r="C713" s="3"/>
      <c r="D713" s="3"/>
      <c r="E713" s="3"/>
      <c r="F713" s="26" t="s">
        <v>202</v>
      </c>
      <c r="G713" s="3">
        <v>717</v>
      </c>
      <c r="H713" s="3" t="s">
        <v>197</v>
      </c>
      <c r="I713" s="19"/>
      <c r="J713" s="19"/>
      <c r="K713" s="87">
        <f t="shared" si="75"/>
        <v>0</v>
      </c>
      <c r="L713" s="356"/>
      <c r="M713" s="345">
        <f>M714+M715</f>
        <v>946467</v>
      </c>
      <c r="N713" s="208"/>
      <c r="O713" s="87">
        <f t="shared" si="76"/>
        <v>946467</v>
      </c>
      <c r="P713" s="356"/>
      <c r="Q713" s="396">
        <f t="shared" si="78"/>
        <v>946467</v>
      </c>
      <c r="R713" s="397">
        <f t="shared" si="83"/>
        <v>0</v>
      </c>
      <c r="S713" s="112">
        <f t="shared" si="84"/>
        <v>946467</v>
      </c>
    </row>
    <row r="714" spans="2:19" x14ac:dyDescent="0.2">
      <c r="B714" s="83">
        <f t="shared" si="77"/>
        <v>122</v>
      </c>
      <c r="C714" s="4"/>
      <c r="D714" s="4"/>
      <c r="E714" s="4"/>
      <c r="F714" s="31"/>
      <c r="G714" s="4"/>
      <c r="H714" s="46" t="s">
        <v>373</v>
      </c>
      <c r="I714" s="21"/>
      <c r="J714" s="21"/>
      <c r="K714" s="88">
        <f t="shared" si="75"/>
        <v>0</v>
      </c>
      <c r="L714" s="357"/>
      <c r="M714" s="346">
        <f>945907+10800-13240</f>
        <v>943467</v>
      </c>
      <c r="N714" s="247"/>
      <c r="O714" s="88">
        <f t="shared" si="76"/>
        <v>943467</v>
      </c>
      <c r="P714" s="357"/>
      <c r="Q714" s="368">
        <f t="shared" si="78"/>
        <v>943467</v>
      </c>
      <c r="R714" s="22">
        <f t="shared" si="83"/>
        <v>0</v>
      </c>
      <c r="S714" s="113">
        <f t="shared" si="84"/>
        <v>943467</v>
      </c>
    </row>
    <row r="715" spans="2:19" x14ac:dyDescent="0.2">
      <c r="B715" s="83">
        <f t="shared" si="77"/>
        <v>123</v>
      </c>
      <c r="C715" s="4"/>
      <c r="D715" s="4"/>
      <c r="E715" s="4"/>
      <c r="F715" s="31"/>
      <c r="G715" s="4"/>
      <c r="H715" s="46" t="s">
        <v>610</v>
      </c>
      <c r="I715" s="21"/>
      <c r="J715" s="21"/>
      <c r="K715" s="88">
        <f t="shared" si="75"/>
        <v>0</v>
      </c>
      <c r="L715" s="357"/>
      <c r="M715" s="346">
        <v>3000</v>
      </c>
      <c r="N715" s="247"/>
      <c r="O715" s="88">
        <f t="shared" si="76"/>
        <v>3000</v>
      </c>
      <c r="P715" s="357"/>
      <c r="Q715" s="368">
        <f t="shared" si="78"/>
        <v>3000</v>
      </c>
      <c r="R715" s="22">
        <f t="shared" si="83"/>
        <v>0</v>
      </c>
      <c r="S715" s="113">
        <f t="shared" si="84"/>
        <v>3000</v>
      </c>
    </row>
    <row r="716" spans="2:19" x14ac:dyDescent="0.2">
      <c r="B716" s="83">
        <f t="shared" si="77"/>
        <v>124</v>
      </c>
      <c r="C716" s="6"/>
      <c r="D716" s="6"/>
      <c r="E716" s="6" t="s">
        <v>105</v>
      </c>
      <c r="F716" s="29"/>
      <c r="G716" s="6"/>
      <c r="H716" s="6" t="s">
        <v>73</v>
      </c>
      <c r="I716" s="40">
        <f>I717+I718+I719+I724</f>
        <v>295015</v>
      </c>
      <c r="J716" s="40">
        <f>J717+J718+J719+J724</f>
        <v>-155</v>
      </c>
      <c r="K716" s="100">
        <f t="shared" si="75"/>
        <v>294860</v>
      </c>
      <c r="L716" s="355"/>
      <c r="M716" s="398">
        <f>M725</f>
        <v>861784</v>
      </c>
      <c r="N716" s="261"/>
      <c r="O716" s="100">
        <f t="shared" si="76"/>
        <v>861784</v>
      </c>
      <c r="P716" s="355"/>
      <c r="Q716" s="398">
        <f t="shared" si="78"/>
        <v>1156799</v>
      </c>
      <c r="R716" s="40">
        <f t="shared" si="83"/>
        <v>-155</v>
      </c>
      <c r="S716" s="100">
        <f t="shared" si="84"/>
        <v>1156644</v>
      </c>
    </row>
    <row r="717" spans="2:19" x14ac:dyDescent="0.2">
      <c r="B717" s="83">
        <f t="shared" si="77"/>
        <v>125</v>
      </c>
      <c r="C717" s="7"/>
      <c r="D717" s="7"/>
      <c r="E717" s="7"/>
      <c r="F717" s="25" t="s">
        <v>202</v>
      </c>
      <c r="G717" s="7">
        <v>610</v>
      </c>
      <c r="H717" s="7" t="s">
        <v>142</v>
      </c>
      <c r="I717" s="23">
        <f>165225+10174-3084</f>
        <v>172315</v>
      </c>
      <c r="J717" s="23"/>
      <c r="K717" s="86">
        <f t="shared" si="75"/>
        <v>172315</v>
      </c>
      <c r="L717" s="355"/>
      <c r="M717" s="344"/>
      <c r="N717" s="246"/>
      <c r="O717" s="86">
        <f t="shared" si="76"/>
        <v>0</v>
      </c>
      <c r="P717" s="355"/>
      <c r="Q717" s="344">
        <f t="shared" si="78"/>
        <v>172315</v>
      </c>
      <c r="R717" s="23">
        <f t="shared" si="83"/>
        <v>0</v>
      </c>
      <c r="S717" s="86">
        <f t="shared" si="84"/>
        <v>172315</v>
      </c>
    </row>
    <row r="718" spans="2:19" x14ac:dyDescent="0.2">
      <c r="B718" s="83">
        <f t="shared" si="77"/>
        <v>126</v>
      </c>
      <c r="C718" s="7"/>
      <c r="D718" s="7"/>
      <c r="E718" s="7"/>
      <c r="F718" s="25" t="s">
        <v>202</v>
      </c>
      <c r="G718" s="7">
        <v>620</v>
      </c>
      <c r="H718" s="7" t="s">
        <v>135</v>
      </c>
      <c r="I718" s="23">
        <f>60917+3759-1086</f>
        <v>63590</v>
      </c>
      <c r="J718" s="23"/>
      <c r="K718" s="86">
        <f t="shared" si="75"/>
        <v>63590</v>
      </c>
      <c r="L718" s="355"/>
      <c r="M718" s="344"/>
      <c r="N718" s="246"/>
      <c r="O718" s="86">
        <f t="shared" si="76"/>
        <v>0</v>
      </c>
      <c r="P718" s="355"/>
      <c r="Q718" s="344">
        <f t="shared" si="78"/>
        <v>63590</v>
      </c>
      <c r="R718" s="23">
        <f t="shared" si="83"/>
        <v>0</v>
      </c>
      <c r="S718" s="86">
        <f t="shared" si="84"/>
        <v>63590</v>
      </c>
    </row>
    <row r="719" spans="2:19" x14ac:dyDescent="0.2">
      <c r="B719" s="83">
        <f t="shared" si="77"/>
        <v>127</v>
      </c>
      <c r="C719" s="7"/>
      <c r="D719" s="7"/>
      <c r="E719" s="7"/>
      <c r="F719" s="25" t="s">
        <v>202</v>
      </c>
      <c r="G719" s="7">
        <v>630</v>
      </c>
      <c r="H719" s="7" t="s">
        <v>132</v>
      </c>
      <c r="I719" s="23">
        <f>SUM(I720:I723)</f>
        <v>57980</v>
      </c>
      <c r="J719" s="23">
        <f>SUM(J720:J723)</f>
        <v>-155</v>
      </c>
      <c r="K719" s="86">
        <f t="shared" si="75"/>
        <v>57825</v>
      </c>
      <c r="L719" s="355"/>
      <c r="M719" s="344"/>
      <c r="N719" s="246"/>
      <c r="O719" s="86">
        <f t="shared" si="76"/>
        <v>0</v>
      </c>
      <c r="P719" s="355"/>
      <c r="Q719" s="344">
        <f t="shared" si="78"/>
        <v>57980</v>
      </c>
      <c r="R719" s="23">
        <f t="shared" si="83"/>
        <v>-155</v>
      </c>
      <c r="S719" s="86">
        <f t="shared" si="84"/>
        <v>57825</v>
      </c>
    </row>
    <row r="720" spans="2:19" x14ac:dyDescent="0.2">
      <c r="B720" s="83">
        <f t="shared" si="77"/>
        <v>128</v>
      </c>
      <c r="C720" s="3"/>
      <c r="D720" s="3"/>
      <c r="E720" s="3"/>
      <c r="F720" s="26" t="s">
        <v>202</v>
      </c>
      <c r="G720" s="3">
        <v>632</v>
      </c>
      <c r="H720" s="3" t="s">
        <v>145</v>
      </c>
      <c r="I720" s="19">
        <v>27750</v>
      </c>
      <c r="J720" s="19"/>
      <c r="K720" s="87">
        <f t="shared" ref="K720:K783" si="85">J720+I720</f>
        <v>27750</v>
      </c>
      <c r="L720" s="356"/>
      <c r="M720" s="345"/>
      <c r="N720" s="208"/>
      <c r="O720" s="87">
        <f t="shared" ref="O720:O783" si="86">N720+M720</f>
        <v>0</v>
      </c>
      <c r="P720" s="356"/>
      <c r="Q720" s="345">
        <f t="shared" si="78"/>
        <v>27750</v>
      </c>
      <c r="R720" s="19">
        <f t="shared" si="83"/>
        <v>0</v>
      </c>
      <c r="S720" s="87">
        <f t="shared" si="84"/>
        <v>27750</v>
      </c>
    </row>
    <row r="721" spans="2:19" x14ac:dyDescent="0.2">
      <c r="B721" s="83">
        <f t="shared" ref="B721:B784" si="87">B720+1</f>
        <v>129</v>
      </c>
      <c r="C721" s="3"/>
      <c r="D721" s="3"/>
      <c r="E721" s="3"/>
      <c r="F721" s="26" t="s">
        <v>202</v>
      </c>
      <c r="G721" s="3">
        <v>633</v>
      </c>
      <c r="H721" s="3" t="s">
        <v>136</v>
      </c>
      <c r="I721" s="19">
        <f>13624+4721</f>
        <v>18345</v>
      </c>
      <c r="J721" s="19">
        <v>-155</v>
      </c>
      <c r="K721" s="87">
        <f t="shared" si="85"/>
        <v>18190</v>
      </c>
      <c r="L721" s="356"/>
      <c r="M721" s="345"/>
      <c r="N721" s="208"/>
      <c r="O721" s="87">
        <f t="shared" si="86"/>
        <v>0</v>
      </c>
      <c r="P721" s="356"/>
      <c r="Q721" s="345">
        <f t="shared" si="78"/>
        <v>18345</v>
      </c>
      <c r="R721" s="19">
        <f t="shared" si="83"/>
        <v>-155</v>
      </c>
      <c r="S721" s="87">
        <f t="shared" si="84"/>
        <v>18190</v>
      </c>
    </row>
    <row r="722" spans="2:19" x14ac:dyDescent="0.2">
      <c r="B722" s="83">
        <f t="shared" si="87"/>
        <v>130</v>
      </c>
      <c r="C722" s="3"/>
      <c r="D722" s="3"/>
      <c r="E722" s="3"/>
      <c r="F722" s="26" t="s">
        <v>202</v>
      </c>
      <c r="G722" s="3">
        <v>635</v>
      </c>
      <c r="H722" s="3" t="s">
        <v>144</v>
      </c>
      <c r="I722" s="19">
        <v>7150</v>
      </c>
      <c r="J722" s="19"/>
      <c r="K722" s="87">
        <f t="shared" si="85"/>
        <v>7150</v>
      </c>
      <c r="L722" s="356"/>
      <c r="M722" s="345"/>
      <c r="N722" s="208"/>
      <c r="O722" s="87">
        <f t="shared" si="86"/>
        <v>0</v>
      </c>
      <c r="P722" s="356"/>
      <c r="Q722" s="345">
        <f t="shared" si="78"/>
        <v>7150</v>
      </c>
      <c r="R722" s="19">
        <f t="shared" si="83"/>
        <v>0</v>
      </c>
      <c r="S722" s="87">
        <f t="shared" si="84"/>
        <v>7150</v>
      </c>
    </row>
    <row r="723" spans="2:19" x14ac:dyDescent="0.2">
      <c r="B723" s="83">
        <f t="shared" si="87"/>
        <v>131</v>
      </c>
      <c r="C723" s="3"/>
      <c r="D723" s="3"/>
      <c r="E723" s="3"/>
      <c r="F723" s="26" t="s">
        <v>202</v>
      </c>
      <c r="G723" s="3">
        <v>637</v>
      </c>
      <c r="H723" s="3" t="s">
        <v>133</v>
      </c>
      <c r="I723" s="19">
        <f>4545+190</f>
        <v>4735</v>
      </c>
      <c r="J723" s="19"/>
      <c r="K723" s="87">
        <f t="shared" si="85"/>
        <v>4735</v>
      </c>
      <c r="L723" s="356"/>
      <c r="M723" s="345"/>
      <c r="N723" s="208"/>
      <c r="O723" s="87">
        <f t="shared" si="86"/>
        <v>0</v>
      </c>
      <c r="P723" s="356"/>
      <c r="Q723" s="345">
        <f t="shared" si="78"/>
        <v>4735</v>
      </c>
      <c r="R723" s="19">
        <f t="shared" si="83"/>
        <v>0</v>
      </c>
      <c r="S723" s="87">
        <f t="shared" si="84"/>
        <v>4735</v>
      </c>
    </row>
    <row r="724" spans="2:19" x14ac:dyDescent="0.2">
      <c r="B724" s="83">
        <f t="shared" si="87"/>
        <v>132</v>
      </c>
      <c r="C724" s="3"/>
      <c r="D724" s="3"/>
      <c r="E724" s="3"/>
      <c r="F724" s="25" t="s">
        <v>202</v>
      </c>
      <c r="G724" s="7">
        <v>640</v>
      </c>
      <c r="H724" s="7" t="s">
        <v>140</v>
      </c>
      <c r="I724" s="23">
        <v>1130</v>
      </c>
      <c r="J724" s="23"/>
      <c r="K724" s="86">
        <f t="shared" si="85"/>
        <v>1130</v>
      </c>
      <c r="L724" s="355"/>
      <c r="M724" s="344"/>
      <c r="N724" s="246"/>
      <c r="O724" s="86">
        <f t="shared" si="86"/>
        <v>0</v>
      </c>
      <c r="P724" s="355"/>
      <c r="Q724" s="344">
        <f t="shared" si="78"/>
        <v>1130</v>
      </c>
      <c r="R724" s="23">
        <f t="shared" si="83"/>
        <v>0</v>
      </c>
      <c r="S724" s="86">
        <f t="shared" si="84"/>
        <v>1130</v>
      </c>
    </row>
    <row r="725" spans="2:19" x14ac:dyDescent="0.2">
      <c r="B725" s="83">
        <f t="shared" si="87"/>
        <v>133</v>
      </c>
      <c r="C725" s="3"/>
      <c r="D725" s="3"/>
      <c r="E725" s="3"/>
      <c r="F725" s="25" t="s">
        <v>202</v>
      </c>
      <c r="G725" s="7">
        <v>710</v>
      </c>
      <c r="H725" s="7" t="s">
        <v>187</v>
      </c>
      <c r="I725" s="19"/>
      <c r="J725" s="19"/>
      <c r="K725" s="87">
        <f t="shared" si="85"/>
        <v>0</v>
      </c>
      <c r="L725" s="356"/>
      <c r="M725" s="344">
        <f>M726+M728</f>
        <v>861784</v>
      </c>
      <c r="N725" s="246"/>
      <c r="O725" s="86">
        <f t="shared" si="86"/>
        <v>861784</v>
      </c>
      <c r="P725" s="355"/>
      <c r="Q725" s="349">
        <f>M725</f>
        <v>861784</v>
      </c>
      <c r="R725" s="18">
        <f t="shared" ref="R725:S729" si="88">N725</f>
        <v>0</v>
      </c>
      <c r="S725" s="114">
        <f t="shared" si="88"/>
        <v>861784</v>
      </c>
    </row>
    <row r="726" spans="2:19" x14ac:dyDescent="0.2">
      <c r="B726" s="83">
        <f t="shared" si="87"/>
        <v>134</v>
      </c>
      <c r="C726" s="3"/>
      <c r="D726" s="3"/>
      <c r="E726" s="3"/>
      <c r="F726" s="26" t="s">
        <v>202</v>
      </c>
      <c r="G726" s="3">
        <v>716</v>
      </c>
      <c r="H726" s="3" t="s">
        <v>231</v>
      </c>
      <c r="I726" s="19"/>
      <c r="J726" s="19"/>
      <c r="K726" s="87">
        <f t="shared" si="85"/>
        <v>0</v>
      </c>
      <c r="L726" s="356"/>
      <c r="M726" s="345">
        <f>M727</f>
        <v>7750</v>
      </c>
      <c r="N726" s="208"/>
      <c r="O726" s="87">
        <f t="shared" si="86"/>
        <v>7750</v>
      </c>
      <c r="P726" s="356"/>
      <c r="Q726" s="345">
        <f>M726</f>
        <v>7750</v>
      </c>
      <c r="R726" s="19">
        <f t="shared" si="88"/>
        <v>0</v>
      </c>
      <c r="S726" s="87">
        <f t="shared" si="88"/>
        <v>7750</v>
      </c>
    </row>
    <row r="727" spans="2:19" x14ac:dyDescent="0.2">
      <c r="B727" s="83">
        <f t="shared" si="87"/>
        <v>135</v>
      </c>
      <c r="C727" s="3"/>
      <c r="D727" s="3"/>
      <c r="E727" s="3"/>
      <c r="F727" s="31"/>
      <c r="G727" s="4"/>
      <c r="H727" s="46" t="s">
        <v>649</v>
      </c>
      <c r="I727" s="19"/>
      <c r="J727" s="19"/>
      <c r="K727" s="87">
        <f t="shared" si="85"/>
        <v>0</v>
      </c>
      <c r="L727" s="356"/>
      <c r="M727" s="346">
        <v>7750</v>
      </c>
      <c r="N727" s="247"/>
      <c r="O727" s="88">
        <f t="shared" si="86"/>
        <v>7750</v>
      </c>
      <c r="P727" s="357"/>
      <c r="Q727" s="345">
        <f>M727</f>
        <v>7750</v>
      </c>
      <c r="R727" s="19">
        <f t="shared" si="88"/>
        <v>0</v>
      </c>
      <c r="S727" s="87">
        <f t="shared" si="88"/>
        <v>7750</v>
      </c>
    </row>
    <row r="728" spans="2:19" x14ac:dyDescent="0.2">
      <c r="B728" s="83">
        <f t="shared" si="87"/>
        <v>136</v>
      </c>
      <c r="C728" s="3"/>
      <c r="D728" s="3"/>
      <c r="E728" s="3"/>
      <c r="F728" s="26"/>
      <c r="G728" s="3">
        <v>717</v>
      </c>
      <c r="H728" s="3" t="s">
        <v>197</v>
      </c>
      <c r="I728" s="19"/>
      <c r="J728" s="19"/>
      <c r="K728" s="87">
        <f t="shared" si="85"/>
        <v>0</v>
      </c>
      <c r="L728" s="356"/>
      <c r="M728" s="345">
        <f>M729</f>
        <v>854034</v>
      </c>
      <c r="N728" s="208"/>
      <c r="O728" s="87">
        <f t="shared" si="86"/>
        <v>854034</v>
      </c>
      <c r="P728" s="356"/>
      <c r="Q728" s="345">
        <f>M728</f>
        <v>854034</v>
      </c>
      <c r="R728" s="19">
        <f t="shared" si="88"/>
        <v>0</v>
      </c>
      <c r="S728" s="87">
        <f t="shared" si="88"/>
        <v>854034</v>
      </c>
    </row>
    <row r="729" spans="2:19" x14ac:dyDescent="0.2">
      <c r="B729" s="83">
        <f t="shared" si="87"/>
        <v>137</v>
      </c>
      <c r="C729" s="3"/>
      <c r="D729" s="3"/>
      <c r="E729" s="3"/>
      <c r="F729" s="26"/>
      <c r="G729" s="3"/>
      <c r="H729" s="46" t="s">
        <v>649</v>
      </c>
      <c r="I729" s="19"/>
      <c r="J729" s="19"/>
      <c r="K729" s="87">
        <f t="shared" si="85"/>
        <v>0</v>
      </c>
      <c r="L729" s="356"/>
      <c r="M729" s="399">
        <f>848534+5500</f>
        <v>854034</v>
      </c>
      <c r="N729" s="262"/>
      <c r="O729" s="187">
        <f t="shared" si="86"/>
        <v>854034</v>
      </c>
      <c r="P729" s="395"/>
      <c r="Q729" s="345">
        <f>M729</f>
        <v>854034</v>
      </c>
      <c r="R729" s="19">
        <f t="shared" si="88"/>
        <v>0</v>
      </c>
      <c r="S729" s="87">
        <f t="shared" si="88"/>
        <v>854034</v>
      </c>
    </row>
    <row r="730" spans="2:19" x14ac:dyDescent="0.2">
      <c r="B730" s="83">
        <f t="shared" si="87"/>
        <v>138</v>
      </c>
      <c r="C730" s="6"/>
      <c r="D730" s="6"/>
      <c r="E730" s="6" t="s">
        <v>108</v>
      </c>
      <c r="F730" s="29"/>
      <c r="G730" s="6"/>
      <c r="H730" s="6" t="s">
        <v>74</v>
      </c>
      <c r="I730" s="40">
        <f>I731+I732+I733+I738</f>
        <v>178168</v>
      </c>
      <c r="J730" s="40">
        <f>J731+J732+J733+J738</f>
        <v>149</v>
      </c>
      <c r="K730" s="100">
        <f t="shared" si="85"/>
        <v>178317</v>
      </c>
      <c r="L730" s="355"/>
      <c r="M730" s="398">
        <f>M739</f>
        <v>39000</v>
      </c>
      <c r="N730" s="261"/>
      <c r="O730" s="100">
        <f t="shared" si="86"/>
        <v>39000</v>
      </c>
      <c r="P730" s="355"/>
      <c r="Q730" s="398">
        <f t="shared" ref="Q730:Q802" si="89">I730+M730</f>
        <v>217168</v>
      </c>
      <c r="R730" s="40">
        <f t="shared" ref="R730:R796" si="90">J730+N730</f>
        <v>149</v>
      </c>
      <c r="S730" s="100">
        <f t="shared" ref="S730:S796" si="91">K730+O730</f>
        <v>217317</v>
      </c>
    </row>
    <row r="731" spans="2:19" x14ac:dyDescent="0.2">
      <c r="B731" s="83">
        <f t="shared" si="87"/>
        <v>139</v>
      </c>
      <c r="C731" s="7"/>
      <c r="D731" s="7"/>
      <c r="E731" s="7"/>
      <c r="F731" s="25" t="s">
        <v>202</v>
      </c>
      <c r="G731" s="7">
        <v>610</v>
      </c>
      <c r="H731" s="7" t="s">
        <v>142</v>
      </c>
      <c r="I731" s="23">
        <f>101249+6911-1968</f>
        <v>106192</v>
      </c>
      <c r="J731" s="23"/>
      <c r="K731" s="86">
        <f t="shared" si="85"/>
        <v>106192</v>
      </c>
      <c r="L731" s="355"/>
      <c r="M731" s="344"/>
      <c r="N731" s="246"/>
      <c r="O731" s="86">
        <f t="shared" si="86"/>
        <v>0</v>
      </c>
      <c r="P731" s="355"/>
      <c r="Q731" s="344">
        <f t="shared" si="89"/>
        <v>106192</v>
      </c>
      <c r="R731" s="23">
        <f t="shared" si="90"/>
        <v>0</v>
      </c>
      <c r="S731" s="86">
        <f t="shared" si="91"/>
        <v>106192</v>
      </c>
    </row>
    <row r="732" spans="2:19" x14ac:dyDescent="0.2">
      <c r="B732" s="83">
        <f t="shared" si="87"/>
        <v>140</v>
      </c>
      <c r="C732" s="7"/>
      <c r="D732" s="7"/>
      <c r="E732" s="7"/>
      <c r="F732" s="25" t="s">
        <v>202</v>
      </c>
      <c r="G732" s="7">
        <v>620</v>
      </c>
      <c r="H732" s="7" t="s">
        <v>135</v>
      </c>
      <c r="I732" s="23">
        <f>37300+2554-688</f>
        <v>39166</v>
      </c>
      <c r="J732" s="23"/>
      <c r="K732" s="86">
        <f t="shared" si="85"/>
        <v>39166</v>
      </c>
      <c r="L732" s="355"/>
      <c r="M732" s="344"/>
      <c r="N732" s="246"/>
      <c r="O732" s="86">
        <f t="shared" si="86"/>
        <v>0</v>
      </c>
      <c r="P732" s="355"/>
      <c r="Q732" s="344">
        <f t="shared" si="89"/>
        <v>39166</v>
      </c>
      <c r="R732" s="23">
        <f t="shared" si="90"/>
        <v>0</v>
      </c>
      <c r="S732" s="86">
        <f t="shared" si="91"/>
        <v>39166</v>
      </c>
    </row>
    <row r="733" spans="2:19" x14ac:dyDescent="0.2">
      <c r="B733" s="83">
        <f t="shared" si="87"/>
        <v>141</v>
      </c>
      <c r="C733" s="7"/>
      <c r="D733" s="7"/>
      <c r="E733" s="7"/>
      <c r="F733" s="25" t="s">
        <v>202</v>
      </c>
      <c r="G733" s="7">
        <v>630</v>
      </c>
      <c r="H733" s="7" t="s">
        <v>132</v>
      </c>
      <c r="I733" s="23">
        <f>SUM(I734:I737)</f>
        <v>32100</v>
      </c>
      <c r="J733" s="23">
        <f>SUM(J734:J737)</f>
        <v>149</v>
      </c>
      <c r="K733" s="86">
        <f t="shared" si="85"/>
        <v>32249</v>
      </c>
      <c r="L733" s="355"/>
      <c r="M733" s="344"/>
      <c r="N733" s="246"/>
      <c r="O733" s="86">
        <f t="shared" si="86"/>
        <v>0</v>
      </c>
      <c r="P733" s="355"/>
      <c r="Q733" s="344">
        <f t="shared" si="89"/>
        <v>32100</v>
      </c>
      <c r="R733" s="23">
        <f t="shared" si="90"/>
        <v>149</v>
      </c>
      <c r="S733" s="86">
        <f t="shared" si="91"/>
        <v>32249</v>
      </c>
    </row>
    <row r="734" spans="2:19" x14ac:dyDescent="0.2">
      <c r="B734" s="83">
        <f t="shared" si="87"/>
        <v>142</v>
      </c>
      <c r="C734" s="3"/>
      <c r="D734" s="3"/>
      <c r="E734" s="3"/>
      <c r="F734" s="26" t="s">
        <v>202</v>
      </c>
      <c r="G734" s="3">
        <v>632</v>
      </c>
      <c r="H734" s="3" t="s">
        <v>145</v>
      </c>
      <c r="I734" s="19">
        <v>17450</v>
      </c>
      <c r="J734" s="19">
        <v>-2000</v>
      </c>
      <c r="K734" s="87">
        <f t="shared" si="85"/>
        <v>15450</v>
      </c>
      <c r="L734" s="356"/>
      <c r="M734" s="345"/>
      <c r="N734" s="208"/>
      <c r="O734" s="87">
        <f t="shared" si="86"/>
        <v>0</v>
      </c>
      <c r="P734" s="356"/>
      <c r="Q734" s="345">
        <f t="shared" si="89"/>
        <v>17450</v>
      </c>
      <c r="R734" s="19">
        <f t="shared" si="90"/>
        <v>-2000</v>
      </c>
      <c r="S734" s="87">
        <f t="shared" si="91"/>
        <v>15450</v>
      </c>
    </row>
    <row r="735" spans="2:19" x14ac:dyDescent="0.2">
      <c r="B735" s="83">
        <f t="shared" si="87"/>
        <v>143</v>
      </c>
      <c r="C735" s="3"/>
      <c r="D735" s="3"/>
      <c r="E735" s="3"/>
      <c r="F735" s="26" t="s">
        <v>202</v>
      </c>
      <c r="G735" s="3">
        <v>633</v>
      </c>
      <c r="H735" s="3" t="s">
        <v>136</v>
      </c>
      <c r="I735" s="19">
        <f>6976+2164</f>
        <v>9140</v>
      </c>
      <c r="J735" s="19">
        <v>1699</v>
      </c>
      <c r="K735" s="87">
        <f t="shared" si="85"/>
        <v>10839</v>
      </c>
      <c r="L735" s="356"/>
      <c r="M735" s="345"/>
      <c r="N735" s="208"/>
      <c r="O735" s="87">
        <f t="shared" si="86"/>
        <v>0</v>
      </c>
      <c r="P735" s="356"/>
      <c r="Q735" s="345">
        <f t="shared" si="89"/>
        <v>9140</v>
      </c>
      <c r="R735" s="19">
        <f t="shared" si="90"/>
        <v>1699</v>
      </c>
      <c r="S735" s="87">
        <f t="shared" si="91"/>
        <v>10839</v>
      </c>
    </row>
    <row r="736" spans="2:19" x14ac:dyDescent="0.2">
      <c r="B736" s="83">
        <f t="shared" si="87"/>
        <v>144</v>
      </c>
      <c r="C736" s="3"/>
      <c r="D736" s="3"/>
      <c r="E736" s="3"/>
      <c r="F736" s="26" t="s">
        <v>202</v>
      </c>
      <c r="G736" s="3">
        <v>635</v>
      </c>
      <c r="H736" s="3" t="s">
        <v>144</v>
      </c>
      <c r="I736" s="19">
        <v>2300</v>
      </c>
      <c r="J736" s="19"/>
      <c r="K736" s="87">
        <f t="shared" si="85"/>
        <v>2300</v>
      </c>
      <c r="L736" s="356"/>
      <c r="M736" s="345"/>
      <c r="N736" s="208"/>
      <c r="O736" s="87">
        <f t="shared" si="86"/>
        <v>0</v>
      </c>
      <c r="P736" s="356"/>
      <c r="Q736" s="345">
        <f t="shared" si="89"/>
        <v>2300</v>
      </c>
      <c r="R736" s="19">
        <f t="shared" si="90"/>
        <v>0</v>
      </c>
      <c r="S736" s="87">
        <f t="shared" si="91"/>
        <v>2300</v>
      </c>
    </row>
    <row r="737" spans="2:19" x14ac:dyDescent="0.2">
      <c r="B737" s="83">
        <f t="shared" si="87"/>
        <v>145</v>
      </c>
      <c r="C737" s="3"/>
      <c r="D737" s="3"/>
      <c r="E737" s="3"/>
      <c r="F737" s="26" t="s">
        <v>202</v>
      </c>
      <c r="G737" s="3">
        <v>637</v>
      </c>
      <c r="H737" s="3" t="s">
        <v>133</v>
      </c>
      <c r="I737" s="19">
        <f>3115+95</f>
        <v>3210</v>
      </c>
      <c r="J737" s="19">
        <v>450</v>
      </c>
      <c r="K737" s="87">
        <f t="shared" si="85"/>
        <v>3660</v>
      </c>
      <c r="L737" s="356"/>
      <c r="M737" s="345"/>
      <c r="N737" s="208"/>
      <c r="O737" s="87">
        <f t="shared" si="86"/>
        <v>0</v>
      </c>
      <c r="P737" s="356"/>
      <c r="Q737" s="345">
        <f t="shared" si="89"/>
        <v>3210</v>
      </c>
      <c r="R737" s="19">
        <f t="shared" si="90"/>
        <v>450</v>
      </c>
      <c r="S737" s="87">
        <f t="shared" si="91"/>
        <v>3660</v>
      </c>
    </row>
    <row r="738" spans="2:19" x14ac:dyDescent="0.2">
      <c r="B738" s="83">
        <f t="shared" si="87"/>
        <v>146</v>
      </c>
      <c r="C738" s="3"/>
      <c r="D738" s="3"/>
      <c r="E738" s="3"/>
      <c r="F738" s="25" t="s">
        <v>202</v>
      </c>
      <c r="G738" s="7">
        <v>640</v>
      </c>
      <c r="H738" s="7" t="s">
        <v>140</v>
      </c>
      <c r="I738" s="23">
        <v>710</v>
      </c>
      <c r="J738" s="23"/>
      <c r="K738" s="86">
        <f t="shared" si="85"/>
        <v>710</v>
      </c>
      <c r="L738" s="355"/>
      <c r="M738" s="344"/>
      <c r="N738" s="246"/>
      <c r="O738" s="86">
        <f t="shared" si="86"/>
        <v>0</v>
      </c>
      <c r="P738" s="355"/>
      <c r="Q738" s="344">
        <f t="shared" si="89"/>
        <v>710</v>
      </c>
      <c r="R738" s="23">
        <f t="shared" si="90"/>
        <v>0</v>
      </c>
      <c r="S738" s="86">
        <f t="shared" si="91"/>
        <v>710</v>
      </c>
    </row>
    <row r="739" spans="2:19" x14ac:dyDescent="0.2">
      <c r="B739" s="83">
        <f t="shared" si="87"/>
        <v>147</v>
      </c>
      <c r="C739" s="3"/>
      <c r="D739" s="3"/>
      <c r="E739" s="3"/>
      <c r="F739" s="25" t="s">
        <v>202</v>
      </c>
      <c r="G739" s="7">
        <v>710</v>
      </c>
      <c r="H739" s="7" t="s">
        <v>187</v>
      </c>
      <c r="I739" s="23"/>
      <c r="J739" s="23"/>
      <c r="K739" s="86">
        <f t="shared" si="85"/>
        <v>0</v>
      </c>
      <c r="L739" s="355"/>
      <c r="M739" s="344">
        <f>M740</f>
        <v>39000</v>
      </c>
      <c r="N739" s="246"/>
      <c r="O739" s="86">
        <f t="shared" si="86"/>
        <v>39000</v>
      </c>
      <c r="P739" s="355"/>
      <c r="Q739" s="344">
        <f t="shared" si="89"/>
        <v>39000</v>
      </c>
      <c r="R739" s="23">
        <f t="shared" si="90"/>
        <v>0</v>
      </c>
      <c r="S739" s="86">
        <f t="shared" si="91"/>
        <v>39000</v>
      </c>
    </row>
    <row r="740" spans="2:19" x14ac:dyDescent="0.2">
      <c r="B740" s="83">
        <f t="shared" si="87"/>
        <v>148</v>
      </c>
      <c r="C740" s="3"/>
      <c r="D740" s="3"/>
      <c r="E740" s="3"/>
      <c r="F740" s="26" t="s">
        <v>202</v>
      </c>
      <c r="G740" s="3">
        <v>717</v>
      </c>
      <c r="H740" s="3" t="s">
        <v>197</v>
      </c>
      <c r="I740" s="19"/>
      <c r="J740" s="19"/>
      <c r="K740" s="87">
        <f t="shared" si="85"/>
        <v>0</v>
      </c>
      <c r="L740" s="356"/>
      <c r="M740" s="345">
        <f>M741</f>
        <v>39000</v>
      </c>
      <c r="N740" s="208"/>
      <c r="O740" s="87">
        <f t="shared" si="86"/>
        <v>39000</v>
      </c>
      <c r="P740" s="356"/>
      <c r="Q740" s="396">
        <f t="shared" si="89"/>
        <v>39000</v>
      </c>
      <c r="R740" s="397">
        <f t="shared" si="90"/>
        <v>0</v>
      </c>
      <c r="S740" s="112">
        <f t="shared" si="91"/>
        <v>39000</v>
      </c>
    </row>
    <row r="741" spans="2:19" x14ac:dyDescent="0.2">
      <c r="B741" s="83">
        <f t="shared" si="87"/>
        <v>149</v>
      </c>
      <c r="C741" s="3"/>
      <c r="D741" s="3"/>
      <c r="E741" s="3"/>
      <c r="F741" s="31"/>
      <c r="G741" s="4"/>
      <c r="H741" s="46" t="s">
        <v>563</v>
      </c>
      <c r="I741" s="21"/>
      <c r="J741" s="21"/>
      <c r="K741" s="88">
        <f t="shared" si="85"/>
        <v>0</v>
      </c>
      <c r="L741" s="357"/>
      <c r="M741" s="346">
        <f>30000+9000</f>
        <v>39000</v>
      </c>
      <c r="N741" s="247"/>
      <c r="O741" s="88">
        <f t="shared" si="86"/>
        <v>39000</v>
      </c>
      <c r="P741" s="357"/>
      <c r="Q741" s="368">
        <f t="shared" si="89"/>
        <v>39000</v>
      </c>
      <c r="R741" s="22">
        <f t="shared" si="90"/>
        <v>0</v>
      </c>
      <c r="S741" s="113">
        <f t="shared" si="91"/>
        <v>39000</v>
      </c>
    </row>
    <row r="742" spans="2:19" x14ac:dyDescent="0.2">
      <c r="B742" s="83">
        <f t="shared" si="87"/>
        <v>150</v>
      </c>
      <c r="C742" s="6"/>
      <c r="D742" s="6"/>
      <c r="E742" s="6" t="s">
        <v>101</v>
      </c>
      <c r="F742" s="29"/>
      <c r="G742" s="6"/>
      <c r="H742" s="6" t="s">
        <v>102</v>
      </c>
      <c r="I742" s="40">
        <f>I743+I744+I745</f>
        <v>90337</v>
      </c>
      <c r="J742" s="40">
        <f>J743+J744+J745</f>
        <v>-91</v>
      </c>
      <c r="K742" s="100">
        <f t="shared" si="85"/>
        <v>90246</v>
      </c>
      <c r="L742" s="355"/>
      <c r="M742" s="398">
        <f>M750</f>
        <v>10000</v>
      </c>
      <c r="N742" s="261"/>
      <c r="O742" s="100">
        <f t="shared" si="86"/>
        <v>10000</v>
      </c>
      <c r="P742" s="355"/>
      <c r="Q742" s="398">
        <f t="shared" si="89"/>
        <v>100337</v>
      </c>
      <c r="R742" s="40">
        <f t="shared" si="90"/>
        <v>-91</v>
      </c>
      <c r="S742" s="100">
        <f t="shared" si="91"/>
        <v>100246</v>
      </c>
    </row>
    <row r="743" spans="2:19" x14ac:dyDescent="0.2">
      <c r="B743" s="83">
        <f t="shared" si="87"/>
        <v>151</v>
      </c>
      <c r="C743" s="7"/>
      <c r="D743" s="7"/>
      <c r="E743" s="7"/>
      <c r="F743" s="25" t="s">
        <v>202</v>
      </c>
      <c r="G743" s="7">
        <v>610</v>
      </c>
      <c r="H743" s="7" t="s">
        <v>142</v>
      </c>
      <c r="I743" s="23">
        <f>51681+3581-1020</f>
        <v>54242</v>
      </c>
      <c r="J743" s="23"/>
      <c r="K743" s="86">
        <f t="shared" si="85"/>
        <v>54242</v>
      </c>
      <c r="L743" s="355"/>
      <c r="M743" s="344"/>
      <c r="N743" s="246"/>
      <c r="O743" s="86">
        <f t="shared" si="86"/>
        <v>0</v>
      </c>
      <c r="P743" s="355"/>
      <c r="Q743" s="344">
        <f t="shared" si="89"/>
        <v>54242</v>
      </c>
      <c r="R743" s="23">
        <f t="shared" si="90"/>
        <v>0</v>
      </c>
      <c r="S743" s="86">
        <f t="shared" si="91"/>
        <v>54242</v>
      </c>
    </row>
    <row r="744" spans="2:19" x14ac:dyDescent="0.2">
      <c r="B744" s="83">
        <f t="shared" si="87"/>
        <v>152</v>
      </c>
      <c r="C744" s="7"/>
      <c r="D744" s="7"/>
      <c r="E744" s="7"/>
      <c r="F744" s="25" t="s">
        <v>202</v>
      </c>
      <c r="G744" s="7">
        <v>620</v>
      </c>
      <c r="H744" s="7" t="s">
        <v>135</v>
      </c>
      <c r="I744" s="23">
        <f>19004+1323-357</f>
        <v>19970</v>
      </c>
      <c r="J744" s="23"/>
      <c r="K744" s="86">
        <f t="shared" si="85"/>
        <v>19970</v>
      </c>
      <c r="L744" s="355"/>
      <c r="M744" s="344"/>
      <c r="N744" s="246"/>
      <c r="O744" s="86">
        <f t="shared" si="86"/>
        <v>0</v>
      </c>
      <c r="P744" s="355"/>
      <c r="Q744" s="344">
        <f t="shared" si="89"/>
        <v>19970</v>
      </c>
      <c r="R744" s="23">
        <f t="shared" si="90"/>
        <v>0</v>
      </c>
      <c r="S744" s="86">
        <f t="shared" si="91"/>
        <v>19970</v>
      </c>
    </row>
    <row r="745" spans="2:19" x14ac:dyDescent="0.2">
      <c r="B745" s="83">
        <f t="shared" si="87"/>
        <v>153</v>
      </c>
      <c r="C745" s="7"/>
      <c r="D745" s="7"/>
      <c r="E745" s="7"/>
      <c r="F745" s="25" t="s">
        <v>202</v>
      </c>
      <c r="G745" s="7">
        <v>630</v>
      </c>
      <c r="H745" s="7" t="s">
        <v>132</v>
      </c>
      <c r="I745" s="23">
        <f>SUM(I746:I749)</f>
        <v>16125</v>
      </c>
      <c r="J745" s="23">
        <f>SUM(J746:J749)</f>
        <v>-91</v>
      </c>
      <c r="K745" s="86">
        <f t="shared" si="85"/>
        <v>16034</v>
      </c>
      <c r="L745" s="355"/>
      <c r="M745" s="344"/>
      <c r="N745" s="246"/>
      <c r="O745" s="86">
        <f t="shared" si="86"/>
        <v>0</v>
      </c>
      <c r="P745" s="355"/>
      <c r="Q745" s="344">
        <f t="shared" si="89"/>
        <v>16125</v>
      </c>
      <c r="R745" s="23">
        <f t="shared" si="90"/>
        <v>-91</v>
      </c>
      <c r="S745" s="86">
        <f t="shared" si="91"/>
        <v>16034</v>
      </c>
    </row>
    <row r="746" spans="2:19" x14ac:dyDescent="0.2">
      <c r="B746" s="83">
        <f t="shared" si="87"/>
        <v>154</v>
      </c>
      <c r="C746" s="3"/>
      <c r="D746" s="3"/>
      <c r="E746" s="3"/>
      <c r="F746" s="26" t="s">
        <v>202</v>
      </c>
      <c r="G746" s="3">
        <v>632</v>
      </c>
      <c r="H746" s="3" t="s">
        <v>145</v>
      </c>
      <c r="I746" s="19">
        <v>7540</v>
      </c>
      <c r="J746" s="19">
        <v>-751</v>
      </c>
      <c r="K746" s="87">
        <f t="shared" si="85"/>
        <v>6789</v>
      </c>
      <c r="L746" s="356"/>
      <c r="M746" s="345"/>
      <c r="N746" s="208"/>
      <c r="O746" s="87">
        <f t="shared" si="86"/>
        <v>0</v>
      </c>
      <c r="P746" s="356"/>
      <c r="Q746" s="345">
        <f t="shared" si="89"/>
        <v>7540</v>
      </c>
      <c r="R746" s="19">
        <f t="shared" si="90"/>
        <v>-751</v>
      </c>
      <c r="S746" s="87">
        <f t="shared" si="91"/>
        <v>6789</v>
      </c>
    </row>
    <row r="747" spans="2:19" x14ac:dyDescent="0.2">
      <c r="B747" s="83">
        <f t="shared" si="87"/>
        <v>155</v>
      </c>
      <c r="C747" s="3"/>
      <c r="D747" s="3"/>
      <c r="E747" s="3"/>
      <c r="F747" s="26" t="s">
        <v>202</v>
      </c>
      <c r="G747" s="3">
        <v>633</v>
      </c>
      <c r="H747" s="3" t="s">
        <v>136</v>
      </c>
      <c r="I747" s="19">
        <f>5108+1377</f>
        <v>6485</v>
      </c>
      <c r="J747" s="19">
        <v>-91</v>
      </c>
      <c r="K747" s="87">
        <f t="shared" si="85"/>
        <v>6394</v>
      </c>
      <c r="L747" s="356"/>
      <c r="M747" s="345"/>
      <c r="N747" s="208"/>
      <c r="O747" s="87">
        <f t="shared" si="86"/>
        <v>0</v>
      </c>
      <c r="P747" s="356"/>
      <c r="Q747" s="345">
        <f t="shared" si="89"/>
        <v>6485</v>
      </c>
      <c r="R747" s="19">
        <f t="shared" si="90"/>
        <v>-91</v>
      </c>
      <c r="S747" s="87">
        <f t="shared" si="91"/>
        <v>6394</v>
      </c>
    </row>
    <row r="748" spans="2:19" x14ac:dyDescent="0.2">
      <c r="B748" s="83">
        <f t="shared" si="87"/>
        <v>156</v>
      </c>
      <c r="C748" s="3"/>
      <c r="D748" s="3"/>
      <c r="E748" s="3"/>
      <c r="F748" s="26" t="s">
        <v>202</v>
      </c>
      <c r="G748" s="3">
        <v>635</v>
      </c>
      <c r="H748" s="3" t="s">
        <v>144</v>
      </c>
      <c r="I748" s="19">
        <v>200</v>
      </c>
      <c r="J748" s="19">
        <v>201</v>
      </c>
      <c r="K748" s="87">
        <f t="shared" si="85"/>
        <v>401</v>
      </c>
      <c r="L748" s="356"/>
      <c r="M748" s="345"/>
      <c r="N748" s="208"/>
      <c r="O748" s="87">
        <f t="shared" si="86"/>
        <v>0</v>
      </c>
      <c r="P748" s="356"/>
      <c r="Q748" s="345">
        <f t="shared" si="89"/>
        <v>200</v>
      </c>
      <c r="R748" s="19">
        <f t="shared" si="90"/>
        <v>201</v>
      </c>
      <c r="S748" s="87">
        <f t="shared" si="91"/>
        <v>401</v>
      </c>
    </row>
    <row r="749" spans="2:19" x14ac:dyDescent="0.2">
      <c r="B749" s="83">
        <f t="shared" si="87"/>
        <v>157</v>
      </c>
      <c r="C749" s="3"/>
      <c r="D749" s="3"/>
      <c r="E749" s="3"/>
      <c r="F749" s="26" t="s">
        <v>202</v>
      </c>
      <c r="G749" s="3">
        <v>637</v>
      </c>
      <c r="H749" s="3" t="s">
        <v>133</v>
      </c>
      <c r="I749" s="19">
        <f>1840+60</f>
        <v>1900</v>
      </c>
      <c r="J749" s="19">
        <v>550</v>
      </c>
      <c r="K749" s="87">
        <f t="shared" si="85"/>
        <v>2450</v>
      </c>
      <c r="L749" s="356"/>
      <c r="M749" s="345"/>
      <c r="N749" s="208"/>
      <c r="O749" s="87">
        <f t="shared" si="86"/>
        <v>0</v>
      </c>
      <c r="P749" s="356"/>
      <c r="Q749" s="345">
        <f t="shared" si="89"/>
        <v>1900</v>
      </c>
      <c r="R749" s="19">
        <f t="shared" si="90"/>
        <v>550</v>
      </c>
      <c r="S749" s="87">
        <f t="shared" si="91"/>
        <v>2450</v>
      </c>
    </row>
    <row r="750" spans="2:19" x14ac:dyDescent="0.2">
      <c r="B750" s="83">
        <f t="shared" si="87"/>
        <v>158</v>
      </c>
      <c r="C750" s="3"/>
      <c r="D750" s="3"/>
      <c r="E750" s="3"/>
      <c r="F750" s="25" t="s">
        <v>202</v>
      </c>
      <c r="G750" s="7">
        <v>710</v>
      </c>
      <c r="H750" s="7" t="s">
        <v>187</v>
      </c>
      <c r="I750" s="23"/>
      <c r="J750" s="23"/>
      <c r="K750" s="86">
        <f t="shared" si="85"/>
        <v>0</v>
      </c>
      <c r="L750" s="355"/>
      <c r="M750" s="344">
        <f>M751</f>
        <v>10000</v>
      </c>
      <c r="N750" s="246"/>
      <c r="O750" s="86">
        <f t="shared" si="86"/>
        <v>10000</v>
      </c>
      <c r="P750" s="355"/>
      <c r="Q750" s="344">
        <f t="shared" si="89"/>
        <v>10000</v>
      </c>
      <c r="R750" s="23">
        <f t="shared" si="90"/>
        <v>0</v>
      </c>
      <c r="S750" s="86">
        <f t="shared" si="91"/>
        <v>10000</v>
      </c>
    </row>
    <row r="751" spans="2:19" x14ac:dyDescent="0.2">
      <c r="B751" s="83">
        <f t="shared" si="87"/>
        <v>159</v>
      </c>
      <c r="C751" s="3"/>
      <c r="D751" s="3"/>
      <c r="E751" s="3"/>
      <c r="F751" s="26" t="s">
        <v>202</v>
      </c>
      <c r="G751" s="3">
        <v>717</v>
      </c>
      <c r="H751" s="3" t="s">
        <v>197</v>
      </c>
      <c r="I751" s="19"/>
      <c r="J751" s="19"/>
      <c r="K751" s="87">
        <f t="shared" si="85"/>
        <v>0</v>
      </c>
      <c r="L751" s="356"/>
      <c r="M751" s="345">
        <f>M752</f>
        <v>10000</v>
      </c>
      <c r="N751" s="208"/>
      <c r="O751" s="87">
        <f t="shared" si="86"/>
        <v>10000</v>
      </c>
      <c r="P751" s="356"/>
      <c r="Q751" s="396">
        <f t="shared" si="89"/>
        <v>10000</v>
      </c>
      <c r="R751" s="397">
        <f t="shared" si="90"/>
        <v>0</v>
      </c>
      <c r="S751" s="112">
        <f t="shared" si="91"/>
        <v>10000</v>
      </c>
    </row>
    <row r="752" spans="2:19" x14ac:dyDescent="0.2">
      <c r="B752" s="83">
        <f t="shared" si="87"/>
        <v>160</v>
      </c>
      <c r="C752" s="3"/>
      <c r="D752" s="3"/>
      <c r="E752" s="3"/>
      <c r="F752" s="31"/>
      <c r="G752" s="4"/>
      <c r="H752" s="46" t="s">
        <v>608</v>
      </c>
      <c r="I752" s="21"/>
      <c r="J752" s="21"/>
      <c r="K752" s="88">
        <f t="shared" si="85"/>
        <v>0</v>
      </c>
      <c r="L752" s="357"/>
      <c r="M752" s="346">
        <v>10000</v>
      </c>
      <c r="N752" s="247"/>
      <c r="O752" s="88">
        <f t="shared" si="86"/>
        <v>10000</v>
      </c>
      <c r="P752" s="357"/>
      <c r="Q752" s="368">
        <f t="shared" si="89"/>
        <v>10000</v>
      </c>
      <c r="R752" s="22">
        <f t="shared" si="90"/>
        <v>0</v>
      </c>
      <c r="S752" s="113">
        <f t="shared" si="91"/>
        <v>10000</v>
      </c>
    </row>
    <row r="753" spans="2:19" x14ac:dyDescent="0.2">
      <c r="B753" s="83">
        <f t="shared" si="87"/>
        <v>161</v>
      </c>
      <c r="C753" s="6"/>
      <c r="D753" s="6"/>
      <c r="E753" s="6" t="s">
        <v>94</v>
      </c>
      <c r="F753" s="29"/>
      <c r="G753" s="6"/>
      <c r="H753" s="6" t="s">
        <v>211</v>
      </c>
      <c r="I753" s="40">
        <f>I754+I755+I756+I761</f>
        <v>119218</v>
      </c>
      <c r="J753" s="40">
        <f>J754+J755+J756+J761</f>
        <v>-3648</v>
      </c>
      <c r="K753" s="100">
        <f t="shared" si="85"/>
        <v>115570</v>
      </c>
      <c r="L753" s="355"/>
      <c r="M753" s="398">
        <v>0</v>
      </c>
      <c r="N753" s="261"/>
      <c r="O753" s="100">
        <f t="shared" si="86"/>
        <v>0</v>
      </c>
      <c r="P753" s="355"/>
      <c r="Q753" s="398">
        <f t="shared" si="89"/>
        <v>119218</v>
      </c>
      <c r="R753" s="40">
        <f t="shared" si="90"/>
        <v>-3648</v>
      </c>
      <c r="S753" s="100">
        <f t="shared" si="91"/>
        <v>115570</v>
      </c>
    </row>
    <row r="754" spans="2:19" x14ac:dyDescent="0.2">
      <c r="B754" s="83">
        <f t="shared" si="87"/>
        <v>162</v>
      </c>
      <c r="C754" s="7"/>
      <c r="D754" s="7"/>
      <c r="E754" s="7"/>
      <c r="F754" s="25" t="s">
        <v>202</v>
      </c>
      <c r="G754" s="7">
        <v>610</v>
      </c>
      <c r="H754" s="7" t="s">
        <v>142</v>
      </c>
      <c r="I754" s="23">
        <f>67905+4233-1166</f>
        <v>70972</v>
      </c>
      <c r="J754" s="23"/>
      <c r="K754" s="86">
        <f t="shared" si="85"/>
        <v>70972</v>
      </c>
      <c r="L754" s="355"/>
      <c r="M754" s="344"/>
      <c r="N754" s="246"/>
      <c r="O754" s="86">
        <f t="shared" si="86"/>
        <v>0</v>
      </c>
      <c r="P754" s="355"/>
      <c r="Q754" s="344">
        <f t="shared" si="89"/>
        <v>70972</v>
      </c>
      <c r="R754" s="23">
        <f t="shared" si="90"/>
        <v>0</v>
      </c>
      <c r="S754" s="86">
        <f t="shared" si="91"/>
        <v>70972</v>
      </c>
    </row>
    <row r="755" spans="2:19" x14ac:dyDescent="0.2">
      <c r="B755" s="83">
        <f t="shared" si="87"/>
        <v>163</v>
      </c>
      <c r="C755" s="7"/>
      <c r="D755" s="7"/>
      <c r="E755" s="7"/>
      <c r="F755" s="25" t="s">
        <v>202</v>
      </c>
      <c r="G755" s="7">
        <v>620</v>
      </c>
      <c r="H755" s="7" t="s">
        <v>135</v>
      </c>
      <c r="I755" s="23">
        <f>24996+1564-408</f>
        <v>26152</v>
      </c>
      <c r="J755" s="23"/>
      <c r="K755" s="86">
        <f t="shared" si="85"/>
        <v>26152</v>
      </c>
      <c r="L755" s="355"/>
      <c r="M755" s="344"/>
      <c r="N755" s="246"/>
      <c r="O755" s="86">
        <f t="shared" si="86"/>
        <v>0</v>
      </c>
      <c r="P755" s="355"/>
      <c r="Q755" s="344">
        <f t="shared" si="89"/>
        <v>26152</v>
      </c>
      <c r="R755" s="23">
        <f t="shared" si="90"/>
        <v>0</v>
      </c>
      <c r="S755" s="86">
        <f t="shared" si="91"/>
        <v>26152</v>
      </c>
    </row>
    <row r="756" spans="2:19" x14ac:dyDescent="0.2">
      <c r="B756" s="83">
        <f t="shared" si="87"/>
        <v>164</v>
      </c>
      <c r="C756" s="7"/>
      <c r="D756" s="7"/>
      <c r="E756" s="7"/>
      <c r="F756" s="25" t="s">
        <v>202</v>
      </c>
      <c r="G756" s="7">
        <v>630</v>
      </c>
      <c r="H756" s="7" t="s">
        <v>132</v>
      </c>
      <c r="I756" s="23">
        <f>SUM(I757:I760)</f>
        <v>21949</v>
      </c>
      <c r="J756" s="23">
        <f>SUM(J757:J760)</f>
        <v>-3648</v>
      </c>
      <c r="K756" s="86">
        <f t="shared" si="85"/>
        <v>18301</v>
      </c>
      <c r="L756" s="355"/>
      <c r="M756" s="344"/>
      <c r="N756" s="246"/>
      <c r="O756" s="86">
        <f t="shared" si="86"/>
        <v>0</v>
      </c>
      <c r="P756" s="355"/>
      <c r="Q756" s="344">
        <f t="shared" si="89"/>
        <v>21949</v>
      </c>
      <c r="R756" s="23">
        <f t="shared" si="90"/>
        <v>-3648</v>
      </c>
      <c r="S756" s="86">
        <f t="shared" si="91"/>
        <v>18301</v>
      </c>
    </row>
    <row r="757" spans="2:19" x14ac:dyDescent="0.2">
      <c r="B757" s="83">
        <f t="shared" si="87"/>
        <v>165</v>
      </c>
      <c r="C757" s="3"/>
      <c r="D757" s="3"/>
      <c r="E757" s="3"/>
      <c r="F757" s="26" t="s">
        <v>202</v>
      </c>
      <c r="G757" s="3">
        <v>632</v>
      </c>
      <c r="H757" s="3" t="s">
        <v>145</v>
      </c>
      <c r="I757" s="19">
        <v>9020</v>
      </c>
      <c r="J757" s="19"/>
      <c r="K757" s="87">
        <f t="shared" si="85"/>
        <v>9020</v>
      </c>
      <c r="L757" s="356"/>
      <c r="M757" s="345"/>
      <c r="N757" s="208"/>
      <c r="O757" s="87">
        <f t="shared" si="86"/>
        <v>0</v>
      </c>
      <c r="P757" s="356"/>
      <c r="Q757" s="345">
        <f t="shared" si="89"/>
        <v>9020</v>
      </c>
      <c r="R757" s="19">
        <f t="shared" si="90"/>
        <v>0</v>
      </c>
      <c r="S757" s="87">
        <f t="shared" si="91"/>
        <v>9020</v>
      </c>
    </row>
    <row r="758" spans="2:19" x14ac:dyDescent="0.2">
      <c r="B758" s="83">
        <f t="shared" si="87"/>
        <v>166</v>
      </c>
      <c r="C758" s="3"/>
      <c r="D758" s="3"/>
      <c r="E758" s="3"/>
      <c r="F758" s="26" t="s">
        <v>202</v>
      </c>
      <c r="G758" s="3">
        <v>633</v>
      </c>
      <c r="H758" s="3" t="s">
        <v>136</v>
      </c>
      <c r="I758" s="19">
        <f>6039+590</f>
        <v>6629</v>
      </c>
      <c r="J758" s="19">
        <v>352</v>
      </c>
      <c r="K758" s="87">
        <f t="shared" si="85"/>
        <v>6981</v>
      </c>
      <c r="L758" s="356"/>
      <c r="M758" s="345"/>
      <c r="N758" s="208"/>
      <c r="O758" s="87">
        <f t="shared" si="86"/>
        <v>0</v>
      </c>
      <c r="P758" s="356"/>
      <c r="Q758" s="345">
        <f t="shared" si="89"/>
        <v>6629</v>
      </c>
      <c r="R758" s="19">
        <f t="shared" si="90"/>
        <v>352</v>
      </c>
      <c r="S758" s="87">
        <f t="shared" si="91"/>
        <v>6981</v>
      </c>
    </row>
    <row r="759" spans="2:19" x14ac:dyDescent="0.2">
      <c r="B759" s="83">
        <f t="shared" si="87"/>
        <v>167</v>
      </c>
      <c r="C759" s="3"/>
      <c r="D759" s="3"/>
      <c r="E759" s="3"/>
      <c r="F759" s="26" t="s">
        <v>202</v>
      </c>
      <c r="G759" s="3">
        <v>635</v>
      </c>
      <c r="H759" s="3" t="s">
        <v>144</v>
      </c>
      <c r="I759" s="19">
        <v>4000</v>
      </c>
      <c r="J759" s="19">
        <v>-4000</v>
      </c>
      <c r="K759" s="87">
        <f t="shared" si="85"/>
        <v>0</v>
      </c>
      <c r="L759" s="356"/>
      <c r="M759" s="345"/>
      <c r="N759" s="208"/>
      <c r="O759" s="87">
        <f t="shared" si="86"/>
        <v>0</v>
      </c>
      <c r="P759" s="356"/>
      <c r="Q759" s="345">
        <f t="shared" si="89"/>
        <v>4000</v>
      </c>
      <c r="R759" s="19">
        <f t="shared" si="90"/>
        <v>-4000</v>
      </c>
      <c r="S759" s="87">
        <f t="shared" si="91"/>
        <v>0</v>
      </c>
    </row>
    <row r="760" spans="2:19" x14ac:dyDescent="0.2">
      <c r="B760" s="83">
        <f t="shared" si="87"/>
        <v>168</v>
      </c>
      <c r="C760" s="3"/>
      <c r="D760" s="3"/>
      <c r="E760" s="3"/>
      <c r="F760" s="26" t="s">
        <v>202</v>
      </c>
      <c r="G760" s="3">
        <v>637</v>
      </c>
      <c r="H760" s="3" t="s">
        <v>133</v>
      </c>
      <c r="I760" s="19">
        <v>2300</v>
      </c>
      <c r="J760" s="19"/>
      <c r="K760" s="87">
        <f t="shared" si="85"/>
        <v>2300</v>
      </c>
      <c r="L760" s="356"/>
      <c r="M760" s="345"/>
      <c r="N760" s="208"/>
      <c r="O760" s="87">
        <f t="shared" si="86"/>
        <v>0</v>
      </c>
      <c r="P760" s="356"/>
      <c r="Q760" s="345">
        <f t="shared" si="89"/>
        <v>2300</v>
      </c>
      <c r="R760" s="19">
        <f t="shared" si="90"/>
        <v>0</v>
      </c>
      <c r="S760" s="87">
        <f t="shared" si="91"/>
        <v>2300</v>
      </c>
    </row>
    <row r="761" spans="2:19" x14ac:dyDescent="0.2">
      <c r="B761" s="83">
        <f t="shared" si="87"/>
        <v>169</v>
      </c>
      <c r="C761" s="3"/>
      <c r="D761" s="3"/>
      <c r="E761" s="3"/>
      <c r="F761" s="25" t="s">
        <v>202</v>
      </c>
      <c r="G761" s="7">
        <v>640</v>
      </c>
      <c r="H761" s="7" t="s">
        <v>140</v>
      </c>
      <c r="I761" s="23">
        <v>145</v>
      </c>
      <c r="J761" s="23"/>
      <c r="K761" s="86">
        <f t="shared" si="85"/>
        <v>145</v>
      </c>
      <c r="L761" s="355"/>
      <c r="M761" s="344"/>
      <c r="N761" s="246"/>
      <c r="O761" s="86">
        <f t="shared" si="86"/>
        <v>0</v>
      </c>
      <c r="P761" s="355"/>
      <c r="Q761" s="344">
        <f t="shared" si="89"/>
        <v>145</v>
      </c>
      <c r="R761" s="23">
        <f t="shared" si="90"/>
        <v>0</v>
      </c>
      <c r="S761" s="86">
        <f t="shared" si="91"/>
        <v>145</v>
      </c>
    </row>
    <row r="762" spans="2:19" x14ac:dyDescent="0.2">
      <c r="B762" s="83">
        <f t="shared" si="87"/>
        <v>170</v>
      </c>
      <c r="C762" s="6"/>
      <c r="D762" s="6"/>
      <c r="E762" s="6" t="s">
        <v>112</v>
      </c>
      <c r="F762" s="29"/>
      <c r="G762" s="6"/>
      <c r="H762" s="6" t="s">
        <v>75</v>
      </c>
      <c r="I762" s="40">
        <f>I763+I764+I765+I771</f>
        <v>106214</v>
      </c>
      <c r="J762" s="40">
        <f>J763+J764+J765+J771</f>
        <v>866</v>
      </c>
      <c r="K762" s="100">
        <f t="shared" si="85"/>
        <v>107080</v>
      </c>
      <c r="L762" s="355"/>
      <c r="M762" s="398">
        <f>M772</f>
        <v>10000</v>
      </c>
      <c r="N762" s="261"/>
      <c r="O762" s="100">
        <f t="shared" si="86"/>
        <v>10000</v>
      </c>
      <c r="P762" s="355"/>
      <c r="Q762" s="398">
        <f t="shared" si="89"/>
        <v>116214</v>
      </c>
      <c r="R762" s="40">
        <f t="shared" si="90"/>
        <v>866</v>
      </c>
      <c r="S762" s="100">
        <f t="shared" si="91"/>
        <v>117080</v>
      </c>
    </row>
    <row r="763" spans="2:19" x14ac:dyDescent="0.2">
      <c r="B763" s="83">
        <f t="shared" si="87"/>
        <v>171</v>
      </c>
      <c r="C763" s="7"/>
      <c r="D763" s="7"/>
      <c r="E763" s="7"/>
      <c r="F763" s="25" t="s">
        <v>202</v>
      </c>
      <c r="G763" s="7">
        <v>610</v>
      </c>
      <c r="H763" s="7" t="s">
        <v>142</v>
      </c>
      <c r="I763" s="23">
        <f>59661+4507-656</f>
        <v>63512</v>
      </c>
      <c r="J763" s="23"/>
      <c r="K763" s="86">
        <f t="shared" si="85"/>
        <v>63512</v>
      </c>
      <c r="L763" s="355"/>
      <c r="M763" s="344"/>
      <c r="N763" s="246"/>
      <c r="O763" s="86">
        <f t="shared" si="86"/>
        <v>0</v>
      </c>
      <c r="P763" s="355"/>
      <c r="Q763" s="344">
        <f t="shared" si="89"/>
        <v>63512</v>
      </c>
      <c r="R763" s="23">
        <f t="shared" si="90"/>
        <v>0</v>
      </c>
      <c r="S763" s="86">
        <f t="shared" si="91"/>
        <v>63512</v>
      </c>
    </row>
    <row r="764" spans="2:19" x14ac:dyDescent="0.2">
      <c r="B764" s="83">
        <f t="shared" si="87"/>
        <v>172</v>
      </c>
      <c r="C764" s="7"/>
      <c r="D764" s="7"/>
      <c r="E764" s="7"/>
      <c r="F764" s="25" t="s">
        <v>202</v>
      </c>
      <c r="G764" s="7">
        <v>620</v>
      </c>
      <c r="H764" s="7" t="s">
        <v>135</v>
      </c>
      <c r="I764" s="23">
        <f>21960+1665-229</f>
        <v>23396</v>
      </c>
      <c r="J764" s="23"/>
      <c r="K764" s="86">
        <f t="shared" si="85"/>
        <v>23396</v>
      </c>
      <c r="L764" s="355"/>
      <c r="M764" s="344"/>
      <c r="N764" s="246"/>
      <c r="O764" s="86">
        <f t="shared" si="86"/>
        <v>0</v>
      </c>
      <c r="P764" s="355"/>
      <c r="Q764" s="344">
        <f t="shared" si="89"/>
        <v>23396</v>
      </c>
      <c r="R764" s="23">
        <f t="shared" si="90"/>
        <v>0</v>
      </c>
      <c r="S764" s="86">
        <f t="shared" si="91"/>
        <v>23396</v>
      </c>
    </row>
    <row r="765" spans="2:19" x14ac:dyDescent="0.2">
      <c r="B765" s="83">
        <f t="shared" si="87"/>
        <v>173</v>
      </c>
      <c r="C765" s="7"/>
      <c r="D765" s="7"/>
      <c r="E765" s="7"/>
      <c r="F765" s="25" t="s">
        <v>202</v>
      </c>
      <c r="G765" s="7">
        <v>630</v>
      </c>
      <c r="H765" s="7" t="s">
        <v>132</v>
      </c>
      <c r="I765" s="23">
        <f>SUM(I766:I770)</f>
        <v>17364</v>
      </c>
      <c r="J765" s="23">
        <f>SUM(J766:J770)</f>
        <v>866</v>
      </c>
      <c r="K765" s="86">
        <f t="shared" si="85"/>
        <v>18230</v>
      </c>
      <c r="L765" s="355"/>
      <c r="M765" s="344"/>
      <c r="N765" s="246"/>
      <c r="O765" s="86">
        <f t="shared" si="86"/>
        <v>0</v>
      </c>
      <c r="P765" s="355"/>
      <c r="Q765" s="344">
        <f t="shared" si="89"/>
        <v>17364</v>
      </c>
      <c r="R765" s="23">
        <f t="shared" si="90"/>
        <v>866</v>
      </c>
      <c r="S765" s="86">
        <f t="shared" si="91"/>
        <v>18230</v>
      </c>
    </row>
    <row r="766" spans="2:19" x14ac:dyDescent="0.2">
      <c r="B766" s="83">
        <f t="shared" si="87"/>
        <v>174</v>
      </c>
      <c r="C766" s="3"/>
      <c r="D766" s="3"/>
      <c r="E766" s="3"/>
      <c r="F766" s="26" t="s">
        <v>202</v>
      </c>
      <c r="G766" s="3">
        <v>632</v>
      </c>
      <c r="H766" s="3" t="s">
        <v>145</v>
      </c>
      <c r="I766" s="19">
        <v>485</v>
      </c>
      <c r="J766" s="19">
        <v>-80</v>
      </c>
      <c r="K766" s="87">
        <f t="shared" si="85"/>
        <v>405</v>
      </c>
      <c r="L766" s="356"/>
      <c r="M766" s="345"/>
      <c r="N766" s="208"/>
      <c r="O766" s="87">
        <f t="shared" si="86"/>
        <v>0</v>
      </c>
      <c r="P766" s="356"/>
      <c r="Q766" s="345">
        <f t="shared" si="89"/>
        <v>485</v>
      </c>
      <c r="R766" s="19">
        <f t="shared" si="90"/>
        <v>-80</v>
      </c>
      <c r="S766" s="87">
        <f t="shared" si="91"/>
        <v>405</v>
      </c>
    </row>
    <row r="767" spans="2:19" x14ac:dyDescent="0.2">
      <c r="B767" s="83">
        <f t="shared" si="87"/>
        <v>175</v>
      </c>
      <c r="C767" s="3"/>
      <c r="D767" s="3"/>
      <c r="E767" s="3"/>
      <c r="F767" s="26" t="s">
        <v>202</v>
      </c>
      <c r="G767" s="3">
        <v>633</v>
      </c>
      <c r="H767" s="3" t="s">
        <v>136</v>
      </c>
      <c r="I767" s="19">
        <f>2634+885+700</f>
        <v>4219</v>
      </c>
      <c r="J767" s="19">
        <v>-764</v>
      </c>
      <c r="K767" s="87">
        <f t="shared" si="85"/>
        <v>3455</v>
      </c>
      <c r="L767" s="356"/>
      <c r="M767" s="345"/>
      <c r="N767" s="208"/>
      <c r="O767" s="87">
        <f t="shared" si="86"/>
        <v>0</v>
      </c>
      <c r="P767" s="356"/>
      <c r="Q767" s="345">
        <f t="shared" si="89"/>
        <v>4219</v>
      </c>
      <c r="R767" s="19">
        <f t="shared" si="90"/>
        <v>-764</v>
      </c>
      <c r="S767" s="87">
        <f t="shared" si="91"/>
        <v>3455</v>
      </c>
    </row>
    <row r="768" spans="2:19" x14ac:dyDescent="0.2">
      <c r="B768" s="83">
        <f t="shared" si="87"/>
        <v>176</v>
      </c>
      <c r="C768" s="3"/>
      <c r="D768" s="3"/>
      <c r="E768" s="3"/>
      <c r="F768" s="26" t="s">
        <v>202</v>
      </c>
      <c r="G768" s="3">
        <v>635</v>
      </c>
      <c r="H768" s="3" t="s">
        <v>144</v>
      </c>
      <c r="I768" s="19">
        <v>1200</v>
      </c>
      <c r="J768" s="19">
        <v>1469</v>
      </c>
      <c r="K768" s="87">
        <f t="shared" si="85"/>
        <v>2669</v>
      </c>
      <c r="L768" s="356"/>
      <c r="M768" s="345"/>
      <c r="N768" s="208"/>
      <c r="O768" s="87">
        <f t="shared" si="86"/>
        <v>0</v>
      </c>
      <c r="P768" s="356"/>
      <c r="Q768" s="345">
        <f t="shared" si="89"/>
        <v>1200</v>
      </c>
      <c r="R768" s="19">
        <f t="shared" si="90"/>
        <v>1469</v>
      </c>
      <c r="S768" s="87">
        <f t="shared" si="91"/>
        <v>2669</v>
      </c>
    </row>
    <row r="769" spans="2:19" x14ac:dyDescent="0.2">
      <c r="B769" s="83">
        <f t="shared" si="87"/>
        <v>177</v>
      </c>
      <c r="C769" s="3"/>
      <c r="D769" s="3"/>
      <c r="E769" s="3"/>
      <c r="F769" s="26" t="s">
        <v>202</v>
      </c>
      <c r="G769" s="3">
        <v>636</v>
      </c>
      <c r="H769" s="3" t="s">
        <v>137</v>
      </c>
      <c r="I769" s="19">
        <v>10000</v>
      </c>
      <c r="J769" s="19">
        <v>-1000</v>
      </c>
      <c r="K769" s="87">
        <f t="shared" si="85"/>
        <v>9000</v>
      </c>
      <c r="L769" s="356"/>
      <c r="M769" s="345"/>
      <c r="N769" s="208"/>
      <c r="O769" s="87">
        <f t="shared" si="86"/>
        <v>0</v>
      </c>
      <c r="P769" s="356"/>
      <c r="Q769" s="345">
        <f t="shared" si="89"/>
        <v>10000</v>
      </c>
      <c r="R769" s="19">
        <f t="shared" si="90"/>
        <v>-1000</v>
      </c>
      <c r="S769" s="87">
        <f t="shared" si="91"/>
        <v>9000</v>
      </c>
    </row>
    <row r="770" spans="2:19" x14ac:dyDescent="0.2">
      <c r="B770" s="83">
        <f t="shared" si="87"/>
        <v>178</v>
      </c>
      <c r="C770" s="3"/>
      <c r="D770" s="3"/>
      <c r="E770" s="3"/>
      <c r="F770" s="26" t="s">
        <v>202</v>
      </c>
      <c r="G770" s="3">
        <v>637</v>
      </c>
      <c r="H770" s="3" t="s">
        <v>133</v>
      </c>
      <c r="I770" s="19">
        <f>1420+40</f>
        <v>1460</v>
      </c>
      <c r="J770" s="19">
        <v>1241</v>
      </c>
      <c r="K770" s="87">
        <f t="shared" si="85"/>
        <v>2701</v>
      </c>
      <c r="L770" s="356"/>
      <c r="M770" s="345"/>
      <c r="N770" s="208"/>
      <c r="O770" s="87">
        <f t="shared" si="86"/>
        <v>0</v>
      </c>
      <c r="P770" s="356"/>
      <c r="Q770" s="345">
        <f t="shared" si="89"/>
        <v>1460</v>
      </c>
      <c r="R770" s="19">
        <f t="shared" si="90"/>
        <v>1241</v>
      </c>
      <c r="S770" s="87">
        <f t="shared" si="91"/>
        <v>2701</v>
      </c>
    </row>
    <row r="771" spans="2:19" x14ac:dyDescent="0.2">
      <c r="B771" s="83">
        <f t="shared" si="87"/>
        <v>179</v>
      </c>
      <c r="C771" s="7"/>
      <c r="D771" s="7"/>
      <c r="E771" s="7"/>
      <c r="F771" s="25" t="s">
        <v>202</v>
      </c>
      <c r="G771" s="7">
        <v>640</v>
      </c>
      <c r="H771" s="7" t="s">
        <v>140</v>
      </c>
      <c r="I771" s="23">
        <v>1942</v>
      </c>
      <c r="J771" s="23"/>
      <c r="K771" s="86">
        <f t="shared" si="85"/>
        <v>1942</v>
      </c>
      <c r="L771" s="355"/>
      <c r="M771" s="344"/>
      <c r="N771" s="246"/>
      <c r="O771" s="86">
        <f t="shared" si="86"/>
        <v>0</v>
      </c>
      <c r="P771" s="355"/>
      <c r="Q771" s="344">
        <f t="shared" si="89"/>
        <v>1942</v>
      </c>
      <c r="R771" s="23">
        <f t="shared" si="90"/>
        <v>0</v>
      </c>
      <c r="S771" s="86">
        <f t="shared" si="91"/>
        <v>1942</v>
      </c>
    </row>
    <row r="772" spans="2:19" x14ac:dyDescent="0.2">
      <c r="B772" s="83">
        <f t="shared" si="87"/>
        <v>180</v>
      </c>
      <c r="C772" s="7"/>
      <c r="D772" s="7"/>
      <c r="E772" s="7"/>
      <c r="F772" s="26" t="s">
        <v>202</v>
      </c>
      <c r="G772" s="3">
        <v>717</v>
      </c>
      <c r="H772" s="3" t="s">
        <v>197</v>
      </c>
      <c r="I772" s="19"/>
      <c r="J772" s="19"/>
      <c r="K772" s="87">
        <f t="shared" si="85"/>
        <v>0</v>
      </c>
      <c r="L772" s="356"/>
      <c r="M772" s="345">
        <f>M773</f>
        <v>10000</v>
      </c>
      <c r="N772" s="208"/>
      <c r="O772" s="87">
        <f t="shared" si="86"/>
        <v>10000</v>
      </c>
      <c r="P772" s="356"/>
      <c r="Q772" s="396">
        <f t="shared" si="89"/>
        <v>10000</v>
      </c>
      <c r="R772" s="397">
        <f t="shared" si="90"/>
        <v>0</v>
      </c>
      <c r="S772" s="112">
        <f t="shared" si="91"/>
        <v>10000</v>
      </c>
    </row>
    <row r="773" spans="2:19" x14ac:dyDescent="0.2">
      <c r="B773" s="83">
        <f t="shared" si="87"/>
        <v>181</v>
      </c>
      <c r="C773" s="7"/>
      <c r="D773" s="7"/>
      <c r="E773" s="7"/>
      <c r="F773" s="31"/>
      <c r="G773" s="4"/>
      <c r="H773" s="46" t="s">
        <v>611</v>
      </c>
      <c r="I773" s="21"/>
      <c r="J773" s="21"/>
      <c r="K773" s="88">
        <f t="shared" si="85"/>
        <v>0</v>
      </c>
      <c r="L773" s="357"/>
      <c r="M773" s="346">
        <v>10000</v>
      </c>
      <c r="N773" s="247"/>
      <c r="O773" s="88">
        <f t="shared" si="86"/>
        <v>10000</v>
      </c>
      <c r="P773" s="357"/>
      <c r="Q773" s="368">
        <f t="shared" si="89"/>
        <v>10000</v>
      </c>
      <c r="R773" s="22">
        <f t="shared" si="90"/>
        <v>0</v>
      </c>
      <c r="S773" s="113">
        <f t="shared" si="91"/>
        <v>10000</v>
      </c>
    </row>
    <row r="774" spans="2:19" x14ac:dyDescent="0.2">
      <c r="B774" s="83">
        <f t="shared" si="87"/>
        <v>182</v>
      </c>
      <c r="C774" s="6"/>
      <c r="D774" s="6"/>
      <c r="E774" s="6" t="s">
        <v>113</v>
      </c>
      <c r="F774" s="29"/>
      <c r="G774" s="6"/>
      <c r="H774" s="6" t="s">
        <v>114</v>
      </c>
      <c r="I774" s="40">
        <f>I775+I776+I777+I783</f>
        <v>324861</v>
      </c>
      <c r="J774" s="40">
        <f>J775+J776+J777+J783</f>
        <v>-423</v>
      </c>
      <c r="K774" s="100">
        <f t="shared" si="85"/>
        <v>324438</v>
      </c>
      <c r="L774" s="355"/>
      <c r="M774" s="398">
        <v>0</v>
      </c>
      <c r="N774" s="261"/>
      <c r="O774" s="100">
        <f t="shared" si="86"/>
        <v>0</v>
      </c>
      <c r="P774" s="355"/>
      <c r="Q774" s="398">
        <f t="shared" si="89"/>
        <v>324861</v>
      </c>
      <c r="R774" s="40">
        <f t="shared" si="90"/>
        <v>-423</v>
      </c>
      <c r="S774" s="100">
        <f t="shared" si="91"/>
        <v>324438</v>
      </c>
    </row>
    <row r="775" spans="2:19" x14ac:dyDescent="0.2">
      <c r="B775" s="83">
        <f t="shared" si="87"/>
        <v>183</v>
      </c>
      <c r="C775" s="7"/>
      <c r="D775" s="7"/>
      <c r="E775" s="7"/>
      <c r="F775" s="25" t="s">
        <v>202</v>
      </c>
      <c r="G775" s="7">
        <v>610</v>
      </c>
      <c r="H775" s="7" t="s">
        <v>142</v>
      </c>
      <c r="I775" s="23">
        <f>177378+11606-4009</f>
        <v>184975</v>
      </c>
      <c r="J775" s="23"/>
      <c r="K775" s="86">
        <f t="shared" si="85"/>
        <v>184975</v>
      </c>
      <c r="L775" s="355"/>
      <c r="M775" s="344"/>
      <c r="N775" s="246"/>
      <c r="O775" s="86">
        <f t="shared" si="86"/>
        <v>0</v>
      </c>
      <c r="P775" s="355"/>
      <c r="Q775" s="344">
        <f t="shared" si="89"/>
        <v>184975</v>
      </c>
      <c r="R775" s="23">
        <f t="shared" si="90"/>
        <v>0</v>
      </c>
      <c r="S775" s="86">
        <f t="shared" si="91"/>
        <v>184975</v>
      </c>
    </row>
    <row r="776" spans="2:19" x14ac:dyDescent="0.2">
      <c r="B776" s="83">
        <f t="shared" si="87"/>
        <v>184</v>
      </c>
      <c r="C776" s="7"/>
      <c r="D776" s="7"/>
      <c r="E776" s="7"/>
      <c r="F776" s="25" t="s">
        <v>202</v>
      </c>
      <c r="G776" s="7">
        <v>620</v>
      </c>
      <c r="H776" s="7" t="s">
        <v>135</v>
      </c>
      <c r="I776" s="23">
        <f>66792+4288-1401</f>
        <v>69679</v>
      </c>
      <c r="J776" s="23"/>
      <c r="K776" s="86">
        <f t="shared" si="85"/>
        <v>69679</v>
      </c>
      <c r="L776" s="355"/>
      <c r="M776" s="344"/>
      <c r="N776" s="246"/>
      <c r="O776" s="86">
        <f t="shared" si="86"/>
        <v>0</v>
      </c>
      <c r="P776" s="355"/>
      <c r="Q776" s="344">
        <f t="shared" si="89"/>
        <v>69679</v>
      </c>
      <c r="R776" s="23">
        <f t="shared" si="90"/>
        <v>0</v>
      </c>
      <c r="S776" s="86">
        <f t="shared" si="91"/>
        <v>69679</v>
      </c>
    </row>
    <row r="777" spans="2:19" x14ac:dyDescent="0.2">
      <c r="B777" s="83">
        <f t="shared" si="87"/>
        <v>185</v>
      </c>
      <c r="C777" s="7"/>
      <c r="D777" s="7"/>
      <c r="E777" s="7"/>
      <c r="F777" s="25" t="s">
        <v>202</v>
      </c>
      <c r="G777" s="7">
        <v>630</v>
      </c>
      <c r="H777" s="7" t="s">
        <v>132</v>
      </c>
      <c r="I777" s="23">
        <f>SUM(I778:I782)</f>
        <v>66411</v>
      </c>
      <c r="J777" s="23">
        <f>SUM(J778:J782)</f>
        <v>-423</v>
      </c>
      <c r="K777" s="86">
        <f t="shared" si="85"/>
        <v>65988</v>
      </c>
      <c r="L777" s="355"/>
      <c r="M777" s="344"/>
      <c r="N777" s="246"/>
      <c r="O777" s="86">
        <f t="shared" si="86"/>
        <v>0</v>
      </c>
      <c r="P777" s="355"/>
      <c r="Q777" s="344">
        <f t="shared" si="89"/>
        <v>66411</v>
      </c>
      <c r="R777" s="23">
        <f t="shared" si="90"/>
        <v>-423</v>
      </c>
      <c r="S777" s="86">
        <f t="shared" si="91"/>
        <v>65988</v>
      </c>
    </row>
    <row r="778" spans="2:19" x14ac:dyDescent="0.2">
      <c r="B778" s="83">
        <f t="shared" si="87"/>
        <v>186</v>
      </c>
      <c r="C778" s="3"/>
      <c r="D778" s="3"/>
      <c r="E778" s="3"/>
      <c r="F778" s="26" t="s">
        <v>202</v>
      </c>
      <c r="G778" s="3">
        <v>632</v>
      </c>
      <c r="H778" s="3" t="s">
        <v>145</v>
      </c>
      <c r="I778" s="19">
        <v>12500</v>
      </c>
      <c r="J778" s="19">
        <v>-2500</v>
      </c>
      <c r="K778" s="87">
        <f t="shared" si="85"/>
        <v>10000</v>
      </c>
      <c r="L778" s="356"/>
      <c r="M778" s="345"/>
      <c r="N778" s="208"/>
      <c r="O778" s="87">
        <f t="shared" si="86"/>
        <v>0</v>
      </c>
      <c r="P778" s="356"/>
      <c r="Q778" s="345">
        <f t="shared" si="89"/>
        <v>12500</v>
      </c>
      <c r="R778" s="19">
        <f t="shared" si="90"/>
        <v>-2500</v>
      </c>
      <c r="S778" s="87">
        <f t="shared" si="91"/>
        <v>10000</v>
      </c>
    </row>
    <row r="779" spans="2:19" x14ac:dyDescent="0.2">
      <c r="B779" s="83">
        <f t="shared" si="87"/>
        <v>187</v>
      </c>
      <c r="C779" s="3"/>
      <c r="D779" s="3"/>
      <c r="E779" s="3"/>
      <c r="F779" s="26" t="s">
        <v>202</v>
      </c>
      <c r="G779" s="3">
        <v>633</v>
      </c>
      <c r="H779" s="3" t="s">
        <v>136</v>
      </c>
      <c r="I779" s="19">
        <f>13086+5245</f>
        <v>18331</v>
      </c>
      <c r="J779" s="19">
        <v>2077</v>
      </c>
      <c r="K779" s="87">
        <f t="shared" si="85"/>
        <v>20408</v>
      </c>
      <c r="L779" s="356"/>
      <c r="M779" s="345"/>
      <c r="N779" s="208"/>
      <c r="O779" s="87">
        <f t="shared" si="86"/>
        <v>0</v>
      </c>
      <c r="P779" s="356"/>
      <c r="Q779" s="345">
        <f t="shared" si="89"/>
        <v>18331</v>
      </c>
      <c r="R779" s="19">
        <f t="shared" si="90"/>
        <v>2077</v>
      </c>
      <c r="S779" s="87">
        <f t="shared" si="91"/>
        <v>20408</v>
      </c>
    </row>
    <row r="780" spans="2:19" x14ac:dyDescent="0.2">
      <c r="B780" s="83">
        <f t="shared" si="87"/>
        <v>188</v>
      </c>
      <c r="C780" s="3"/>
      <c r="D780" s="3"/>
      <c r="E780" s="3"/>
      <c r="F780" s="26" t="s">
        <v>202</v>
      </c>
      <c r="G780" s="3">
        <v>635</v>
      </c>
      <c r="H780" s="3" t="s">
        <v>144</v>
      </c>
      <c r="I780" s="19">
        <f>4500+20000</f>
        <v>24500</v>
      </c>
      <c r="J780" s="19"/>
      <c r="K780" s="87">
        <f t="shared" si="85"/>
        <v>24500</v>
      </c>
      <c r="L780" s="356"/>
      <c r="M780" s="345"/>
      <c r="N780" s="208"/>
      <c r="O780" s="87">
        <f t="shared" si="86"/>
        <v>0</v>
      </c>
      <c r="P780" s="356"/>
      <c r="Q780" s="345">
        <f t="shared" si="89"/>
        <v>24500</v>
      </c>
      <c r="R780" s="19">
        <f t="shared" si="90"/>
        <v>0</v>
      </c>
      <c r="S780" s="87">
        <f t="shared" si="91"/>
        <v>24500</v>
      </c>
    </row>
    <row r="781" spans="2:19" x14ac:dyDescent="0.2">
      <c r="B781" s="83">
        <f t="shared" si="87"/>
        <v>189</v>
      </c>
      <c r="C781" s="3"/>
      <c r="D781" s="3"/>
      <c r="E781" s="3"/>
      <c r="F781" s="26" t="s">
        <v>202</v>
      </c>
      <c r="G781" s="3">
        <v>636</v>
      </c>
      <c r="H781" s="3" t="s">
        <v>137</v>
      </c>
      <c r="I781" s="19">
        <v>3500</v>
      </c>
      <c r="J781" s="19"/>
      <c r="K781" s="87">
        <f t="shared" si="85"/>
        <v>3500</v>
      </c>
      <c r="L781" s="356"/>
      <c r="M781" s="345"/>
      <c r="N781" s="208"/>
      <c r="O781" s="87">
        <f t="shared" si="86"/>
        <v>0</v>
      </c>
      <c r="P781" s="356"/>
      <c r="Q781" s="345">
        <f t="shared" si="89"/>
        <v>3500</v>
      </c>
      <c r="R781" s="19">
        <f t="shared" si="90"/>
        <v>0</v>
      </c>
      <c r="S781" s="87">
        <f t="shared" si="91"/>
        <v>3500</v>
      </c>
    </row>
    <row r="782" spans="2:19" x14ac:dyDescent="0.2">
      <c r="B782" s="83">
        <f t="shared" si="87"/>
        <v>190</v>
      </c>
      <c r="C782" s="3"/>
      <c r="D782" s="3"/>
      <c r="E782" s="3"/>
      <c r="F782" s="26" t="s">
        <v>202</v>
      </c>
      <c r="G782" s="3">
        <v>637</v>
      </c>
      <c r="H782" s="3" t="s">
        <v>133</v>
      </c>
      <c r="I782" s="19">
        <f>7345+235</f>
        <v>7580</v>
      </c>
      <c r="J782" s="19"/>
      <c r="K782" s="87">
        <f t="shared" si="85"/>
        <v>7580</v>
      </c>
      <c r="L782" s="356"/>
      <c r="M782" s="345"/>
      <c r="N782" s="208"/>
      <c r="O782" s="87">
        <f t="shared" si="86"/>
        <v>0</v>
      </c>
      <c r="P782" s="356"/>
      <c r="Q782" s="345">
        <f t="shared" si="89"/>
        <v>7580</v>
      </c>
      <c r="R782" s="19">
        <f t="shared" si="90"/>
        <v>0</v>
      </c>
      <c r="S782" s="87">
        <f t="shared" si="91"/>
        <v>7580</v>
      </c>
    </row>
    <row r="783" spans="2:19" x14ac:dyDescent="0.2">
      <c r="B783" s="83">
        <f t="shared" si="87"/>
        <v>191</v>
      </c>
      <c r="C783" s="7"/>
      <c r="D783" s="7"/>
      <c r="E783" s="7"/>
      <c r="F783" s="25" t="s">
        <v>202</v>
      </c>
      <c r="G783" s="7">
        <v>640</v>
      </c>
      <c r="H783" s="7" t="s">
        <v>140</v>
      </c>
      <c r="I783" s="23">
        <v>3796</v>
      </c>
      <c r="J783" s="23"/>
      <c r="K783" s="86">
        <f t="shared" si="85"/>
        <v>3796</v>
      </c>
      <c r="L783" s="355"/>
      <c r="M783" s="344"/>
      <c r="N783" s="246"/>
      <c r="O783" s="86">
        <f t="shared" si="86"/>
        <v>0</v>
      </c>
      <c r="P783" s="355"/>
      <c r="Q783" s="344">
        <f t="shared" si="89"/>
        <v>3796</v>
      </c>
      <c r="R783" s="23">
        <f t="shared" si="90"/>
        <v>0</v>
      </c>
      <c r="S783" s="86">
        <f t="shared" si="91"/>
        <v>3796</v>
      </c>
    </row>
    <row r="784" spans="2:19" ht="15" x14ac:dyDescent="0.2">
      <c r="B784" s="83">
        <f t="shared" si="87"/>
        <v>192</v>
      </c>
      <c r="C784" s="239">
        <v>2</v>
      </c>
      <c r="D784" s="444" t="s">
        <v>196</v>
      </c>
      <c r="E784" s="445"/>
      <c r="F784" s="445"/>
      <c r="G784" s="445"/>
      <c r="H784" s="446"/>
      <c r="I784" s="36">
        <f>I785+I787+I799+I822+I847+I869+I897+I925+I950+I974</f>
        <v>8183917</v>
      </c>
      <c r="J784" s="36">
        <f>J785+J787+J799+J822+J847+J869+J897+J925+J950+J974</f>
        <v>112268</v>
      </c>
      <c r="K784" s="84">
        <f t="shared" ref="K784:K848" si="92">J784+I784</f>
        <v>8296185</v>
      </c>
      <c r="L784" s="353"/>
      <c r="M784" s="342">
        <f>M785+M787+M799+M822+M847+M869+M897+M925+M950+M974</f>
        <v>474679</v>
      </c>
      <c r="N784" s="244"/>
      <c r="O784" s="84">
        <f t="shared" ref="O784:O848" si="93">N784+M784</f>
        <v>474679</v>
      </c>
      <c r="P784" s="353"/>
      <c r="Q784" s="342">
        <f t="shared" si="89"/>
        <v>8658596</v>
      </c>
      <c r="R784" s="36">
        <f t="shared" si="90"/>
        <v>112268</v>
      </c>
      <c r="S784" s="84">
        <f t="shared" si="91"/>
        <v>8770864</v>
      </c>
    </row>
    <row r="785" spans="2:19" x14ac:dyDescent="0.2">
      <c r="B785" s="83">
        <f t="shared" ref="B785:B803" si="94">B784+1</f>
        <v>193</v>
      </c>
      <c r="C785" s="7"/>
      <c r="D785" s="7"/>
      <c r="E785" s="7"/>
      <c r="F785" s="25" t="s">
        <v>130</v>
      </c>
      <c r="G785" s="7">
        <v>630</v>
      </c>
      <c r="H785" s="7" t="s">
        <v>132</v>
      </c>
      <c r="I785" s="23">
        <f>I786</f>
        <v>2750</v>
      </c>
      <c r="J785" s="23">
        <f>J786</f>
        <v>-960</v>
      </c>
      <c r="K785" s="86">
        <f t="shared" si="92"/>
        <v>1790</v>
      </c>
      <c r="L785" s="355"/>
      <c r="M785" s="344"/>
      <c r="N785" s="246"/>
      <c r="O785" s="86">
        <f t="shared" si="93"/>
        <v>0</v>
      </c>
      <c r="P785" s="355"/>
      <c r="Q785" s="344">
        <f t="shared" si="89"/>
        <v>2750</v>
      </c>
      <c r="R785" s="23">
        <f t="shared" si="90"/>
        <v>-960</v>
      </c>
      <c r="S785" s="86">
        <f t="shared" si="91"/>
        <v>1790</v>
      </c>
    </row>
    <row r="786" spans="2:19" x14ac:dyDescent="0.2">
      <c r="B786" s="83">
        <f t="shared" si="94"/>
        <v>194</v>
      </c>
      <c r="C786" s="3"/>
      <c r="D786" s="3"/>
      <c r="E786" s="3"/>
      <c r="F786" s="26" t="s">
        <v>130</v>
      </c>
      <c r="G786" s="3">
        <v>637</v>
      </c>
      <c r="H786" s="3" t="s">
        <v>445</v>
      </c>
      <c r="I786" s="19">
        <v>2750</v>
      </c>
      <c r="J786" s="19">
        <v>-960</v>
      </c>
      <c r="K786" s="87">
        <f t="shared" si="92"/>
        <v>1790</v>
      </c>
      <c r="L786" s="356"/>
      <c r="M786" s="345"/>
      <c r="N786" s="208"/>
      <c r="O786" s="87">
        <f t="shared" si="93"/>
        <v>0</v>
      </c>
      <c r="P786" s="356"/>
      <c r="Q786" s="345">
        <f t="shared" si="89"/>
        <v>2750</v>
      </c>
      <c r="R786" s="19">
        <f t="shared" si="90"/>
        <v>-960</v>
      </c>
      <c r="S786" s="87">
        <f t="shared" si="91"/>
        <v>1790</v>
      </c>
    </row>
    <row r="787" spans="2:19" ht="15" x14ac:dyDescent="0.25">
      <c r="B787" s="83">
        <f t="shared" si="94"/>
        <v>195</v>
      </c>
      <c r="C787" s="10"/>
      <c r="D787" s="10"/>
      <c r="E787" s="10">
        <v>4</v>
      </c>
      <c r="F787" s="28"/>
      <c r="G787" s="10"/>
      <c r="H787" s="10" t="s">
        <v>90</v>
      </c>
      <c r="I787" s="38">
        <f>I788</f>
        <v>125523</v>
      </c>
      <c r="J787" s="38">
        <f>J788</f>
        <v>-5801</v>
      </c>
      <c r="K787" s="94">
        <f t="shared" si="92"/>
        <v>119722</v>
      </c>
      <c r="L787" s="365"/>
      <c r="M787" s="362">
        <v>0</v>
      </c>
      <c r="N787" s="253"/>
      <c r="O787" s="94">
        <f t="shared" si="93"/>
        <v>0</v>
      </c>
      <c r="P787" s="365"/>
      <c r="Q787" s="362">
        <f t="shared" si="89"/>
        <v>125523</v>
      </c>
      <c r="R787" s="38">
        <f t="shared" si="90"/>
        <v>-5801</v>
      </c>
      <c r="S787" s="94">
        <f t="shared" si="91"/>
        <v>119722</v>
      </c>
    </row>
    <row r="788" spans="2:19" x14ac:dyDescent="0.2">
      <c r="B788" s="83">
        <f t="shared" si="94"/>
        <v>196</v>
      </c>
      <c r="C788" s="6"/>
      <c r="D788" s="6"/>
      <c r="E788" s="6"/>
      <c r="F788" s="29"/>
      <c r="G788" s="6"/>
      <c r="H788" s="6" t="s">
        <v>98</v>
      </c>
      <c r="I788" s="40">
        <f>I789+I790+I791+I798</f>
        <v>125523</v>
      </c>
      <c r="J788" s="40">
        <f>J789+J790+J791+J798+J797</f>
        <v>-5801</v>
      </c>
      <c r="K788" s="100">
        <f t="shared" si="92"/>
        <v>119722</v>
      </c>
      <c r="L788" s="355"/>
      <c r="M788" s="398">
        <v>0</v>
      </c>
      <c r="N788" s="261"/>
      <c r="O788" s="100">
        <f t="shared" si="93"/>
        <v>0</v>
      </c>
      <c r="P788" s="355"/>
      <c r="Q788" s="398">
        <f t="shared" si="89"/>
        <v>125523</v>
      </c>
      <c r="R788" s="40">
        <f t="shared" si="90"/>
        <v>-5801</v>
      </c>
      <c r="S788" s="100">
        <f t="shared" si="91"/>
        <v>119722</v>
      </c>
    </row>
    <row r="789" spans="2:19" x14ac:dyDescent="0.2">
      <c r="B789" s="83">
        <f t="shared" si="94"/>
        <v>197</v>
      </c>
      <c r="C789" s="7"/>
      <c r="D789" s="7"/>
      <c r="E789" s="7"/>
      <c r="F789" s="25" t="s">
        <v>130</v>
      </c>
      <c r="G789" s="7">
        <v>610</v>
      </c>
      <c r="H789" s="7" t="s">
        <v>142</v>
      </c>
      <c r="I789" s="23">
        <f>71100+465+5790-500</f>
        <v>76855</v>
      </c>
      <c r="J789" s="23">
        <v>-2585</v>
      </c>
      <c r="K789" s="86">
        <f t="shared" si="92"/>
        <v>74270</v>
      </c>
      <c r="L789" s="355"/>
      <c r="M789" s="344"/>
      <c r="N789" s="246"/>
      <c r="O789" s="86">
        <f t="shared" si="93"/>
        <v>0</v>
      </c>
      <c r="P789" s="355"/>
      <c r="Q789" s="344">
        <f t="shared" si="89"/>
        <v>76855</v>
      </c>
      <c r="R789" s="23">
        <f t="shared" si="90"/>
        <v>-2585</v>
      </c>
      <c r="S789" s="86">
        <f t="shared" si="91"/>
        <v>74270</v>
      </c>
    </row>
    <row r="790" spans="2:19" x14ac:dyDescent="0.2">
      <c r="B790" s="83">
        <f t="shared" si="94"/>
        <v>198</v>
      </c>
      <c r="C790" s="7"/>
      <c r="D790" s="7"/>
      <c r="E790" s="7"/>
      <c r="F790" s="25" t="s">
        <v>130</v>
      </c>
      <c r="G790" s="7">
        <v>620</v>
      </c>
      <c r="H790" s="7" t="s">
        <v>135</v>
      </c>
      <c r="I790" s="23">
        <f>25739+172+1033</f>
        <v>26944</v>
      </c>
      <c r="J790" s="23">
        <v>-809</v>
      </c>
      <c r="K790" s="86">
        <f t="shared" si="92"/>
        <v>26135</v>
      </c>
      <c r="L790" s="355"/>
      <c r="M790" s="344"/>
      <c r="N790" s="246"/>
      <c r="O790" s="86">
        <f t="shared" si="93"/>
        <v>0</v>
      </c>
      <c r="P790" s="355"/>
      <c r="Q790" s="344">
        <f t="shared" si="89"/>
        <v>26944</v>
      </c>
      <c r="R790" s="23">
        <f t="shared" si="90"/>
        <v>-809</v>
      </c>
      <c r="S790" s="86">
        <f t="shared" si="91"/>
        <v>26135</v>
      </c>
    </row>
    <row r="791" spans="2:19" x14ac:dyDescent="0.2">
      <c r="B791" s="83">
        <f t="shared" si="94"/>
        <v>199</v>
      </c>
      <c r="C791" s="7"/>
      <c r="D791" s="7"/>
      <c r="E791" s="7"/>
      <c r="F791" s="25" t="s">
        <v>130</v>
      </c>
      <c r="G791" s="7">
        <v>630</v>
      </c>
      <c r="H791" s="7" t="s">
        <v>132</v>
      </c>
      <c r="I791" s="23">
        <f>SUM(I792:I796)</f>
        <v>19729</v>
      </c>
      <c r="J791" s="23">
        <f>SUM(J792:J796)</f>
        <v>-2623</v>
      </c>
      <c r="K791" s="86">
        <f t="shared" si="92"/>
        <v>17106</v>
      </c>
      <c r="L791" s="355"/>
      <c r="M791" s="344"/>
      <c r="N791" s="246"/>
      <c r="O791" s="86">
        <f t="shared" si="93"/>
        <v>0</v>
      </c>
      <c r="P791" s="355"/>
      <c r="Q791" s="344">
        <f t="shared" si="89"/>
        <v>19729</v>
      </c>
      <c r="R791" s="23">
        <f t="shared" si="90"/>
        <v>-2623</v>
      </c>
      <c r="S791" s="86">
        <f t="shared" si="91"/>
        <v>17106</v>
      </c>
    </row>
    <row r="792" spans="2:19" x14ac:dyDescent="0.2">
      <c r="B792" s="83">
        <f t="shared" si="94"/>
        <v>200</v>
      </c>
      <c r="C792" s="3"/>
      <c r="D792" s="3"/>
      <c r="E792" s="3"/>
      <c r="F792" s="26" t="s">
        <v>130</v>
      </c>
      <c r="G792" s="3">
        <v>632</v>
      </c>
      <c r="H792" s="3" t="s">
        <v>145</v>
      </c>
      <c r="I792" s="19">
        <v>5700</v>
      </c>
      <c r="J792" s="19"/>
      <c r="K792" s="87">
        <f t="shared" si="92"/>
        <v>5700</v>
      </c>
      <c r="L792" s="356"/>
      <c r="M792" s="345"/>
      <c r="N792" s="208"/>
      <c r="O792" s="87">
        <f t="shared" si="93"/>
        <v>0</v>
      </c>
      <c r="P792" s="356"/>
      <c r="Q792" s="345">
        <f t="shared" si="89"/>
        <v>5700</v>
      </c>
      <c r="R792" s="19">
        <f t="shared" si="90"/>
        <v>0</v>
      </c>
      <c r="S792" s="87">
        <f t="shared" si="91"/>
        <v>5700</v>
      </c>
    </row>
    <row r="793" spans="2:19" x14ac:dyDescent="0.2">
      <c r="B793" s="83">
        <f t="shared" si="94"/>
        <v>201</v>
      </c>
      <c r="C793" s="3"/>
      <c r="D793" s="3"/>
      <c r="E793" s="3"/>
      <c r="F793" s="26" t="s">
        <v>130</v>
      </c>
      <c r="G793" s="3">
        <v>633</v>
      </c>
      <c r="H793" s="3" t="s">
        <v>136</v>
      </c>
      <c r="I793" s="19">
        <f>3444+3930</f>
        <v>7374</v>
      </c>
      <c r="J793" s="19">
        <v>317</v>
      </c>
      <c r="K793" s="87">
        <f t="shared" si="92"/>
        <v>7691</v>
      </c>
      <c r="L793" s="356"/>
      <c r="M793" s="345"/>
      <c r="N793" s="208"/>
      <c r="O793" s="87">
        <f t="shared" si="93"/>
        <v>0</v>
      </c>
      <c r="P793" s="356"/>
      <c r="Q793" s="345">
        <f t="shared" si="89"/>
        <v>7374</v>
      </c>
      <c r="R793" s="19">
        <f t="shared" si="90"/>
        <v>317</v>
      </c>
      <c r="S793" s="87">
        <f t="shared" si="91"/>
        <v>7691</v>
      </c>
    </row>
    <row r="794" spans="2:19" x14ac:dyDescent="0.2">
      <c r="B794" s="83">
        <f t="shared" si="94"/>
        <v>202</v>
      </c>
      <c r="C794" s="3"/>
      <c r="D794" s="3"/>
      <c r="E794" s="3"/>
      <c r="F794" s="26" t="s">
        <v>130</v>
      </c>
      <c r="G794" s="3">
        <v>634</v>
      </c>
      <c r="H794" s="3" t="s">
        <v>143</v>
      </c>
      <c r="I794" s="19">
        <v>285</v>
      </c>
      <c r="J794" s="19"/>
      <c r="K794" s="87">
        <f t="shared" si="92"/>
        <v>285</v>
      </c>
      <c r="L794" s="356"/>
      <c r="M794" s="345"/>
      <c r="N794" s="208"/>
      <c r="O794" s="87">
        <f t="shared" si="93"/>
        <v>0</v>
      </c>
      <c r="P794" s="356"/>
      <c r="Q794" s="345">
        <f t="shared" si="89"/>
        <v>285</v>
      </c>
      <c r="R794" s="19">
        <f t="shared" si="90"/>
        <v>0</v>
      </c>
      <c r="S794" s="87">
        <f t="shared" si="91"/>
        <v>285</v>
      </c>
    </row>
    <row r="795" spans="2:19" x14ac:dyDescent="0.2">
      <c r="B795" s="83">
        <f t="shared" si="94"/>
        <v>203</v>
      </c>
      <c r="C795" s="3"/>
      <c r="D795" s="3"/>
      <c r="E795" s="3"/>
      <c r="F795" s="26" t="s">
        <v>130</v>
      </c>
      <c r="G795" s="3">
        <v>635</v>
      </c>
      <c r="H795" s="3" t="s">
        <v>144</v>
      </c>
      <c r="I795" s="19">
        <v>1000</v>
      </c>
      <c r="J795" s="19"/>
      <c r="K795" s="87">
        <f t="shared" si="92"/>
        <v>1000</v>
      </c>
      <c r="L795" s="356"/>
      <c r="M795" s="345"/>
      <c r="N795" s="208"/>
      <c r="O795" s="87">
        <f t="shared" si="93"/>
        <v>0</v>
      </c>
      <c r="P795" s="356"/>
      <c r="Q795" s="345">
        <f t="shared" si="89"/>
        <v>1000</v>
      </c>
      <c r="R795" s="19">
        <f t="shared" si="90"/>
        <v>0</v>
      </c>
      <c r="S795" s="87">
        <f t="shared" si="91"/>
        <v>1000</v>
      </c>
    </row>
    <row r="796" spans="2:19" x14ac:dyDescent="0.2">
      <c r="B796" s="83">
        <f t="shared" si="94"/>
        <v>204</v>
      </c>
      <c r="C796" s="3"/>
      <c r="D796" s="3"/>
      <c r="E796" s="3"/>
      <c r="F796" s="26" t="s">
        <v>130</v>
      </c>
      <c r="G796" s="3">
        <v>637</v>
      </c>
      <c r="H796" s="3" t="s">
        <v>133</v>
      </c>
      <c r="I796" s="19">
        <v>5370</v>
      </c>
      <c r="J796" s="19">
        <v>-2940</v>
      </c>
      <c r="K796" s="87">
        <f t="shared" si="92"/>
        <v>2430</v>
      </c>
      <c r="L796" s="356"/>
      <c r="M796" s="345"/>
      <c r="N796" s="208"/>
      <c r="O796" s="87">
        <f t="shared" si="93"/>
        <v>0</v>
      </c>
      <c r="P796" s="356"/>
      <c r="Q796" s="345">
        <f t="shared" si="89"/>
        <v>5370</v>
      </c>
      <c r="R796" s="19">
        <f t="shared" si="90"/>
        <v>-2940</v>
      </c>
      <c r="S796" s="87">
        <f t="shared" si="91"/>
        <v>2430</v>
      </c>
    </row>
    <row r="797" spans="2:19" x14ac:dyDescent="0.2">
      <c r="B797" s="83">
        <f t="shared" si="94"/>
        <v>205</v>
      </c>
      <c r="C797" s="3"/>
      <c r="D797" s="3"/>
      <c r="E797" s="3"/>
      <c r="F797" s="30" t="s">
        <v>130</v>
      </c>
      <c r="G797" s="2">
        <v>640</v>
      </c>
      <c r="H797" s="2" t="s">
        <v>140</v>
      </c>
      <c r="I797" s="18">
        <v>0</v>
      </c>
      <c r="J797" s="18">
        <v>216</v>
      </c>
      <c r="K797" s="114">
        <f t="shared" si="92"/>
        <v>216</v>
      </c>
      <c r="L797" s="355"/>
      <c r="M797" s="349"/>
      <c r="N797" s="207"/>
      <c r="O797" s="114"/>
      <c r="P797" s="355"/>
      <c r="Q797" s="349">
        <f t="shared" si="89"/>
        <v>0</v>
      </c>
      <c r="R797" s="18">
        <f t="shared" ref="R797" si="95">J797+N797</f>
        <v>216</v>
      </c>
      <c r="S797" s="114">
        <f t="shared" ref="S797" si="96">K797+O797</f>
        <v>216</v>
      </c>
    </row>
    <row r="798" spans="2:19" x14ac:dyDescent="0.2">
      <c r="B798" s="83">
        <f t="shared" si="94"/>
        <v>206</v>
      </c>
      <c r="C798" s="3"/>
      <c r="D798" s="3"/>
      <c r="E798" s="3"/>
      <c r="F798" s="26"/>
      <c r="G798" s="2">
        <v>630</v>
      </c>
      <c r="H798" s="2" t="s">
        <v>583</v>
      </c>
      <c r="I798" s="18">
        <v>1995</v>
      </c>
      <c r="J798" s="18"/>
      <c r="K798" s="114">
        <f t="shared" si="92"/>
        <v>1995</v>
      </c>
      <c r="L798" s="355"/>
      <c r="M798" s="345"/>
      <c r="N798" s="208"/>
      <c r="O798" s="87">
        <f t="shared" si="93"/>
        <v>0</v>
      </c>
      <c r="P798" s="356"/>
      <c r="Q798" s="345">
        <f>I798</f>
        <v>1995</v>
      </c>
      <c r="R798" s="19">
        <f t="shared" ref="R798:S798" si="97">J798</f>
        <v>0</v>
      </c>
      <c r="S798" s="87">
        <f t="shared" si="97"/>
        <v>1995</v>
      </c>
    </row>
    <row r="799" spans="2:19" ht="15" x14ac:dyDescent="0.25">
      <c r="B799" s="83">
        <f t="shared" si="94"/>
        <v>207</v>
      </c>
      <c r="C799" s="10"/>
      <c r="D799" s="10"/>
      <c r="E799" s="10">
        <v>6</v>
      </c>
      <c r="F799" s="28"/>
      <c r="G799" s="10"/>
      <c r="H799" s="10" t="s">
        <v>12</v>
      </c>
      <c r="I799" s="38">
        <f>I800+I801+I802+I809+I810+I811+I812+I819+I820</f>
        <v>848301</v>
      </c>
      <c r="J799" s="38">
        <f>J800+J801+J802+J809+J810+J811+J812+J819+J820+J821</f>
        <v>5204</v>
      </c>
      <c r="K799" s="94">
        <f t="shared" si="92"/>
        <v>853505</v>
      </c>
      <c r="L799" s="365"/>
      <c r="M799" s="362">
        <v>0</v>
      </c>
      <c r="N799" s="253"/>
      <c r="O799" s="94">
        <f t="shared" si="93"/>
        <v>0</v>
      </c>
      <c r="P799" s="365"/>
      <c r="Q799" s="362">
        <f t="shared" si="89"/>
        <v>848301</v>
      </c>
      <c r="R799" s="38">
        <f t="shared" ref="R799:R875" si="98">J799+N799</f>
        <v>5204</v>
      </c>
      <c r="S799" s="94">
        <f t="shared" ref="S799:S875" si="99">K799+O799</f>
        <v>853505</v>
      </c>
    </row>
    <row r="800" spans="2:19" x14ac:dyDescent="0.2">
      <c r="B800" s="83">
        <f t="shared" si="94"/>
        <v>208</v>
      </c>
      <c r="C800" s="7"/>
      <c r="D800" s="7"/>
      <c r="E800" s="7"/>
      <c r="F800" s="25" t="s">
        <v>130</v>
      </c>
      <c r="G800" s="7">
        <v>610</v>
      </c>
      <c r="H800" s="7" t="s">
        <v>142</v>
      </c>
      <c r="I800" s="23">
        <f>223520+15607-15607</f>
        <v>223520</v>
      </c>
      <c r="J800" s="23">
        <v>475</v>
      </c>
      <c r="K800" s="86">
        <f t="shared" si="92"/>
        <v>223995</v>
      </c>
      <c r="L800" s="355"/>
      <c r="M800" s="344"/>
      <c r="N800" s="246"/>
      <c r="O800" s="86">
        <f t="shared" si="93"/>
        <v>0</v>
      </c>
      <c r="P800" s="355"/>
      <c r="Q800" s="344">
        <f t="shared" si="89"/>
        <v>223520</v>
      </c>
      <c r="R800" s="23">
        <f t="shared" si="98"/>
        <v>475</v>
      </c>
      <c r="S800" s="86">
        <f t="shared" si="99"/>
        <v>223995</v>
      </c>
    </row>
    <row r="801" spans="2:19" x14ac:dyDescent="0.2">
      <c r="B801" s="83">
        <f t="shared" si="94"/>
        <v>209</v>
      </c>
      <c r="C801" s="7"/>
      <c r="D801" s="7"/>
      <c r="E801" s="7"/>
      <c r="F801" s="25" t="s">
        <v>130</v>
      </c>
      <c r="G801" s="7">
        <v>620</v>
      </c>
      <c r="H801" s="7" t="s">
        <v>135</v>
      </c>
      <c r="I801" s="23">
        <f>73573+5464-5464</f>
        <v>73573</v>
      </c>
      <c r="J801" s="23">
        <v>3850</v>
      </c>
      <c r="K801" s="86">
        <f t="shared" si="92"/>
        <v>77423</v>
      </c>
      <c r="L801" s="355"/>
      <c r="M801" s="344"/>
      <c r="N801" s="246"/>
      <c r="O801" s="86">
        <f t="shared" si="93"/>
        <v>0</v>
      </c>
      <c r="P801" s="355"/>
      <c r="Q801" s="344">
        <f t="shared" si="89"/>
        <v>73573</v>
      </c>
      <c r="R801" s="23">
        <f t="shared" si="98"/>
        <v>3850</v>
      </c>
      <c r="S801" s="86">
        <f t="shared" si="99"/>
        <v>77423</v>
      </c>
    </row>
    <row r="802" spans="2:19" x14ac:dyDescent="0.2">
      <c r="B802" s="83">
        <f t="shared" si="94"/>
        <v>210</v>
      </c>
      <c r="C802" s="7"/>
      <c r="D802" s="7"/>
      <c r="E802" s="7"/>
      <c r="F802" s="25" t="s">
        <v>130</v>
      </c>
      <c r="G802" s="7">
        <v>630</v>
      </c>
      <c r="H802" s="7" t="s">
        <v>132</v>
      </c>
      <c r="I802" s="23">
        <f>SUM(I803:I808)</f>
        <v>64021</v>
      </c>
      <c r="J802" s="23">
        <f>SUM(J803:J808)</f>
        <v>-5245</v>
      </c>
      <c r="K802" s="86">
        <f t="shared" si="92"/>
        <v>58776</v>
      </c>
      <c r="L802" s="355"/>
      <c r="M802" s="344"/>
      <c r="N802" s="246"/>
      <c r="O802" s="86">
        <f t="shared" si="93"/>
        <v>0</v>
      </c>
      <c r="P802" s="355"/>
      <c r="Q802" s="344">
        <f t="shared" si="89"/>
        <v>64021</v>
      </c>
      <c r="R802" s="23">
        <f t="shared" si="98"/>
        <v>-5245</v>
      </c>
      <c r="S802" s="86">
        <f t="shared" si="99"/>
        <v>58776</v>
      </c>
    </row>
    <row r="803" spans="2:19" x14ac:dyDescent="0.2">
      <c r="B803" s="83">
        <f t="shared" si="94"/>
        <v>211</v>
      </c>
      <c r="C803" s="3"/>
      <c r="D803" s="3"/>
      <c r="E803" s="3"/>
      <c r="F803" s="26" t="s">
        <v>130</v>
      </c>
      <c r="G803" s="3">
        <v>631</v>
      </c>
      <c r="H803" s="3" t="s">
        <v>138</v>
      </c>
      <c r="I803" s="19">
        <v>249</v>
      </c>
      <c r="J803" s="19">
        <v>-237</v>
      </c>
      <c r="K803" s="87">
        <f t="shared" si="92"/>
        <v>12</v>
      </c>
      <c r="L803" s="356"/>
      <c r="M803" s="345"/>
      <c r="N803" s="208"/>
      <c r="O803" s="87">
        <f t="shared" si="93"/>
        <v>0</v>
      </c>
      <c r="P803" s="356"/>
      <c r="Q803" s="345">
        <f t="shared" ref="Q803:Q879" si="100">I803+M803</f>
        <v>249</v>
      </c>
      <c r="R803" s="19">
        <f t="shared" si="98"/>
        <v>-237</v>
      </c>
      <c r="S803" s="87">
        <f t="shared" si="99"/>
        <v>12</v>
      </c>
    </row>
    <row r="804" spans="2:19" x14ac:dyDescent="0.2">
      <c r="B804" s="83">
        <f t="shared" ref="B804:B849" si="101">B803+1</f>
        <v>212</v>
      </c>
      <c r="C804" s="3"/>
      <c r="D804" s="3"/>
      <c r="E804" s="3"/>
      <c r="F804" s="26" t="s">
        <v>130</v>
      </c>
      <c r="G804" s="3">
        <v>632</v>
      </c>
      <c r="H804" s="3" t="s">
        <v>145</v>
      </c>
      <c r="I804" s="19">
        <f>34946-4998</f>
        <v>29948</v>
      </c>
      <c r="J804" s="19">
        <v>-1817</v>
      </c>
      <c r="K804" s="87">
        <f t="shared" si="92"/>
        <v>28131</v>
      </c>
      <c r="L804" s="356"/>
      <c r="M804" s="345"/>
      <c r="N804" s="208"/>
      <c r="O804" s="87">
        <f t="shared" si="93"/>
        <v>0</v>
      </c>
      <c r="P804" s="356"/>
      <c r="Q804" s="345">
        <f t="shared" si="100"/>
        <v>29948</v>
      </c>
      <c r="R804" s="19">
        <f t="shared" si="98"/>
        <v>-1817</v>
      </c>
      <c r="S804" s="87">
        <f t="shared" si="99"/>
        <v>28131</v>
      </c>
    </row>
    <row r="805" spans="2:19" x14ac:dyDescent="0.2">
      <c r="B805" s="83">
        <f t="shared" si="101"/>
        <v>213</v>
      </c>
      <c r="C805" s="3"/>
      <c r="D805" s="3"/>
      <c r="E805" s="3"/>
      <c r="F805" s="26" t="s">
        <v>130</v>
      </c>
      <c r="G805" s="3">
        <v>633</v>
      </c>
      <c r="H805" s="3" t="s">
        <v>136</v>
      </c>
      <c r="I805" s="19">
        <v>10317</v>
      </c>
      <c r="J805" s="19">
        <v>-1151</v>
      </c>
      <c r="K805" s="87">
        <f t="shared" si="92"/>
        <v>9166</v>
      </c>
      <c r="L805" s="356"/>
      <c r="M805" s="345"/>
      <c r="N805" s="208"/>
      <c r="O805" s="87">
        <f t="shared" si="93"/>
        <v>0</v>
      </c>
      <c r="P805" s="356"/>
      <c r="Q805" s="345">
        <f t="shared" si="100"/>
        <v>10317</v>
      </c>
      <c r="R805" s="19">
        <f t="shared" si="98"/>
        <v>-1151</v>
      </c>
      <c r="S805" s="87">
        <f t="shared" si="99"/>
        <v>9166</v>
      </c>
    </row>
    <row r="806" spans="2:19" x14ac:dyDescent="0.2">
      <c r="B806" s="83">
        <f t="shared" si="101"/>
        <v>214</v>
      </c>
      <c r="C806" s="3"/>
      <c r="D806" s="3"/>
      <c r="E806" s="3"/>
      <c r="F806" s="26" t="s">
        <v>130</v>
      </c>
      <c r="G806" s="3">
        <v>634</v>
      </c>
      <c r="H806" s="3" t="s">
        <v>143</v>
      </c>
      <c r="I806" s="19">
        <f>987+864</f>
        <v>1851</v>
      </c>
      <c r="J806" s="19">
        <v>-436</v>
      </c>
      <c r="K806" s="87">
        <f t="shared" si="92"/>
        <v>1415</v>
      </c>
      <c r="L806" s="356"/>
      <c r="M806" s="345"/>
      <c r="N806" s="208"/>
      <c r="O806" s="87">
        <f t="shared" si="93"/>
        <v>0</v>
      </c>
      <c r="P806" s="356"/>
      <c r="Q806" s="345">
        <f t="shared" si="100"/>
        <v>1851</v>
      </c>
      <c r="R806" s="19">
        <f t="shared" si="98"/>
        <v>-436</v>
      </c>
      <c r="S806" s="87">
        <f t="shared" si="99"/>
        <v>1415</v>
      </c>
    </row>
    <row r="807" spans="2:19" x14ac:dyDescent="0.2">
      <c r="B807" s="83">
        <f t="shared" si="101"/>
        <v>215</v>
      </c>
      <c r="C807" s="3"/>
      <c r="D807" s="3"/>
      <c r="E807" s="3"/>
      <c r="F807" s="26" t="s">
        <v>130</v>
      </c>
      <c r="G807" s="3">
        <v>635</v>
      </c>
      <c r="H807" s="3" t="s">
        <v>144</v>
      </c>
      <c r="I807" s="19">
        <v>6231</v>
      </c>
      <c r="J807" s="19">
        <v>-2000</v>
      </c>
      <c r="K807" s="87">
        <f t="shared" si="92"/>
        <v>4231</v>
      </c>
      <c r="L807" s="356"/>
      <c r="M807" s="345"/>
      <c r="N807" s="208"/>
      <c r="O807" s="87">
        <f t="shared" si="93"/>
        <v>0</v>
      </c>
      <c r="P807" s="356"/>
      <c r="Q807" s="345">
        <f t="shared" si="100"/>
        <v>6231</v>
      </c>
      <c r="R807" s="19">
        <f t="shared" si="98"/>
        <v>-2000</v>
      </c>
      <c r="S807" s="87">
        <f t="shared" si="99"/>
        <v>4231</v>
      </c>
    </row>
    <row r="808" spans="2:19" x14ac:dyDescent="0.2">
      <c r="B808" s="83">
        <f t="shared" si="101"/>
        <v>216</v>
      </c>
      <c r="C808" s="3"/>
      <c r="D808" s="3"/>
      <c r="E808" s="3"/>
      <c r="F808" s="26" t="s">
        <v>130</v>
      </c>
      <c r="G808" s="3">
        <v>637</v>
      </c>
      <c r="H808" s="3" t="s">
        <v>133</v>
      </c>
      <c r="I808" s="19">
        <v>15425</v>
      </c>
      <c r="J808" s="19">
        <v>396</v>
      </c>
      <c r="K808" s="87">
        <f t="shared" si="92"/>
        <v>15821</v>
      </c>
      <c r="L808" s="356"/>
      <c r="M808" s="345"/>
      <c r="N808" s="208"/>
      <c r="O808" s="87">
        <f t="shared" si="93"/>
        <v>0</v>
      </c>
      <c r="P808" s="356"/>
      <c r="Q808" s="345">
        <f t="shared" si="100"/>
        <v>15425</v>
      </c>
      <c r="R808" s="19">
        <f t="shared" si="98"/>
        <v>396</v>
      </c>
      <c r="S808" s="87">
        <f t="shared" si="99"/>
        <v>15821</v>
      </c>
    </row>
    <row r="809" spans="2:19" x14ac:dyDescent="0.2">
      <c r="B809" s="83">
        <f t="shared" si="101"/>
        <v>217</v>
      </c>
      <c r="C809" s="7"/>
      <c r="D809" s="7"/>
      <c r="E809" s="7"/>
      <c r="F809" s="25" t="s">
        <v>130</v>
      </c>
      <c r="G809" s="7">
        <v>640</v>
      </c>
      <c r="H809" s="7" t="s">
        <v>140</v>
      </c>
      <c r="I809" s="23">
        <v>473</v>
      </c>
      <c r="J809" s="23">
        <v>221</v>
      </c>
      <c r="K809" s="86">
        <f t="shared" si="92"/>
        <v>694</v>
      </c>
      <c r="L809" s="355"/>
      <c r="M809" s="344"/>
      <c r="N809" s="246"/>
      <c r="O809" s="86">
        <f t="shared" si="93"/>
        <v>0</v>
      </c>
      <c r="P809" s="355"/>
      <c r="Q809" s="344">
        <f t="shared" si="100"/>
        <v>473</v>
      </c>
      <c r="R809" s="23">
        <f t="shared" si="98"/>
        <v>221</v>
      </c>
      <c r="S809" s="86">
        <f t="shared" si="99"/>
        <v>694</v>
      </c>
    </row>
    <row r="810" spans="2:19" x14ac:dyDescent="0.2">
      <c r="B810" s="83">
        <f t="shared" si="101"/>
        <v>218</v>
      </c>
      <c r="C810" s="7"/>
      <c r="D810" s="7"/>
      <c r="E810" s="7"/>
      <c r="F810" s="25" t="s">
        <v>117</v>
      </c>
      <c r="G810" s="7">
        <v>610</v>
      </c>
      <c r="H810" s="7" t="s">
        <v>142</v>
      </c>
      <c r="I810" s="23">
        <f>273177+15607+50+15607</f>
        <v>304441</v>
      </c>
      <c r="J810" s="23">
        <v>2693</v>
      </c>
      <c r="K810" s="86">
        <f t="shared" si="92"/>
        <v>307134</v>
      </c>
      <c r="L810" s="355"/>
      <c r="M810" s="344"/>
      <c r="N810" s="246"/>
      <c r="O810" s="86">
        <f t="shared" si="93"/>
        <v>0</v>
      </c>
      <c r="P810" s="355"/>
      <c r="Q810" s="344">
        <f t="shared" si="100"/>
        <v>304441</v>
      </c>
      <c r="R810" s="23">
        <f t="shared" si="98"/>
        <v>2693</v>
      </c>
      <c r="S810" s="86">
        <f t="shared" si="99"/>
        <v>307134</v>
      </c>
    </row>
    <row r="811" spans="2:19" x14ac:dyDescent="0.2">
      <c r="B811" s="83">
        <f t="shared" si="101"/>
        <v>219</v>
      </c>
      <c r="C811" s="7"/>
      <c r="D811" s="7"/>
      <c r="E811" s="7"/>
      <c r="F811" s="25" t="s">
        <v>117</v>
      </c>
      <c r="G811" s="7">
        <v>620</v>
      </c>
      <c r="H811" s="7" t="s">
        <v>135</v>
      </c>
      <c r="I811" s="23">
        <f>89913+5465+10+5464</f>
        <v>100852</v>
      </c>
      <c r="J811" s="23">
        <v>2884</v>
      </c>
      <c r="K811" s="86">
        <f t="shared" si="92"/>
        <v>103736</v>
      </c>
      <c r="L811" s="355"/>
      <c r="M811" s="344"/>
      <c r="N811" s="246"/>
      <c r="O811" s="86">
        <f t="shared" si="93"/>
        <v>0</v>
      </c>
      <c r="P811" s="355"/>
      <c r="Q811" s="344">
        <f t="shared" si="100"/>
        <v>100852</v>
      </c>
      <c r="R811" s="23">
        <f t="shared" si="98"/>
        <v>2884</v>
      </c>
      <c r="S811" s="86">
        <f t="shared" si="99"/>
        <v>103736</v>
      </c>
    </row>
    <row r="812" spans="2:19" x14ac:dyDescent="0.2">
      <c r="B812" s="83">
        <f t="shared" si="101"/>
        <v>220</v>
      </c>
      <c r="C812" s="7"/>
      <c r="D812" s="7"/>
      <c r="E812" s="7"/>
      <c r="F812" s="25" t="s">
        <v>117</v>
      </c>
      <c r="G812" s="7">
        <v>630</v>
      </c>
      <c r="H812" s="7" t="s">
        <v>132</v>
      </c>
      <c r="I812" s="23">
        <f>SUM(I813:I818)</f>
        <v>63566</v>
      </c>
      <c r="J812" s="23">
        <f>SUM(J813:J818)</f>
        <v>-1917</v>
      </c>
      <c r="K812" s="86">
        <f t="shared" si="92"/>
        <v>61649</v>
      </c>
      <c r="L812" s="355"/>
      <c r="M812" s="344"/>
      <c r="N812" s="246"/>
      <c r="O812" s="86">
        <f t="shared" si="93"/>
        <v>0</v>
      </c>
      <c r="P812" s="355"/>
      <c r="Q812" s="344">
        <f t="shared" si="100"/>
        <v>63566</v>
      </c>
      <c r="R812" s="23">
        <f t="shared" si="98"/>
        <v>-1917</v>
      </c>
      <c r="S812" s="86">
        <f t="shared" si="99"/>
        <v>61649</v>
      </c>
    </row>
    <row r="813" spans="2:19" x14ac:dyDescent="0.2">
      <c r="B813" s="83">
        <f t="shared" si="101"/>
        <v>221</v>
      </c>
      <c r="C813" s="3"/>
      <c r="D813" s="3"/>
      <c r="E813" s="3"/>
      <c r="F813" s="26" t="s">
        <v>117</v>
      </c>
      <c r="G813" s="3">
        <v>631</v>
      </c>
      <c r="H813" s="3" t="s">
        <v>138</v>
      </c>
      <c r="I813" s="19">
        <v>205</v>
      </c>
      <c r="J813" s="19">
        <v>-195</v>
      </c>
      <c r="K813" s="87">
        <f t="shared" si="92"/>
        <v>10</v>
      </c>
      <c r="L813" s="356"/>
      <c r="M813" s="345"/>
      <c r="N813" s="208"/>
      <c r="O813" s="87">
        <f t="shared" si="93"/>
        <v>0</v>
      </c>
      <c r="P813" s="356"/>
      <c r="Q813" s="345">
        <f t="shared" si="100"/>
        <v>205</v>
      </c>
      <c r="R813" s="19">
        <f t="shared" si="98"/>
        <v>-195</v>
      </c>
      <c r="S813" s="87">
        <f t="shared" si="99"/>
        <v>10</v>
      </c>
    </row>
    <row r="814" spans="2:19" x14ac:dyDescent="0.2">
      <c r="B814" s="83">
        <f t="shared" si="101"/>
        <v>222</v>
      </c>
      <c r="C814" s="3"/>
      <c r="D814" s="3"/>
      <c r="E814" s="3"/>
      <c r="F814" s="26" t="s">
        <v>117</v>
      </c>
      <c r="G814" s="3">
        <v>632</v>
      </c>
      <c r="H814" s="3" t="s">
        <v>145</v>
      </c>
      <c r="I814" s="19">
        <f>29625-4265</f>
        <v>25360</v>
      </c>
      <c r="J814" s="19">
        <v>-1851</v>
      </c>
      <c r="K814" s="87">
        <f t="shared" si="92"/>
        <v>23509</v>
      </c>
      <c r="L814" s="356"/>
      <c r="M814" s="345"/>
      <c r="N814" s="208"/>
      <c r="O814" s="87">
        <f t="shared" si="93"/>
        <v>0</v>
      </c>
      <c r="P814" s="356"/>
      <c r="Q814" s="345">
        <f t="shared" si="100"/>
        <v>25360</v>
      </c>
      <c r="R814" s="19">
        <f t="shared" si="98"/>
        <v>-1851</v>
      </c>
      <c r="S814" s="87">
        <f t="shared" si="99"/>
        <v>23509</v>
      </c>
    </row>
    <row r="815" spans="2:19" x14ac:dyDescent="0.2">
      <c r="B815" s="83">
        <f t="shared" si="101"/>
        <v>223</v>
      </c>
      <c r="C815" s="3"/>
      <c r="D815" s="3"/>
      <c r="E815" s="3"/>
      <c r="F815" s="26" t="s">
        <v>117</v>
      </c>
      <c r="G815" s="3">
        <v>633</v>
      </c>
      <c r="H815" s="3" t="s">
        <v>136</v>
      </c>
      <c r="I815" s="19">
        <f>8441+7792+200</f>
        <v>16433</v>
      </c>
      <c r="J815" s="19">
        <v>-1270</v>
      </c>
      <c r="K815" s="87">
        <f t="shared" si="92"/>
        <v>15163</v>
      </c>
      <c r="L815" s="356"/>
      <c r="M815" s="345"/>
      <c r="N815" s="208"/>
      <c r="O815" s="87">
        <f t="shared" si="93"/>
        <v>0</v>
      </c>
      <c r="P815" s="356"/>
      <c r="Q815" s="345">
        <f t="shared" si="100"/>
        <v>16433</v>
      </c>
      <c r="R815" s="19">
        <f t="shared" si="98"/>
        <v>-1270</v>
      </c>
      <c r="S815" s="87">
        <f t="shared" si="99"/>
        <v>15163</v>
      </c>
    </row>
    <row r="816" spans="2:19" x14ac:dyDescent="0.2">
      <c r="B816" s="83">
        <f t="shared" si="101"/>
        <v>224</v>
      </c>
      <c r="C816" s="3"/>
      <c r="D816" s="3"/>
      <c r="E816" s="3"/>
      <c r="F816" s="26" t="s">
        <v>117</v>
      </c>
      <c r="G816" s="3">
        <v>634</v>
      </c>
      <c r="H816" s="3" t="s">
        <v>143</v>
      </c>
      <c r="I816" s="19">
        <v>2337</v>
      </c>
      <c r="J816" s="19">
        <v>-312</v>
      </c>
      <c r="K816" s="87">
        <f t="shared" si="92"/>
        <v>2025</v>
      </c>
      <c r="L816" s="356"/>
      <c r="M816" s="345"/>
      <c r="N816" s="208"/>
      <c r="O816" s="87">
        <f t="shared" si="93"/>
        <v>0</v>
      </c>
      <c r="P816" s="356"/>
      <c r="Q816" s="345">
        <f t="shared" si="100"/>
        <v>2337</v>
      </c>
      <c r="R816" s="19">
        <f t="shared" si="98"/>
        <v>-312</v>
      </c>
      <c r="S816" s="87">
        <f t="shared" si="99"/>
        <v>2025</v>
      </c>
    </row>
    <row r="817" spans="2:19" x14ac:dyDescent="0.2">
      <c r="B817" s="83">
        <f t="shared" si="101"/>
        <v>225</v>
      </c>
      <c r="C817" s="3"/>
      <c r="D817" s="3"/>
      <c r="E817" s="3"/>
      <c r="F817" s="26" t="s">
        <v>117</v>
      </c>
      <c r="G817" s="3">
        <v>635</v>
      </c>
      <c r="H817" s="3" t="s">
        <v>144</v>
      </c>
      <c r="I817" s="19">
        <f>4214+1000</f>
        <v>5214</v>
      </c>
      <c r="J817" s="19">
        <v>377</v>
      </c>
      <c r="K817" s="87">
        <f t="shared" si="92"/>
        <v>5591</v>
      </c>
      <c r="L817" s="356"/>
      <c r="M817" s="345"/>
      <c r="N817" s="208"/>
      <c r="O817" s="87">
        <f t="shared" si="93"/>
        <v>0</v>
      </c>
      <c r="P817" s="356"/>
      <c r="Q817" s="345">
        <f t="shared" si="100"/>
        <v>5214</v>
      </c>
      <c r="R817" s="19">
        <f t="shared" si="98"/>
        <v>377</v>
      </c>
      <c r="S817" s="87">
        <f t="shared" si="99"/>
        <v>5591</v>
      </c>
    </row>
    <row r="818" spans="2:19" x14ac:dyDescent="0.2">
      <c r="B818" s="83">
        <f t="shared" si="101"/>
        <v>226</v>
      </c>
      <c r="C818" s="3"/>
      <c r="D818" s="3"/>
      <c r="E818" s="3"/>
      <c r="F818" s="26" t="s">
        <v>117</v>
      </c>
      <c r="G818" s="3">
        <v>637</v>
      </c>
      <c r="H818" s="3" t="s">
        <v>133</v>
      </c>
      <c r="I818" s="19">
        <f>12689+1328</f>
        <v>14017</v>
      </c>
      <c r="J818" s="19">
        <v>1334</v>
      </c>
      <c r="K818" s="87">
        <f t="shared" si="92"/>
        <v>15351</v>
      </c>
      <c r="L818" s="356"/>
      <c r="M818" s="345"/>
      <c r="N818" s="208"/>
      <c r="O818" s="87">
        <f t="shared" si="93"/>
        <v>0</v>
      </c>
      <c r="P818" s="356"/>
      <c r="Q818" s="345">
        <f t="shared" si="100"/>
        <v>14017</v>
      </c>
      <c r="R818" s="19">
        <f t="shared" si="98"/>
        <v>1334</v>
      </c>
      <c r="S818" s="87">
        <f t="shared" si="99"/>
        <v>15351</v>
      </c>
    </row>
    <row r="819" spans="2:19" x14ac:dyDescent="0.2">
      <c r="B819" s="83">
        <f t="shared" si="101"/>
        <v>227</v>
      </c>
      <c r="C819" s="7"/>
      <c r="D819" s="7"/>
      <c r="E819" s="7"/>
      <c r="F819" s="25" t="s">
        <v>117</v>
      </c>
      <c r="G819" s="7">
        <v>640</v>
      </c>
      <c r="H819" s="7" t="s">
        <v>140</v>
      </c>
      <c r="I819" s="23">
        <v>578</v>
      </c>
      <c r="J819" s="23">
        <v>2023</v>
      </c>
      <c r="K819" s="86">
        <f t="shared" si="92"/>
        <v>2601</v>
      </c>
      <c r="L819" s="355"/>
      <c r="M819" s="344"/>
      <c r="N819" s="246"/>
      <c r="O819" s="86">
        <f t="shared" si="93"/>
        <v>0</v>
      </c>
      <c r="P819" s="355"/>
      <c r="Q819" s="344">
        <f t="shared" si="100"/>
        <v>578</v>
      </c>
      <c r="R819" s="23">
        <f t="shared" si="98"/>
        <v>2023</v>
      </c>
      <c r="S819" s="86">
        <f t="shared" si="99"/>
        <v>2601</v>
      </c>
    </row>
    <row r="820" spans="2:19" x14ac:dyDescent="0.2">
      <c r="B820" s="83">
        <f t="shared" si="101"/>
        <v>228</v>
      </c>
      <c r="C820" s="7"/>
      <c r="D820" s="7"/>
      <c r="E820" s="7"/>
      <c r="F820" s="25"/>
      <c r="G820" s="7">
        <v>630</v>
      </c>
      <c r="H820" s="7" t="s">
        <v>583</v>
      </c>
      <c r="I820" s="23">
        <v>17277</v>
      </c>
      <c r="J820" s="23"/>
      <c r="K820" s="86">
        <f t="shared" si="92"/>
        <v>17277</v>
      </c>
      <c r="L820" s="355"/>
      <c r="M820" s="344"/>
      <c r="N820" s="246"/>
      <c r="O820" s="86">
        <f t="shared" si="93"/>
        <v>0</v>
      </c>
      <c r="P820" s="355"/>
      <c r="Q820" s="344">
        <f t="shared" si="100"/>
        <v>17277</v>
      </c>
      <c r="R820" s="23">
        <f t="shared" si="98"/>
        <v>0</v>
      </c>
      <c r="S820" s="86">
        <f t="shared" si="99"/>
        <v>17277</v>
      </c>
    </row>
    <row r="821" spans="2:19" x14ac:dyDescent="0.2">
      <c r="B821" s="83">
        <f t="shared" si="101"/>
        <v>229</v>
      </c>
      <c r="C821" s="7"/>
      <c r="D821" s="7"/>
      <c r="E821" s="7"/>
      <c r="F821" s="25" t="s">
        <v>83</v>
      </c>
      <c r="G821" s="7">
        <v>630</v>
      </c>
      <c r="H821" s="7" t="s">
        <v>657</v>
      </c>
      <c r="I821" s="23">
        <v>0</v>
      </c>
      <c r="J821" s="23">
        <f>187+33</f>
        <v>220</v>
      </c>
      <c r="K821" s="86">
        <f t="shared" si="92"/>
        <v>220</v>
      </c>
      <c r="L821" s="355"/>
      <c r="M821" s="344"/>
      <c r="N821" s="246"/>
      <c r="O821" s="86"/>
      <c r="P821" s="355"/>
      <c r="Q821" s="344">
        <f t="shared" si="100"/>
        <v>0</v>
      </c>
      <c r="R821" s="23">
        <f t="shared" ref="R821" si="102">J821+N821</f>
        <v>220</v>
      </c>
      <c r="S821" s="86">
        <f t="shared" ref="S821" si="103">K821+O821</f>
        <v>220</v>
      </c>
    </row>
    <row r="822" spans="2:19" ht="15" x14ac:dyDescent="0.25">
      <c r="B822" s="83">
        <f t="shared" si="101"/>
        <v>230</v>
      </c>
      <c r="C822" s="10"/>
      <c r="D822" s="10"/>
      <c r="E822" s="10">
        <v>7</v>
      </c>
      <c r="F822" s="28"/>
      <c r="G822" s="10"/>
      <c r="H822" s="10" t="s">
        <v>13</v>
      </c>
      <c r="I822" s="38">
        <f>I823+I824+I825+I832+I833+I834+I835+I841+I842</f>
        <v>1146820</v>
      </c>
      <c r="J822" s="38">
        <f>J823+J824+J825+J832+J833+J834+J835+J841+J842+J843</f>
        <v>12554</v>
      </c>
      <c r="K822" s="94">
        <f t="shared" si="92"/>
        <v>1159374</v>
      </c>
      <c r="L822" s="365"/>
      <c r="M822" s="362">
        <f>M844</f>
        <v>38729</v>
      </c>
      <c r="N822" s="253"/>
      <c r="O822" s="94">
        <f t="shared" si="93"/>
        <v>38729</v>
      </c>
      <c r="P822" s="365"/>
      <c r="Q822" s="362">
        <f t="shared" si="100"/>
        <v>1185549</v>
      </c>
      <c r="R822" s="38">
        <f t="shared" si="98"/>
        <v>12554</v>
      </c>
      <c r="S822" s="94">
        <f t="shared" si="99"/>
        <v>1198103</v>
      </c>
    </row>
    <row r="823" spans="2:19" x14ac:dyDescent="0.2">
      <c r="B823" s="83">
        <f t="shared" si="101"/>
        <v>231</v>
      </c>
      <c r="C823" s="7"/>
      <c r="D823" s="7"/>
      <c r="E823" s="7"/>
      <c r="F823" s="25" t="s">
        <v>130</v>
      </c>
      <c r="G823" s="7">
        <v>610</v>
      </c>
      <c r="H823" s="7" t="s">
        <v>142</v>
      </c>
      <c r="I823" s="23">
        <f>284709+8415-12472-8415+1950</f>
        <v>274187</v>
      </c>
      <c r="J823" s="23">
        <v>10658</v>
      </c>
      <c r="K823" s="86">
        <f t="shared" si="92"/>
        <v>284845</v>
      </c>
      <c r="L823" s="355"/>
      <c r="M823" s="344"/>
      <c r="N823" s="246"/>
      <c r="O823" s="86">
        <f t="shared" si="93"/>
        <v>0</v>
      </c>
      <c r="P823" s="355"/>
      <c r="Q823" s="344">
        <f t="shared" si="100"/>
        <v>274187</v>
      </c>
      <c r="R823" s="23">
        <f t="shared" si="98"/>
        <v>10658</v>
      </c>
      <c r="S823" s="86">
        <f t="shared" si="99"/>
        <v>284845</v>
      </c>
    </row>
    <row r="824" spans="2:19" x14ac:dyDescent="0.2">
      <c r="B824" s="83">
        <f t="shared" si="101"/>
        <v>232</v>
      </c>
      <c r="C824" s="7"/>
      <c r="D824" s="7"/>
      <c r="E824" s="7"/>
      <c r="F824" s="25" t="s">
        <v>130</v>
      </c>
      <c r="G824" s="7">
        <v>620</v>
      </c>
      <c r="H824" s="7" t="s">
        <v>135</v>
      </c>
      <c r="I824" s="23">
        <f>100216+2962-4391-2962+700</f>
        <v>96525</v>
      </c>
      <c r="J824" s="23">
        <v>1658</v>
      </c>
      <c r="K824" s="86">
        <f t="shared" si="92"/>
        <v>98183</v>
      </c>
      <c r="L824" s="355"/>
      <c r="M824" s="344"/>
      <c r="N824" s="246"/>
      <c r="O824" s="86">
        <f t="shared" si="93"/>
        <v>0</v>
      </c>
      <c r="P824" s="355"/>
      <c r="Q824" s="344">
        <f t="shared" si="100"/>
        <v>96525</v>
      </c>
      <c r="R824" s="23">
        <f t="shared" si="98"/>
        <v>1658</v>
      </c>
      <c r="S824" s="86">
        <f t="shared" si="99"/>
        <v>98183</v>
      </c>
    </row>
    <row r="825" spans="2:19" x14ac:dyDescent="0.2">
      <c r="B825" s="83">
        <f t="shared" si="101"/>
        <v>233</v>
      </c>
      <c r="C825" s="7"/>
      <c r="D825" s="7"/>
      <c r="E825" s="7"/>
      <c r="F825" s="25" t="s">
        <v>130</v>
      </c>
      <c r="G825" s="7">
        <v>630</v>
      </c>
      <c r="H825" s="7" t="s">
        <v>132</v>
      </c>
      <c r="I825" s="23">
        <f>SUM(I826:I831)</f>
        <v>59018</v>
      </c>
      <c r="J825" s="23">
        <f>SUM(J826:J831)</f>
        <v>-1505</v>
      </c>
      <c r="K825" s="86">
        <f t="shared" si="92"/>
        <v>57513</v>
      </c>
      <c r="L825" s="355"/>
      <c r="M825" s="344"/>
      <c r="N825" s="246"/>
      <c r="O825" s="86">
        <f t="shared" si="93"/>
        <v>0</v>
      </c>
      <c r="P825" s="355"/>
      <c r="Q825" s="344">
        <f t="shared" si="100"/>
        <v>59018</v>
      </c>
      <c r="R825" s="23">
        <f t="shared" si="98"/>
        <v>-1505</v>
      </c>
      <c r="S825" s="86">
        <f t="shared" si="99"/>
        <v>57513</v>
      </c>
    </row>
    <row r="826" spans="2:19" x14ac:dyDescent="0.2">
      <c r="B826" s="83">
        <f t="shared" si="101"/>
        <v>234</v>
      </c>
      <c r="C826" s="3"/>
      <c r="D826" s="3"/>
      <c r="E826" s="3"/>
      <c r="F826" s="26" t="s">
        <v>130</v>
      </c>
      <c r="G826" s="3">
        <v>631</v>
      </c>
      <c r="H826" s="3" t="s">
        <v>138</v>
      </c>
      <c r="I826" s="19">
        <v>113</v>
      </c>
      <c r="J826" s="19">
        <v>15</v>
      </c>
      <c r="K826" s="87">
        <f t="shared" si="92"/>
        <v>128</v>
      </c>
      <c r="L826" s="356"/>
      <c r="M826" s="345"/>
      <c r="N826" s="208"/>
      <c r="O826" s="87">
        <f t="shared" si="93"/>
        <v>0</v>
      </c>
      <c r="P826" s="356"/>
      <c r="Q826" s="345">
        <f t="shared" si="100"/>
        <v>113</v>
      </c>
      <c r="R826" s="19">
        <f t="shared" si="98"/>
        <v>15</v>
      </c>
      <c r="S826" s="87">
        <f t="shared" si="99"/>
        <v>128</v>
      </c>
    </row>
    <row r="827" spans="2:19" x14ac:dyDescent="0.2">
      <c r="B827" s="83">
        <f t="shared" si="101"/>
        <v>235</v>
      </c>
      <c r="C827" s="3"/>
      <c r="D827" s="3"/>
      <c r="E827" s="3"/>
      <c r="F827" s="26" t="s">
        <v>130</v>
      </c>
      <c r="G827" s="3">
        <v>632</v>
      </c>
      <c r="H827" s="3" t="s">
        <v>145</v>
      </c>
      <c r="I827" s="19">
        <v>16863</v>
      </c>
      <c r="J827" s="19">
        <v>1000</v>
      </c>
      <c r="K827" s="87">
        <f t="shared" si="92"/>
        <v>17863</v>
      </c>
      <c r="L827" s="356"/>
      <c r="M827" s="345"/>
      <c r="N827" s="208"/>
      <c r="O827" s="87">
        <f t="shared" si="93"/>
        <v>0</v>
      </c>
      <c r="P827" s="356"/>
      <c r="Q827" s="345">
        <f t="shared" si="100"/>
        <v>16863</v>
      </c>
      <c r="R827" s="19">
        <f t="shared" si="98"/>
        <v>1000</v>
      </c>
      <c r="S827" s="87">
        <f t="shared" si="99"/>
        <v>17863</v>
      </c>
    </row>
    <row r="828" spans="2:19" x14ac:dyDescent="0.2">
      <c r="B828" s="83">
        <f t="shared" si="101"/>
        <v>236</v>
      </c>
      <c r="C828" s="3"/>
      <c r="D828" s="3"/>
      <c r="E828" s="3"/>
      <c r="F828" s="26" t="s">
        <v>130</v>
      </c>
      <c r="G828" s="3">
        <v>633</v>
      </c>
      <c r="H828" s="3" t="s">
        <v>136</v>
      </c>
      <c r="I828" s="19">
        <f>19794-10000</f>
        <v>9794</v>
      </c>
      <c r="J828" s="19">
        <v>215</v>
      </c>
      <c r="K828" s="87">
        <f t="shared" si="92"/>
        <v>10009</v>
      </c>
      <c r="L828" s="356"/>
      <c r="M828" s="345"/>
      <c r="N828" s="208"/>
      <c r="O828" s="87">
        <f t="shared" si="93"/>
        <v>0</v>
      </c>
      <c r="P828" s="356"/>
      <c r="Q828" s="345">
        <f t="shared" si="100"/>
        <v>9794</v>
      </c>
      <c r="R828" s="19">
        <f t="shared" si="98"/>
        <v>215</v>
      </c>
      <c r="S828" s="87">
        <f t="shared" si="99"/>
        <v>10009</v>
      </c>
    </row>
    <row r="829" spans="2:19" x14ac:dyDescent="0.2">
      <c r="B829" s="83">
        <f t="shared" si="101"/>
        <v>237</v>
      </c>
      <c r="C829" s="3"/>
      <c r="D829" s="3"/>
      <c r="E829" s="3"/>
      <c r="F829" s="26" t="s">
        <v>130</v>
      </c>
      <c r="G829" s="3">
        <v>634</v>
      </c>
      <c r="H829" s="3" t="s">
        <v>143</v>
      </c>
      <c r="I829" s="19">
        <v>1215</v>
      </c>
      <c r="J829" s="19"/>
      <c r="K829" s="87">
        <f t="shared" si="92"/>
        <v>1215</v>
      </c>
      <c r="L829" s="356"/>
      <c r="M829" s="345"/>
      <c r="N829" s="208"/>
      <c r="O829" s="87">
        <f t="shared" si="93"/>
        <v>0</v>
      </c>
      <c r="P829" s="356"/>
      <c r="Q829" s="345">
        <f t="shared" si="100"/>
        <v>1215</v>
      </c>
      <c r="R829" s="19">
        <f t="shared" si="98"/>
        <v>0</v>
      </c>
      <c r="S829" s="87">
        <f t="shared" si="99"/>
        <v>1215</v>
      </c>
    </row>
    <row r="830" spans="2:19" x14ac:dyDescent="0.2">
      <c r="B830" s="83">
        <f t="shared" si="101"/>
        <v>238</v>
      </c>
      <c r="C830" s="3"/>
      <c r="D830" s="3"/>
      <c r="E830" s="3"/>
      <c r="F830" s="26" t="s">
        <v>130</v>
      </c>
      <c r="G830" s="3">
        <v>635</v>
      </c>
      <c r="H830" s="3" t="s">
        <v>144</v>
      </c>
      <c r="I830" s="19">
        <f>10350+5000</f>
        <v>15350</v>
      </c>
      <c r="J830" s="19">
        <v>-4600</v>
      </c>
      <c r="K830" s="87">
        <f t="shared" si="92"/>
        <v>10750</v>
      </c>
      <c r="L830" s="356"/>
      <c r="M830" s="345"/>
      <c r="N830" s="208"/>
      <c r="O830" s="87">
        <f t="shared" si="93"/>
        <v>0</v>
      </c>
      <c r="P830" s="356"/>
      <c r="Q830" s="345">
        <f t="shared" si="100"/>
        <v>15350</v>
      </c>
      <c r="R830" s="19">
        <f t="shared" si="98"/>
        <v>-4600</v>
      </c>
      <c r="S830" s="87">
        <f t="shared" si="99"/>
        <v>10750</v>
      </c>
    </row>
    <row r="831" spans="2:19" x14ac:dyDescent="0.2">
      <c r="B831" s="83">
        <f t="shared" si="101"/>
        <v>239</v>
      </c>
      <c r="C831" s="3"/>
      <c r="D831" s="3"/>
      <c r="E831" s="3"/>
      <c r="F831" s="26" t="s">
        <v>130</v>
      </c>
      <c r="G831" s="3">
        <v>637</v>
      </c>
      <c r="H831" s="3" t="s">
        <v>133</v>
      </c>
      <c r="I831" s="19">
        <f>25950-10267</f>
        <v>15683</v>
      </c>
      <c r="J831" s="19">
        <v>1865</v>
      </c>
      <c r="K831" s="87">
        <f t="shared" si="92"/>
        <v>17548</v>
      </c>
      <c r="L831" s="356"/>
      <c r="M831" s="345"/>
      <c r="N831" s="208"/>
      <c r="O831" s="87">
        <f t="shared" si="93"/>
        <v>0</v>
      </c>
      <c r="P831" s="356"/>
      <c r="Q831" s="345">
        <f t="shared" si="100"/>
        <v>15683</v>
      </c>
      <c r="R831" s="19">
        <f t="shared" si="98"/>
        <v>1865</v>
      </c>
      <c r="S831" s="87">
        <f t="shared" si="99"/>
        <v>17548</v>
      </c>
    </row>
    <row r="832" spans="2:19" x14ac:dyDescent="0.2">
      <c r="B832" s="83">
        <f t="shared" si="101"/>
        <v>240</v>
      </c>
      <c r="C832" s="7"/>
      <c r="D832" s="7"/>
      <c r="E832" s="7"/>
      <c r="F832" s="25" t="s">
        <v>130</v>
      </c>
      <c r="G832" s="7">
        <v>640</v>
      </c>
      <c r="H832" s="7" t="s">
        <v>140</v>
      </c>
      <c r="I832" s="23">
        <v>1351</v>
      </c>
      <c r="J832" s="23">
        <v>1826</v>
      </c>
      <c r="K832" s="86">
        <f t="shared" si="92"/>
        <v>3177</v>
      </c>
      <c r="L832" s="355"/>
      <c r="M832" s="344"/>
      <c r="N832" s="246"/>
      <c r="O832" s="86">
        <f t="shared" si="93"/>
        <v>0</v>
      </c>
      <c r="P832" s="355"/>
      <c r="Q832" s="344">
        <f t="shared" si="100"/>
        <v>1351</v>
      </c>
      <c r="R832" s="23">
        <f t="shared" si="98"/>
        <v>1826</v>
      </c>
      <c r="S832" s="86">
        <f t="shared" si="99"/>
        <v>3177</v>
      </c>
    </row>
    <row r="833" spans="2:19" x14ac:dyDescent="0.2">
      <c r="B833" s="83">
        <f t="shared" si="101"/>
        <v>241</v>
      </c>
      <c r="C833" s="7"/>
      <c r="D833" s="7"/>
      <c r="E833" s="7"/>
      <c r="F833" s="25" t="s">
        <v>117</v>
      </c>
      <c r="G833" s="7">
        <v>610</v>
      </c>
      <c r="H833" s="7" t="s">
        <v>142</v>
      </c>
      <c r="I833" s="23">
        <f>443722+8414+50+8415</f>
        <v>460601</v>
      </c>
      <c r="J833" s="23">
        <v>-11074</v>
      </c>
      <c r="K833" s="86">
        <f t="shared" si="92"/>
        <v>449527</v>
      </c>
      <c r="L833" s="355"/>
      <c r="M833" s="344"/>
      <c r="N833" s="246"/>
      <c r="O833" s="86">
        <f t="shared" si="93"/>
        <v>0</v>
      </c>
      <c r="P833" s="355"/>
      <c r="Q833" s="344">
        <f t="shared" si="100"/>
        <v>460601</v>
      </c>
      <c r="R833" s="23">
        <f t="shared" si="98"/>
        <v>-11074</v>
      </c>
      <c r="S833" s="86">
        <f t="shared" si="99"/>
        <v>449527</v>
      </c>
    </row>
    <row r="834" spans="2:19" x14ac:dyDescent="0.2">
      <c r="B834" s="83">
        <f t="shared" si="101"/>
        <v>242</v>
      </c>
      <c r="C834" s="7"/>
      <c r="D834" s="7"/>
      <c r="E834" s="7"/>
      <c r="F834" s="25" t="s">
        <v>117</v>
      </c>
      <c r="G834" s="7">
        <v>620</v>
      </c>
      <c r="H834" s="7" t="s">
        <v>135</v>
      </c>
      <c r="I834" s="23">
        <f>156192+2962+10+2962</f>
        <v>162126</v>
      </c>
      <c r="J834" s="23">
        <v>-3814</v>
      </c>
      <c r="K834" s="86">
        <f t="shared" si="92"/>
        <v>158312</v>
      </c>
      <c r="L834" s="355"/>
      <c r="M834" s="344"/>
      <c r="N834" s="246"/>
      <c r="O834" s="86">
        <f t="shared" si="93"/>
        <v>0</v>
      </c>
      <c r="P834" s="355"/>
      <c r="Q834" s="344">
        <f t="shared" si="100"/>
        <v>162126</v>
      </c>
      <c r="R834" s="23">
        <f t="shared" si="98"/>
        <v>-3814</v>
      </c>
      <c r="S834" s="86">
        <f t="shared" si="99"/>
        <v>158312</v>
      </c>
    </row>
    <row r="835" spans="2:19" x14ac:dyDescent="0.2">
      <c r="B835" s="83">
        <f t="shared" si="101"/>
        <v>243</v>
      </c>
      <c r="C835" s="7"/>
      <c r="D835" s="7"/>
      <c r="E835" s="7"/>
      <c r="F835" s="25" t="s">
        <v>117</v>
      </c>
      <c r="G835" s="7">
        <v>630</v>
      </c>
      <c r="H835" s="7" t="s">
        <v>132</v>
      </c>
      <c r="I835" s="23">
        <f>SUM(I836:I840)</f>
        <v>90334</v>
      </c>
      <c r="J835" s="23">
        <f>SUM(J836:J840)</f>
        <v>14627</v>
      </c>
      <c r="K835" s="86">
        <f t="shared" si="92"/>
        <v>104961</v>
      </c>
      <c r="L835" s="355"/>
      <c r="M835" s="344"/>
      <c r="N835" s="246"/>
      <c r="O835" s="86">
        <f t="shared" si="93"/>
        <v>0</v>
      </c>
      <c r="P835" s="355"/>
      <c r="Q835" s="344">
        <f t="shared" si="100"/>
        <v>90334</v>
      </c>
      <c r="R835" s="23">
        <f t="shared" si="98"/>
        <v>14627</v>
      </c>
      <c r="S835" s="86">
        <f t="shared" si="99"/>
        <v>104961</v>
      </c>
    </row>
    <row r="836" spans="2:19" x14ac:dyDescent="0.2">
      <c r="B836" s="83">
        <f t="shared" si="101"/>
        <v>244</v>
      </c>
      <c r="C836" s="3"/>
      <c r="D836" s="3"/>
      <c r="E836" s="3"/>
      <c r="F836" s="26" t="s">
        <v>117</v>
      </c>
      <c r="G836" s="3">
        <v>631</v>
      </c>
      <c r="H836" s="3" t="s">
        <v>138</v>
      </c>
      <c r="I836" s="19">
        <v>137</v>
      </c>
      <c r="J836" s="19">
        <v>20</v>
      </c>
      <c r="K836" s="87">
        <f t="shared" si="92"/>
        <v>157</v>
      </c>
      <c r="L836" s="356"/>
      <c r="M836" s="345"/>
      <c r="N836" s="208"/>
      <c r="O836" s="87">
        <f t="shared" si="93"/>
        <v>0</v>
      </c>
      <c r="P836" s="356"/>
      <c r="Q836" s="345">
        <f t="shared" si="100"/>
        <v>137</v>
      </c>
      <c r="R836" s="19">
        <f t="shared" si="98"/>
        <v>20</v>
      </c>
      <c r="S836" s="87">
        <f t="shared" si="99"/>
        <v>157</v>
      </c>
    </row>
    <row r="837" spans="2:19" x14ac:dyDescent="0.2">
      <c r="B837" s="83">
        <f t="shared" si="101"/>
        <v>245</v>
      </c>
      <c r="C837" s="3"/>
      <c r="D837" s="3"/>
      <c r="E837" s="3"/>
      <c r="F837" s="26" t="s">
        <v>117</v>
      </c>
      <c r="G837" s="3">
        <v>632</v>
      </c>
      <c r="H837" s="3" t="s">
        <v>145</v>
      </c>
      <c r="I837" s="19">
        <v>22415</v>
      </c>
      <c r="J837" s="19">
        <v>4106</v>
      </c>
      <c r="K837" s="87">
        <f t="shared" si="92"/>
        <v>26521</v>
      </c>
      <c r="L837" s="356"/>
      <c r="M837" s="345"/>
      <c r="N837" s="208"/>
      <c r="O837" s="87">
        <f t="shared" si="93"/>
        <v>0</v>
      </c>
      <c r="P837" s="356"/>
      <c r="Q837" s="345">
        <f t="shared" si="100"/>
        <v>22415</v>
      </c>
      <c r="R837" s="19">
        <f t="shared" si="98"/>
        <v>4106</v>
      </c>
      <c r="S837" s="87">
        <f t="shared" si="99"/>
        <v>26521</v>
      </c>
    </row>
    <row r="838" spans="2:19" x14ac:dyDescent="0.2">
      <c r="B838" s="83">
        <f t="shared" si="101"/>
        <v>246</v>
      </c>
      <c r="C838" s="3"/>
      <c r="D838" s="3"/>
      <c r="E838" s="3"/>
      <c r="F838" s="26" t="s">
        <v>117</v>
      </c>
      <c r="G838" s="3">
        <v>633</v>
      </c>
      <c r="H838" s="3" t="s">
        <v>136</v>
      </c>
      <c r="I838" s="19">
        <f>36552-10000</f>
        <v>26552</v>
      </c>
      <c r="J838" s="19">
        <v>1551</v>
      </c>
      <c r="K838" s="87">
        <f t="shared" si="92"/>
        <v>28103</v>
      </c>
      <c r="L838" s="356"/>
      <c r="M838" s="345"/>
      <c r="N838" s="208"/>
      <c r="O838" s="87">
        <f t="shared" si="93"/>
        <v>0</v>
      </c>
      <c r="P838" s="356"/>
      <c r="Q838" s="345">
        <f t="shared" si="100"/>
        <v>26552</v>
      </c>
      <c r="R838" s="19">
        <f t="shared" si="98"/>
        <v>1551</v>
      </c>
      <c r="S838" s="87">
        <f t="shared" si="99"/>
        <v>28103</v>
      </c>
    </row>
    <row r="839" spans="2:19" x14ac:dyDescent="0.2">
      <c r="B839" s="83">
        <f t="shared" si="101"/>
        <v>247</v>
      </c>
      <c r="C839" s="3"/>
      <c r="D839" s="3"/>
      <c r="E839" s="3"/>
      <c r="F839" s="26" t="s">
        <v>117</v>
      </c>
      <c r="G839" s="3">
        <v>635</v>
      </c>
      <c r="H839" s="3" t="s">
        <v>144</v>
      </c>
      <c r="I839" s="19">
        <f>13150+5000</f>
        <v>18150</v>
      </c>
      <c r="J839" s="19">
        <v>7000</v>
      </c>
      <c r="K839" s="87">
        <f t="shared" si="92"/>
        <v>25150</v>
      </c>
      <c r="L839" s="356"/>
      <c r="M839" s="345"/>
      <c r="N839" s="208"/>
      <c r="O839" s="87">
        <f t="shared" si="93"/>
        <v>0</v>
      </c>
      <c r="P839" s="356"/>
      <c r="Q839" s="345">
        <f t="shared" si="100"/>
        <v>18150</v>
      </c>
      <c r="R839" s="19">
        <f t="shared" si="98"/>
        <v>7000</v>
      </c>
      <c r="S839" s="87">
        <f t="shared" si="99"/>
        <v>25150</v>
      </c>
    </row>
    <row r="840" spans="2:19" x14ac:dyDescent="0.2">
      <c r="B840" s="83">
        <f t="shared" si="101"/>
        <v>248</v>
      </c>
      <c r="C840" s="3"/>
      <c r="D840" s="3"/>
      <c r="E840" s="3"/>
      <c r="F840" s="26" t="s">
        <v>117</v>
      </c>
      <c r="G840" s="3">
        <v>637</v>
      </c>
      <c r="H840" s="3" t="s">
        <v>133</v>
      </c>
      <c r="I840" s="19">
        <f>26080+2000-5000</f>
        <v>23080</v>
      </c>
      <c r="J840" s="19">
        <v>1950</v>
      </c>
      <c r="K840" s="87">
        <f t="shared" si="92"/>
        <v>25030</v>
      </c>
      <c r="L840" s="356"/>
      <c r="M840" s="345"/>
      <c r="N840" s="208"/>
      <c r="O840" s="87">
        <f t="shared" si="93"/>
        <v>0</v>
      </c>
      <c r="P840" s="356"/>
      <c r="Q840" s="345">
        <f t="shared" si="100"/>
        <v>23080</v>
      </c>
      <c r="R840" s="19">
        <f t="shared" si="98"/>
        <v>1950</v>
      </c>
      <c r="S840" s="87">
        <f t="shared" si="99"/>
        <v>25030</v>
      </c>
    </row>
    <row r="841" spans="2:19" x14ac:dyDescent="0.2">
      <c r="B841" s="83">
        <f t="shared" si="101"/>
        <v>249</v>
      </c>
      <c r="C841" s="7"/>
      <c r="D841" s="7"/>
      <c r="E841" s="7"/>
      <c r="F841" s="25" t="s">
        <v>117</v>
      </c>
      <c r="G841" s="7">
        <v>640</v>
      </c>
      <c r="H841" s="7" t="s">
        <v>140</v>
      </c>
      <c r="I841" s="23">
        <v>1649</v>
      </c>
      <c r="J841" s="23">
        <v>162</v>
      </c>
      <c r="K841" s="86">
        <f t="shared" si="92"/>
        <v>1811</v>
      </c>
      <c r="L841" s="355"/>
      <c r="M841" s="344"/>
      <c r="N841" s="246"/>
      <c r="O841" s="86">
        <f t="shared" si="93"/>
        <v>0</v>
      </c>
      <c r="P841" s="355"/>
      <c r="Q841" s="344">
        <f t="shared" si="100"/>
        <v>1649</v>
      </c>
      <c r="R841" s="23">
        <f t="shared" si="98"/>
        <v>162</v>
      </c>
      <c r="S841" s="86">
        <f t="shared" si="99"/>
        <v>1811</v>
      </c>
    </row>
    <row r="842" spans="2:19" x14ac:dyDescent="0.2">
      <c r="B842" s="83">
        <f t="shared" si="101"/>
        <v>250</v>
      </c>
      <c r="C842" s="7"/>
      <c r="D842" s="7"/>
      <c r="E842" s="7"/>
      <c r="F842" s="25"/>
      <c r="G842" s="7">
        <v>630</v>
      </c>
      <c r="H842" s="7" t="s">
        <v>583</v>
      </c>
      <c r="I842" s="23">
        <v>1029</v>
      </c>
      <c r="J842" s="23"/>
      <c r="K842" s="86">
        <f t="shared" si="92"/>
        <v>1029</v>
      </c>
      <c r="L842" s="355"/>
      <c r="M842" s="344"/>
      <c r="N842" s="246"/>
      <c r="O842" s="86">
        <f t="shared" si="93"/>
        <v>0</v>
      </c>
      <c r="P842" s="355"/>
      <c r="Q842" s="344">
        <f t="shared" si="100"/>
        <v>1029</v>
      </c>
      <c r="R842" s="23">
        <f t="shared" si="98"/>
        <v>0</v>
      </c>
      <c r="S842" s="86">
        <f t="shared" si="99"/>
        <v>1029</v>
      </c>
    </row>
    <row r="843" spans="2:19" x14ac:dyDescent="0.2">
      <c r="B843" s="83">
        <f t="shared" si="101"/>
        <v>251</v>
      </c>
      <c r="C843" s="7"/>
      <c r="D843" s="7"/>
      <c r="E843" s="7"/>
      <c r="F843" s="25" t="s">
        <v>83</v>
      </c>
      <c r="G843" s="7">
        <v>630</v>
      </c>
      <c r="H843" s="7" t="s">
        <v>657</v>
      </c>
      <c r="I843" s="23">
        <v>0</v>
      </c>
      <c r="J843" s="23">
        <v>16</v>
      </c>
      <c r="K843" s="86">
        <f t="shared" si="92"/>
        <v>16</v>
      </c>
      <c r="L843" s="355"/>
      <c r="M843" s="344"/>
      <c r="N843" s="246"/>
      <c r="O843" s="86"/>
      <c r="P843" s="355"/>
      <c r="Q843" s="344">
        <f t="shared" ref="Q843" si="104">I843+M843</f>
        <v>0</v>
      </c>
      <c r="R843" s="23">
        <f t="shared" ref="R843" si="105">J843+N843</f>
        <v>16</v>
      </c>
      <c r="S843" s="86">
        <f t="shared" ref="S843" si="106">K843+O843</f>
        <v>16</v>
      </c>
    </row>
    <row r="844" spans="2:19" x14ac:dyDescent="0.2">
      <c r="B844" s="83">
        <f t="shared" si="101"/>
        <v>252</v>
      </c>
      <c r="C844" s="7"/>
      <c r="D844" s="7"/>
      <c r="E844" s="7"/>
      <c r="F844" s="25" t="s">
        <v>117</v>
      </c>
      <c r="G844" s="7">
        <v>710</v>
      </c>
      <c r="H844" s="7" t="s">
        <v>187</v>
      </c>
      <c r="I844" s="23"/>
      <c r="J844" s="23"/>
      <c r="K844" s="86">
        <f t="shared" si="92"/>
        <v>0</v>
      </c>
      <c r="L844" s="355"/>
      <c r="M844" s="344">
        <f>M845</f>
        <v>38729</v>
      </c>
      <c r="N844" s="246"/>
      <c r="O844" s="86">
        <f t="shared" si="93"/>
        <v>38729</v>
      </c>
      <c r="P844" s="355"/>
      <c r="Q844" s="344">
        <f t="shared" si="100"/>
        <v>38729</v>
      </c>
      <c r="R844" s="23">
        <f t="shared" si="98"/>
        <v>0</v>
      </c>
      <c r="S844" s="86">
        <f t="shared" si="99"/>
        <v>38729</v>
      </c>
    </row>
    <row r="845" spans="2:19" x14ac:dyDescent="0.2">
      <c r="B845" s="83">
        <f t="shared" si="101"/>
        <v>253</v>
      </c>
      <c r="C845" s="3"/>
      <c r="D845" s="3"/>
      <c r="E845" s="3"/>
      <c r="F845" s="26" t="s">
        <v>117</v>
      </c>
      <c r="G845" s="3">
        <v>716</v>
      </c>
      <c r="H845" s="3" t="s">
        <v>231</v>
      </c>
      <c r="I845" s="19"/>
      <c r="J845" s="19"/>
      <c r="K845" s="87">
        <f t="shared" si="92"/>
        <v>0</v>
      </c>
      <c r="L845" s="356"/>
      <c r="M845" s="345">
        <f>M846</f>
        <v>38729</v>
      </c>
      <c r="N845" s="208"/>
      <c r="O845" s="87">
        <f t="shared" si="93"/>
        <v>38729</v>
      </c>
      <c r="P845" s="356"/>
      <c r="Q845" s="345">
        <f t="shared" si="100"/>
        <v>38729</v>
      </c>
      <c r="R845" s="19">
        <f t="shared" si="98"/>
        <v>0</v>
      </c>
      <c r="S845" s="87">
        <f t="shared" si="99"/>
        <v>38729</v>
      </c>
    </row>
    <row r="846" spans="2:19" x14ac:dyDescent="0.2">
      <c r="B846" s="83">
        <f t="shared" si="101"/>
        <v>254</v>
      </c>
      <c r="C846" s="4"/>
      <c r="D846" s="4"/>
      <c r="E846" s="4"/>
      <c r="F846" s="27"/>
      <c r="G846" s="4"/>
      <c r="H846" s="4" t="s">
        <v>432</v>
      </c>
      <c r="I846" s="21"/>
      <c r="J846" s="21"/>
      <c r="K846" s="88">
        <f t="shared" si="92"/>
        <v>0</v>
      </c>
      <c r="L846" s="357"/>
      <c r="M846" s="346">
        <f>50160-227-11204</f>
        <v>38729</v>
      </c>
      <c r="N846" s="247"/>
      <c r="O846" s="88">
        <f t="shared" si="93"/>
        <v>38729</v>
      </c>
      <c r="P846" s="357"/>
      <c r="Q846" s="346">
        <f t="shared" si="100"/>
        <v>38729</v>
      </c>
      <c r="R846" s="21">
        <f t="shared" si="98"/>
        <v>0</v>
      </c>
      <c r="S846" s="88">
        <f t="shared" si="99"/>
        <v>38729</v>
      </c>
    </row>
    <row r="847" spans="2:19" ht="15" x14ac:dyDescent="0.25">
      <c r="B847" s="83">
        <f t="shared" si="101"/>
        <v>255</v>
      </c>
      <c r="C847" s="10"/>
      <c r="D847" s="10"/>
      <c r="E847" s="10">
        <v>8</v>
      </c>
      <c r="F847" s="28"/>
      <c r="G847" s="10"/>
      <c r="H847" s="10" t="s">
        <v>10</v>
      </c>
      <c r="I847" s="38">
        <f>I848+I849+I850+I858+I859+I860+I867+I857</f>
        <v>1613602</v>
      </c>
      <c r="J847" s="38">
        <f>J848+J849+J850+J858+J859+J860+J867+J857+J868</f>
        <v>-11129</v>
      </c>
      <c r="K847" s="94">
        <f t="shared" si="92"/>
        <v>1602473</v>
      </c>
      <c r="L847" s="365"/>
      <c r="M847" s="362">
        <v>0</v>
      </c>
      <c r="N847" s="253"/>
      <c r="O847" s="94">
        <f t="shared" si="93"/>
        <v>0</v>
      </c>
      <c r="P847" s="365"/>
      <c r="Q847" s="362">
        <f t="shared" si="100"/>
        <v>1613602</v>
      </c>
      <c r="R847" s="38">
        <f t="shared" si="98"/>
        <v>-11129</v>
      </c>
      <c r="S847" s="94">
        <f t="shared" si="99"/>
        <v>1602473</v>
      </c>
    </row>
    <row r="848" spans="2:19" x14ac:dyDescent="0.2">
      <c r="B848" s="83">
        <f t="shared" si="101"/>
        <v>256</v>
      </c>
      <c r="C848" s="7"/>
      <c r="D848" s="7"/>
      <c r="E848" s="7"/>
      <c r="F848" s="25" t="s">
        <v>130</v>
      </c>
      <c r="G848" s="7">
        <v>610</v>
      </c>
      <c r="H848" s="7" t="s">
        <v>142</v>
      </c>
      <c r="I848" s="23">
        <f>383230+1066+7280-43990-8346</f>
        <v>339240</v>
      </c>
      <c r="J848" s="23">
        <v>-1892</v>
      </c>
      <c r="K848" s="86">
        <f t="shared" si="92"/>
        <v>337348</v>
      </c>
      <c r="L848" s="355"/>
      <c r="M848" s="344"/>
      <c r="N848" s="246"/>
      <c r="O848" s="86">
        <f t="shared" si="93"/>
        <v>0</v>
      </c>
      <c r="P848" s="355"/>
      <c r="Q848" s="344">
        <f t="shared" si="100"/>
        <v>339240</v>
      </c>
      <c r="R848" s="23">
        <f t="shared" si="98"/>
        <v>-1892</v>
      </c>
      <c r="S848" s="86">
        <f t="shared" si="99"/>
        <v>337348</v>
      </c>
    </row>
    <row r="849" spans="2:19" x14ac:dyDescent="0.2">
      <c r="B849" s="83">
        <f t="shared" si="101"/>
        <v>257</v>
      </c>
      <c r="C849" s="7"/>
      <c r="D849" s="7"/>
      <c r="E849" s="7"/>
      <c r="F849" s="25" t="s">
        <v>130</v>
      </c>
      <c r="G849" s="7">
        <v>620</v>
      </c>
      <c r="H849" s="7" t="s">
        <v>135</v>
      </c>
      <c r="I849" s="23">
        <f>134082+373+2548-15396-2921</f>
        <v>118686</v>
      </c>
      <c r="J849" s="23">
        <v>2747</v>
      </c>
      <c r="K849" s="86">
        <f t="shared" ref="K849:K918" si="107">J849+I849</f>
        <v>121433</v>
      </c>
      <c r="L849" s="355"/>
      <c r="M849" s="344"/>
      <c r="N849" s="246"/>
      <c r="O849" s="86">
        <f t="shared" ref="O849:O918" si="108">N849+M849</f>
        <v>0</v>
      </c>
      <c r="P849" s="355"/>
      <c r="Q849" s="344">
        <f t="shared" si="100"/>
        <v>118686</v>
      </c>
      <c r="R849" s="23">
        <f t="shared" si="98"/>
        <v>2747</v>
      </c>
      <c r="S849" s="86">
        <f t="shared" si="99"/>
        <v>121433</v>
      </c>
    </row>
    <row r="850" spans="2:19" x14ac:dyDescent="0.2">
      <c r="B850" s="83">
        <f t="shared" ref="B850:B919" si="109">B849+1</f>
        <v>258</v>
      </c>
      <c r="C850" s="7"/>
      <c r="D850" s="7"/>
      <c r="E850" s="7"/>
      <c r="F850" s="25" t="s">
        <v>130</v>
      </c>
      <c r="G850" s="7">
        <v>630</v>
      </c>
      <c r="H850" s="7" t="s">
        <v>132</v>
      </c>
      <c r="I850" s="23">
        <f>SUM(I851:I856)</f>
        <v>78265</v>
      </c>
      <c r="J850" s="23">
        <f>SUM(J851:J856)</f>
        <v>2216</v>
      </c>
      <c r="K850" s="86">
        <f t="shared" si="107"/>
        <v>80481</v>
      </c>
      <c r="L850" s="355"/>
      <c r="M850" s="344"/>
      <c r="N850" s="246"/>
      <c r="O850" s="86">
        <f t="shared" si="108"/>
        <v>0</v>
      </c>
      <c r="P850" s="355"/>
      <c r="Q850" s="344">
        <f t="shared" si="100"/>
        <v>78265</v>
      </c>
      <c r="R850" s="23">
        <f t="shared" si="98"/>
        <v>2216</v>
      </c>
      <c r="S850" s="86">
        <f t="shared" si="99"/>
        <v>80481</v>
      </c>
    </row>
    <row r="851" spans="2:19" x14ac:dyDescent="0.2">
      <c r="B851" s="83">
        <f t="shared" si="109"/>
        <v>259</v>
      </c>
      <c r="C851" s="3"/>
      <c r="D851" s="3"/>
      <c r="E851" s="3"/>
      <c r="F851" s="26" t="s">
        <v>130</v>
      </c>
      <c r="G851" s="3">
        <v>631</v>
      </c>
      <c r="H851" s="3" t="s">
        <v>138</v>
      </c>
      <c r="I851" s="19">
        <v>20</v>
      </c>
      <c r="J851" s="19">
        <v>-20</v>
      </c>
      <c r="K851" s="87">
        <f t="shared" si="107"/>
        <v>0</v>
      </c>
      <c r="L851" s="356"/>
      <c r="M851" s="345"/>
      <c r="N851" s="208"/>
      <c r="O851" s="87">
        <f t="shared" si="108"/>
        <v>0</v>
      </c>
      <c r="P851" s="356"/>
      <c r="Q851" s="345">
        <f t="shared" si="100"/>
        <v>20</v>
      </c>
      <c r="R851" s="19">
        <f t="shared" si="98"/>
        <v>-20</v>
      </c>
      <c r="S851" s="87">
        <f t="shared" si="99"/>
        <v>0</v>
      </c>
    </row>
    <row r="852" spans="2:19" x14ac:dyDescent="0.2">
      <c r="B852" s="83">
        <f t="shared" si="109"/>
        <v>260</v>
      </c>
      <c r="C852" s="3"/>
      <c r="D852" s="3"/>
      <c r="E852" s="3"/>
      <c r="F852" s="26" t="s">
        <v>130</v>
      </c>
      <c r="G852" s="3">
        <v>632</v>
      </c>
      <c r="H852" s="3" t="s">
        <v>145</v>
      </c>
      <c r="I852" s="19">
        <f>44390-7978</f>
        <v>36412</v>
      </c>
      <c r="J852" s="19"/>
      <c r="K852" s="87">
        <f t="shared" si="107"/>
        <v>36412</v>
      </c>
      <c r="L852" s="356"/>
      <c r="M852" s="345"/>
      <c r="N852" s="208"/>
      <c r="O852" s="87">
        <f t="shared" si="108"/>
        <v>0</v>
      </c>
      <c r="P852" s="356"/>
      <c r="Q852" s="345">
        <f t="shared" si="100"/>
        <v>36412</v>
      </c>
      <c r="R852" s="19">
        <f t="shared" si="98"/>
        <v>0</v>
      </c>
      <c r="S852" s="87">
        <f t="shared" si="99"/>
        <v>36412</v>
      </c>
    </row>
    <row r="853" spans="2:19" x14ac:dyDescent="0.2">
      <c r="B853" s="83">
        <f t="shared" si="109"/>
        <v>261</v>
      </c>
      <c r="C853" s="3"/>
      <c r="D853" s="3"/>
      <c r="E853" s="3"/>
      <c r="F853" s="26" t="s">
        <v>130</v>
      </c>
      <c r="G853" s="3">
        <v>633</v>
      </c>
      <c r="H853" s="3" t="s">
        <v>136</v>
      </c>
      <c r="I853" s="19">
        <v>10583</v>
      </c>
      <c r="J853" s="19">
        <v>916</v>
      </c>
      <c r="K853" s="87">
        <f t="shared" si="107"/>
        <v>11499</v>
      </c>
      <c r="L853" s="356"/>
      <c r="M853" s="345"/>
      <c r="N853" s="208"/>
      <c r="O853" s="87">
        <f t="shared" si="108"/>
        <v>0</v>
      </c>
      <c r="P853" s="356"/>
      <c r="Q853" s="345">
        <f t="shared" si="100"/>
        <v>10583</v>
      </c>
      <c r="R853" s="19">
        <f t="shared" si="98"/>
        <v>916</v>
      </c>
      <c r="S853" s="87">
        <f t="shared" si="99"/>
        <v>11499</v>
      </c>
    </row>
    <row r="854" spans="2:19" x14ac:dyDescent="0.2">
      <c r="B854" s="83">
        <f t="shared" si="109"/>
        <v>262</v>
      </c>
      <c r="C854" s="3"/>
      <c r="D854" s="3"/>
      <c r="E854" s="3"/>
      <c r="F854" s="26" t="s">
        <v>130</v>
      </c>
      <c r="G854" s="3">
        <v>635</v>
      </c>
      <c r="H854" s="3" t="s">
        <v>144</v>
      </c>
      <c r="I854" s="19">
        <v>4010</v>
      </c>
      <c r="J854" s="19">
        <v>20</v>
      </c>
      <c r="K854" s="87">
        <f t="shared" si="107"/>
        <v>4030</v>
      </c>
      <c r="L854" s="356"/>
      <c r="M854" s="345"/>
      <c r="N854" s="208"/>
      <c r="O854" s="87">
        <f t="shared" si="108"/>
        <v>0</v>
      </c>
      <c r="P854" s="356"/>
      <c r="Q854" s="345">
        <f t="shared" si="100"/>
        <v>4010</v>
      </c>
      <c r="R854" s="19">
        <f t="shared" si="98"/>
        <v>20</v>
      </c>
      <c r="S854" s="87">
        <f t="shared" si="99"/>
        <v>4030</v>
      </c>
    </row>
    <row r="855" spans="2:19" x14ac:dyDescent="0.2">
      <c r="B855" s="83">
        <f t="shared" si="109"/>
        <v>263</v>
      </c>
      <c r="C855" s="3"/>
      <c r="D855" s="3"/>
      <c r="E855" s="3"/>
      <c r="F855" s="26" t="s">
        <v>130</v>
      </c>
      <c r="G855" s="3">
        <v>636</v>
      </c>
      <c r="H855" s="3" t="s">
        <v>137</v>
      </c>
      <c r="I855" s="19">
        <v>1400</v>
      </c>
      <c r="J855" s="19"/>
      <c r="K855" s="87">
        <f t="shared" si="107"/>
        <v>1400</v>
      </c>
      <c r="L855" s="356"/>
      <c r="M855" s="345"/>
      <c r="N855" s="208"/>
      <c r="O855" s="87">
        <f t="shared" si="108"/>
        <v>0</v>
      </c>
      <c r="P855" s="356"/>
      <c r="Q855" s="345">
        <f t="shared" si="100"/>
        <v>1400</v>
      </c>
      <c r="R855" s="19">
        <f t="shared" si="98"/>
        <v>0</v>
      </c>
      <c r="S855" s="87">
        <f t="shared" si="99"/>
        <v>1400</v>
      </c>
    </row>
    <row r="856" spans="2:19" x14ac:dyDescent="0.2">
      <c r="B856" s="83">
        <f t="shared" si="109"/>
        <v>264</v>
      </c>
      <c r="C856" s="3"/>
      <c r="D856" s="3"/>
      <c r="E856" s="3"/>
      <c r="F856" s="26" t="s">
        <v>130</v>
      </c>
      <c r="G856" s="3">
        <v>637</v>
      </c>
      <c r="H856" s="3" t="s">
        <v>133</v>
      </c>
      <c r="I856" s="19">
        <v>25840</v>
      </c>
      <c r="J856" s="19">
        <v>1300</v>
      </c>
      <c r="K856" s="87">
        <f t="shared" si="107"/>
        <v>27140</v>
      </c>
      <c r="L856" s="356"/>
      <c r="M856" s="345"/>
      <c r="N856" s="208"/>
      <c r="O856" s="87">
        <f t="shared" si="108"/>
        <v>0</v>
      </c>
      <c r="P856" s="356"/>
      <c r="Q856" s="345">
        <f t="shared" si="100"/>
        <v>25840</v>
      </c>
      <c r="R856" s="19">
        <f t="shared" si="98"/>
        <v>1300</v>
      </c>
      <c r="S856" s="87">
        <f t="shared" si="99"/>
        <v>27140</v>
      </c>
    </row>
    <row r="857" spans="2:19" x14ac:dyDescent="0.2">
      <c r="B857" s="83">
        <f t="shared" si="109"/>
        <v>265</v>
      </c>
      <c r="C857" s="3"/>
      <c r="D857" s="3"/>
      <c r="E857" s="3"/>
      <c r="F857" s="30" t="s">
        <v>130</v>
      </c>
      <c r="G857" s="2">
        <v>640</v>
      </c>
      <c r="H857" s="2" t="s">
        <v>140</v>
      </c>
      <c r="I857" s="18">
        <v>950</v>
      </c>
      <c r="J857" s="18">
        <v>842</v>
      </c>
      <c r="K857" s="114">
        <f t="shared" si="107"/>
        <v>1792</v>
      </c>
      <c r="L857" s="355"/>
      <c r="M857" s="349"/>
      <c r="N857" s="207"/>
      <c r="O857" s="114">
        <f t="shared" si="108"/>
        <v>0</v>
      </c>
      <c r="P857" s="355"/>
      <c r="Q857" s="349">
        <f t="shared" si="100"/>
        <v>950</v>
      </c>
      <c r="R857" s="18">
        <f t="shared" si="98"/>
        <v>842</v>
      </c>
      <c r="S857" s="114">
        <f t="shared" si="99"/>
        <v>1792</v>
      </c>
    </row>
    <row r="858" spans="2:19" x14ac:dyDescent="0.2">
      <c r="B858" s="83">
        <f t="shared" si="109"/>
        <v>266</v>
      </c>
      <c r="C858" s="7"/>
      <c r="D858" s="7"/>
      <c r="E858" s="7"/>
      <c r="F858" s="25" t="s">
        <v>117</v>
      </c>
      <c r="G858" s="7">
        <v>610</v>
      </c>
      <c r="H858" s="7" t="s">
        <v>142</v>
      </c>
      <c r="I858" s="23">
        <f>619412+1066+7280+50+8346</f>
        <v>636154</v>
      </c>
      <c r="J858" s="23">
        <v>-7100</v>
      </c>
      <c r="K858" s="86">
        <f t="shared" si="107"/>
        <v>629054</v>
      </c>
      <c r="L858" s="355"/>
      <c r="M858" s="344"/>
      <c r="N858" s="246"/>
      <c r="O858" s="86">
        <f t="shared" si="108"/>
        <v>0</v>
      </c>
      <c r="P858" s="355"/>
      <c r="Q858" s="344">
        <f t="shared" si="100"/>
        <v>636154</v>
      </c>
      <c r="R858" s="23">
        <f t="shared" si="98"/>
        <v>-7100</v>
      </c>
      <c r="S858" s="86">
        <f t="shared" si="99"/>
        <v>629054</v>
      </c>
    </row>
    <row r="859" spans="2:19" x14ac:dyDescent="0.2">
      <c r="B859" s="83">
        <f t="shared" si="109"/>
        <v>267</v>
      </c>
      <c r="C859" s="7"/>
      <c r="D859" s="7"/>
      <c r="E859" s="7"/>
      <c r="F859" s="25" t="s">
        <v>117</v>
      </c>
      <c r="G859" s="7">
        <v>620</v>
      </c>
      <c r="H859" s="7" t="s">
        <v>135</v>
      </c>
      <c r="I859" s="23">
        <f>216841+374+2548+10+2921</f>
        <v>222694</v>
      </c>
      <c r="J859" s="23">
        <v>3275</v>
      </c>
      <c r="K859" s="86">
        <f t="shared" si="107"/>
        <v>225969</v>
      </c>
      <c r="L859" s="355"/>
      <c r="M859" s="344"/>
      <c r="N859" s="246"/>
      <c r="O859" s="86">
        <f t="shared" si="108"/>
        <v>0</v>
      </c>
      <c r="P859" s="355"/>
      <c r="Q859" s="344">
        <f t="shared" si="100"/>
        <v>222694</v>
      </c>
      <c r="R859" s="23">
        <f t="shared" si="98"/>
        <v>3275</v>
      </c>
      <c r="S859" s="86">
        <f t="shared" si="99"/>
        <v>225969</v>
      </c>
    </row>
    <row r="860" spans="2:19" x14ac:dyDescent="0.2">
      <c r="B860" s="83">
        <f t="shared" si="109"/>
        <v>268</v>
      </c>
      <c r="C860" s="7"/>
      <c r="D860" s="7"/>
      <c r="E860" s="7"/>
      <c r="F860" s="25" t="s">
        <v>117</v>
      </c>
      <c r="G860" s="7">
        <v>630</v>
      </c>
      <c r="H860" s="7" t="s">
        <v>132</v>
      </c>
      <c r="I860" s="23">
        <f>SUM(I861:I866)</f>
        <v>209203</v>
      </c>
      <c r="J860" s="23">
        <f>SUM(J861:J866)</f>
        <v>-9470</v>
      </c>
      <c r="K860" s="86">
        <f t="shared" si="107"/>
        <v>199733</v>
      </c>
      <c r="L860" s="355"/>
      <c r="M860" s="344"/>
      <c r="N860" s="246"/>
      <c r="O860" s="86">
        <f t="shared" si="108"/>
        <v>0</v>
      </c>
      <c r="P860" s="355"/>
      <c r="Q860" s="344">
        <f t="shared" si="100"/>
        <v>209203</v>
      </c>
      <c r="R860" s="23">
        <f t="shared" si="98"/>
        <v>-9470</v>
      </c>
      <c r="S860" s="86">
        <f t="shared" si="99"/>
        <v>199733</v>
      </c>
    </row>
    <row r="861" spans="2:19" x14ac:dyDescent="0.2">
      <c r="B861" s="83">
        <f t="shared" si="109"/>
        <v>269</v>
      </c>
      <c r="C861" s="3"/>
      <c r="D861" s="3"/>
      <c r="E861" s="3"/>
      <c r="F861" s="26" t="s">
        <v>117</v>
      </c>
      <c r="G861" s="3">
        <v>631</v>
      </c>
      <c r="H861" s="3" t="s">
        <v>138</v>
      </c>
      <c r="I861" s="19">
        <v>30</v>
      </c>
      <c r="J861" s="19">
        <v>-30</v>
      </c>
      <c r="K861" s="87">
        <f t="shared" si="107"/>
        <v>0</v>
      </c>
      <c r="L861" s="356"/>
      <c r="M861" s="345"/>
      <c r="N861" s="208"/>
      <c r="O861" s="87">
        <f t="shared" si="108"/>
        <v>0</v>
      </c>
      <c r="P861" s="356"/>
      <c r="Q861" s="345">
        <f t="shared" si="100"/>
        <v>30</v>
      </c>
      <c r="R861" s="19">
        <f t="shared" si="98"/>
        <v>-30</v>
      </c>
      <c r="S861" s="87">
        <f t="shared" si="99"/>
        <v>0</v>
      </c>
    </row>
    <row r="862" spans="2:19" x14ac:dyDescent="0.2">
      <c r="B862" s="83">
        <f t="shared" si="109"/>
        <v>270</v>
      </c>
      <c r="C862" s="3"/>
      <c r="D862" s="3"/>
      <c r="E862" s="3"/>
      <c r="F862" s="26" t="s">
        <v>117</v>
      </c>
      <c r="G862" s="3">
        <v>632</v>
      </c>
      <c r="H862" s="3" t="s">
        <v>145</v>
      </c>
      <c r="I862" s="19">
        <v>82725</v>
      </c>
      <c r="J862" s="19">
        <v>-3500</v>
      </c>
      <c r="K862" s="87">
        <f t="shared" si="107"/>
        <v>79225</v>
      </c>
      <c r="L862" s="356"/>
      <c r="M862" s="345"/>
      <c r="N862" s="208"/>
      <c r="O862" s="87">
        <f t="shared" si="108"/>
        <v>0</v>
      </c>
      <c r="P862" s="356"/>
      <c r="Q862" s="345">
        <f t="shared" si="100"/>
        <v>82725</v>
      </c>
      <c r="R862" s="19">
        <f t="shared" si="98"/>
        <v>-3500</v>
      </c>
      <c r="S862" s="87">
        <f t="shared" si="99"/>
        <v>79225</v>
      </c>
    </row>
    <row r="863" spans="2:19" x14ac:dyDescent="0.2">
      <c r="B863" s="83">
        <f t="shared" si="109"/>
        <v>271</v>
      </c>
      <c r="C863" s="3"/>
      <c r="D863" s="3"/>
      <c r="E863" s="3"/>
      <c r="F863" s="26" t="s">
        <v>117</v>
      </c>
      <c r="G863" s="3">
        <v>633</v>
      </c>
      <c r="H863" s="3" t="s">
        <v>136</v>
      </c>
      <c r="I863" s="19">
        <f>32268+200</f>
        <v>32468</v>
      </c>
      <c r="J863" s="19">
        <v>-2820</v>
      </c>
      <c r="K863" s="87">
        <f t="shared" si="107"/>
        <v>29648</v>
      </c>
      <c r="L863" s="356"/>
      <c r="M863" s="345"/>
      <c r="N863" s="208"/>
      <c r="O863" s="87">
        <f t="shared" si="108"/>
        <v>0</v>
      </c>
      <c r="P863" s="356"/>
      <c r="Q863" s="345">
        <f t="shared" si="100"/>
        <v>32468</v>
      </c>
      <c r="R863" s="19">
        <f t="shared" si="98"/>
        <v>-2820</v>
      </c>
      <c r="S863" s="87">
        <f t="shared" si="99"/>
        <v>29648</v>
      </c>
    </row>
    <row r="864" spans="2:19" x14ac:dyDescent="0.2">
      <c r="B864" s="83">
        <f t="shared" si="109"/>
        <v>272</v>
      </c>
      <c r="C864" s="3"/>
      <c r="D864" s="3"/>
      <c r="E864" s="3"/>
      <c r="F864" s="26" t="s">
        <v>117</v>
      </c>
      <c r="G864" s="3">
        <v>635</v>
      </c>
      <c r="H864" s="3" t="s">
        <v>144</v>
      </c>
      <c r="I864" s="19">
        <v>10730</v>
      </c>
      <c r="J864" s="19">
        <v>4230</v>
      </c>
      <c r="K864" s="87">
        <f t="shared" si="107"/>
        <v>14960</v>
      </c>
      <c r="L864" s="356"/>
      <c r="M864" s="345"/>
      <c r="N864" s="208"/>
      <c r="O864" s="87">
        <f t="shared" si="108"/>
        <v>0</v>
      </c>
      <c r="P864" s="356"/>
      <c r="Q864" s="345">
        <f t="shared" si="100"/>
        <v>10730</v>
      </c>
      <c r="R864" s="19">
        <f t="shared" si="98"/>
        <v>4230</v>
      </c>
      <c r="S864" s="87">
        <f t="shared" si="99"/>
        <v>14960</v>
      </c>
    </row>
    <row r="865" spans="2:19" x14ac:dyDescent="0.2">
      <c r="B865" s="83">
        <f t="shared" si="109"/>
        <v>273</v>
      </c>
      <c r="C865" s="3"/>
      <c r="D865" s="3"/>
      <c r="E865" s="3"/>
      <c r="F865" s="26" t="s">
        <v>117</v>
      </c>
      <c r="G865" s="3">
        <v>636</v>
      </c>
      <c r="H865" s="3" t="s">
        <v>137</v>
      </c>
      <c r="I865" s="19">
        <v>43000</v>
      </c>
      <c r="J865" s="19">
        <v>-1200</v>
      </c>
      <c r="K865" s="87">
        <f t="shared" si="107"/>
        <v>41800</v>
      </c>
      <c r="L865" s="356"/>
      <c r="M865" s="345"/>
      <c r="N865" s="208"/>
      <c r="O865" s="87">
        <f t="shared" si="108"/>
        <v>0</v>
      </c>
      <c r="P865" s="356"/>
      <c r="Q865" s="345">
        <f t="shared" si="100"/>
        <v>43000</v>
      </c>
      <c r="R865" s="19">
        <f t="shared" si="98"/>
        <v>-1200</v>
      </c>
      <c r="S865" s="87">
        <f t="shared" si="99"/>
        <v>41800</v>
      </c>
    </row>
    <row r="866" spans="2:19" x14ac:dyDescent="0.2">
      <c r="B866" s="83">
        <f t="shared" si="109"/>
        <v>274</v>
      </c>
      <c r="C866" s="3"/>
      <c r="D866" s="3"/>
      <c r="E866" s="3"/>
      <c r="F866" s="26" t="s">
        <v>117</v>
      </c>
      <c r="G866" s="3">
        <v>637</v>
      </c>
      <c r="H866" s="3" t="s">
        <v>133</v>
      </c>
      <c r="I866" s="19">
        <v>40250</v>
      </c>
      <c r="J866" s="19">
        <v>-6150</v>
      </c>
      <c r="K866" s="87">
        <f t="shared" si="107"/>
        <v>34100</v>
      </c>
      <c r="L866" s="356"/>
      <c r="M866" s="345"/>
      <c r="N866" s="208"/>
      <c r="O866" s="87">
        <f t="shared" si="108"/>
        <v>0</v>
      </c>
      <c r="P866" s="356"/>
      <c r="Q866" s="345">
        <f t="shared" si="100"/>
        <v>40250</v>
      </c>
      <c r="R866" s="19">
        <f t="shared" si="98"/>
        <v>-6150</v>
      </c>
      <c r="S866" s="87">
        <f t="shared" si="99"/>
        <v>34100</v>
      </c>
    </row>
    <row r="867" spans="2:19" x14ac:dyDescent="0.2">
      <c r="B867" s="83">
        <f t="shared" si="109"/>
        <v>275</v>
      </c>
      <c r="C867" s="7"/>
      <c r="D867" s="7"/>
      <c r="E867" s="7"/>
      <c r="F867" s="25" t="s">
        <v>117</v>
      </c>
      <c r="G867" s="7">
        <v>640</v>
      </c>
      <c r="H867" s="7" t="s">
        <v>140</v>
      </c>
      <c r="I867" s="23">
        <v>8410</v>
      </c>
      <c r="J867" s="23">
        <v>-2802</v>
      </c>
      <c r="K867" s="86">
        <f t="shared" si="107"/>
        <v>5608</v>
      </c>
      <c r="L867" s="355"/>
      <c r="M867" s="344"/>
      <c r="N867" s="246"/>
      <c r="O867" s="86">
        <f t="shared" si="108"/>
        <v>0</v>
      </c>
      <c r="P867" s="355"/>
      <c r="Q867" s="344">
        <f t="shared" si="100"/>
        <v>8410</v>
      </c>
      <c r="R867" s="23">
        <f t="shared" si="98"/>
        <v>-2802</v>
      </c>
      <c r="S867" s="86">
        <f t="shared" si="99"/>
        <v>5608</v>
      </c>
    </row>
    <row r="868" spans="2:19" x14ac:dyDescent="0.2">
      <c r="B868" s="83">
        <f t="shared" si="109"/>
        <v>276</v>
      </c>
      <c r="C868" s="7"/>
      <c r="D868" s="7"/>
      <c r="E868" s="7"/>
      <c r="F868" s="25" t="s">
        <v>83</v>
      </c>
      <c r="G868" s="7">
        <v>630</v>
      </c>
      <c r="H868" s="7" t="s">
        <v>657</v>
      </c>
      <c r="I868" s="23">
        <v>0</v>
      </c>
      <c r="J868" s="23">
        <v>1055</v>
      </c>
      <c r="K868" s="86">
        <f t="shared" si="107"/>
        <v>1055</v>
      </c>
      <c r="L868" s="355"/>
      <c r="M868" s="344"/>
      <c r="N868" s="246"/>
      <c r="O868" s="86"/>
      <c r="P868" s="355"/>
      <c r="Q868" s="344">
        <f t="shared" si="100"/>
        <v>0</v>
      </c>
      <c r="R868" s="23">
        <f t="shared" si="98"/>
        <v>1055</v>
      </c>
      <c r="S868" s="86">
        <f t="shared" si="99"/>
        <v>1055</v>
      </c>
    </row>
    <row r="869" spans="2:19" ht="15" x14ac:dyDescent="0.25">
      <c r="B869" s="83">
        <f t="shared" si="109"/>
        <v>277</v>
      </c>
      <c r="C869" s="10"/>
      <c r="D869" s="10"/>
      <c r="E869" s="10">
        <v>9</v>
      </c>
      <c r="F869" s="28"/>
      <c r="G869" s="10"/>
      <c r="H869" s="10" t="s">
        <v>8</v>
      </c>
      <c r="I869" s="38">
        <f>I870+I871+I872+I880+I881+I882+I883+I890+I891</f>
        <v>727021</v>
      </c>
      <c r="J869" s="38">
        <f>J870+J871+J872+J880+J881+J882+J883+J890+J891+J892</f>
        <v>36450</v>
      </c>
      <c r="K869" s="94">
        <f t="shared" si="107"/>
        <v>763471</v>
      </c>
      <c r="L869" s="365"/>
      <c r="M869" s="362">
        <f>M870+M871+M872+M880+M881+M882+M883+M890+M893</f>
        <v>384000</v>
      </c>
      <c r="N869" s="253"/>
      <c r="O869" s="94">
        <f t="shared" si="108"/>
        <v>384000</v>
      </c>
      <c r="P869" s="365"/>
      <c r="Q869" s="362">
        <f t="shared" si="100"/>
        <v>1111021</v>
      </c>
      <c r="R869" s="38">
        <f t="shared" si="98"/>
        <v>36450</v>
      </c>
      <c r="S869" s="94">
        <f t="shared" si="99"/>
        <v>1147471</v>
      </c>
    </row>
    <row r="870" spans="2:19" x14ac:dyDescent="0.2">
      <c r="B870" s="83">
        <f t="shared" si="109"/>
        <v>278</v>
      </c>
      <c r="C870" s="7"/>
      <c r="D870" s="7"/>
      <c r="E870" s="7"/>
      <c r="F870" s="25" t="s">
        <v>130</v>
      </c>
      <c r="G870" s="7">
        <v>610</v>
      </c>
      <c r="H870" s="7" t="s">
        <v>142</v>
      </c>
      <c r="I870" s="23">
        <f>190070+14187+17287-18187+1950</f>
        <v>205307</v>
      </c>
      <c r="J870" s="23">
        <v>5825</v>
      </c>
      <c r="K870" s="86">
        <f t="shared" si="107"/>
        <v>211132</v>
      </c>
      <c r="L870" s="355"/>
      <c r="M870" s="344"/>
      <c r="N870" s="246"/>
      <c r="O870" s="86">
        <f t="shared" si="108"/>
        <v>0</v>
      </c>
      <c r="P870" s="355"/>
      <c r="Q870" s="344">
        <f t="shared" si="100"/>
        <v>205307</v>
      </c>
      <c r="R870" s="23">
        <f t="shared" si="98"/>
        <v>5825</v>
      </c>
      <c r="S870" s="86">
        <f t="shared" si="99"/>
        <v>211132</v>
      </c>
    </row>
    <row r="871" spans="2:19" x14ac:dyDescent="0.2">
      <c r="B871" s="83">
        <f t="shared" si="109"/>
        <v>279</v>
      </c>
      <c r="C871" s="7"/>
      <c r="D871" s="7"/>
      <c r="E871" s="7"/>
      <c r="F871" s="25" t="s">
        <v>130</v>
      </c>
      <c r="G871" s="7">
        <v>620</v>
      </c>
      <c r="H871" s="7" t="s">
        <v>135</v>
      </c>
      <c r="I871" s="23">
        <f>67464+4958+6042-6356+700</f>
        <v>72808</v>
      </c>
      <c r="J871" s="23">
        <v>2132</v>
      </c>
      <c r="K871" s="86">
        <f t="shared" si="107"/>
        <v>74940</v>
      </c>
      <c r="L871" s="355"/>
      <c r="M871" s="344"/>
      <c r="N871" s="246"/>
      <c r="O871" s="86">
        <f t="shared" si="108"/>
        <v>0</v>
      </c>
      <c r="P871" s="355"/>
      <c r="Q871" s="344">
        <f t="shared" si="100"/>
        <v>72808</v>
      </c>
      <c r="R871" s="23">
        <f t="shared" si="98"/>
        <v>2132</v>
      </c>
      <c r="S871" s="86">
        <f t="shared" si="99"/>
        <v>74940</v>
      </c>
    </row>
    <row r="872" spans="2:19" x14ac:dyDescent="0.2">
      <c r="B872" s="83">
        <f t="shared" si="109"/>
        <v>280</v>
      </c>
      <c r="C872" s="7"/>
      <c r="D872" s="7"/>
      <c r="E872" s="7"/>
      <c r="F872" s="25" t="s">
        <v>130</v>
      </c>
      <c r="G872" s="7">
        <v>630</v>
      </c>
      <c r="H872" s="7" t="s">
        <v>132</v>
      </c>
      <c r="I872" s="23">
        <f>SUM(I873:I879)</f>
        <v>47875</v>
      </c>
      <c r="J872" s="23">
        <f>SUM(J873:J879)</f>
        <v>2609</v>
      </c>
      <c r="K872" s="86">
        <f t="shared" si="107"/>
        <v>50484</v>
      </c>
      <c r="L872" s="355"/>
      <c r="M872" s="344"/>
      <c r="N872" s="246"/>
      <c r="O872" s="86">
        <f t="shared" si="108"/>
        <v>0</v>
      </c>
      <c r="P872" s="355"/>
      <c r="Q872" s="344">
        <f t="shared" si="100"/>
        <v>47875</v>
      </c>
      <c r="R872" s="23">
        <f t="shared" si="98"/>
        <v>2609</v>
      </c>
      <c r="S872" s="86">
        <f t="shared" si="99"/>
        <v>50484</v>
      </c>
    </row>
    <row r="873" spans="2:19" x14ac:dyDescent="0.2">
      <c r="B873" s="83">
        <f t="shared" si="109"/>
        <v>281</v>
      </c>
      <c r="C873" s="3"/>
      <c r="D873" s="3"/>
      <c r="E873" s="3"/>
      <c r="F873" s="26" t="s">
        <v>130</v>
      </c>
      <c r="G873" s="3">
        <v>631</v>
      </c>
      <c r="H873" s="3" t="s">
        <v>138</v>
      </c>
      <c r="I873" s="19">
        <v>101</v>
      </c>
      <c r="J873" s="19">
        <v>399</v>
      </c>
      <c r="K873" s="87">
        <f t="shared" si="107"/>
        <v>500</v>
      </c>
      <c r="L873" s="356"/>
      <c r="M873" s="345"/>
      <c r="N873" s="208"/>
      <c r="O873" s="87">
        <f t="shared" si="108"/>
        <v>0</v>
      </c>
      <c r="P873" s="356"/>
      <c r="Q873" s="345">
        <f t="shared" si="100"/>
        <v>101</v>
      </c>
      <c r="R873" s="19">
        <f t="shared" si="98"/>
        <v>399</v>
      </c>
      <c r="S873" s="87">
        <f t="shared" si="99"/>
        <v>500</v>
      </c>
    </row>
    <row r="874" spans="2:19" x14ac:dyDescent="0.2">
      <c r="B874" s="83">
        <f t="shared" si="109"/>
        <v>282</v>
      </c>
      <c r="C874" s="3"/>
      <c r="D874" s="3"/>
      <c r="E874" s="3"/>
      <c r="F874" s="26" t="s">
        <v>130</v>
      </c>
      <c r="G874" s="3">
        <v>632</v>
      </c>
      <c r="H874" s="3" t="s">
        <v>145</v>
      </c>
      <c r="I874" s="19">
        <f>18920+280</f>
        <v>19200</v>
      </c>
      <c r="J874" s="19">
        <v>-3000</v>
      </c>
      <c r="K874" s="87">
        <f t="shared" si="107"/>
        <v>16200</v>
      </c>
      <c r="L874" s="356"/>
      <c r="M874" s="345"/>
      <c r="N874" s="208"/>
      <c r="O874" s="87">
        <f t="shared" si="108"/>
        <v>0</v>
      </c>
      <c r="P874" s="356"/>
      <c r="Q874" s="345">
        <f t="shared" si="100"/>
        <v>19200</v>
      </c>
      <c r="R874" s="19">
        <f t="shared" si="98"/>
        <v>-3000</v>
      </c>
      <c r="S874" s="87">
        <f t="shared" si="99"/>
        <v>16200</v>
      </c>
    </row>
    <row r="875" spans="2:19" x14ac:dyDescent="0.2">
      <c r="B875" s="83">
        <f t="shared" si="109"/>
        <v>283</v>
      </c>
      <c r="C875" s="3"/>
      <c r="D875" s="3"/>
      <c r="E875" s="3"/>
      <c r="F875" s="26" t="s">
        <v>130</v>
      </c>
      <c r="G875" s="3">
        <v>633</v>
      </c>
      <c r="H875" s="3" t="s">
        <v>136</v>
      </c>
      <c r="I875" s="19">
        <f>5100+400</f>
        <v>5500</v>
      </c>
      <c r="J875" s="19">
        <v>4129</v>
      </c>
      <c r="K875" s="87">
        <f t="shared" si="107"/>
        <v>9629</v>
      </c>
      <c r="L875" s="356"/>
      <c r="M875" s="345"/>
      <c r="N875" s="208"/>
      <c r="O875" s="87">
        <f t="shared" si="108"/>
        <v>0</v>
      </c>
      <c r="P875" s="356"/>
      <c r="Q875" s="345">
        <f t="shared" si="100"/>
        <v>5500</v>
      </c>
      <c r="R875" s="19">
        <f t="shared" si="98"/>
        <v>4129</v>
      </c>
      <c r="S875" s="87">
        <f t="shared" si="99"/>
        <v>9629</v>
      </c>
    </row>
    <row r="876" spans="2:19" x14ac:dyDescent="0.2">
      <c r="B876" s="83">
        <f t="shared" si="109"/>
        <v>284</v>
      </c>
      <c r="C876" s="3"/>
      <c r="D876" s="3"/>
      <c r="E876" s="3"/>
      <c r="F876" s="26" t="s">
        <v>130</v>
      </c>
      <c r="G876" s="3">
        <v>634</v>
      </c>
      <c r="H876" s="3" t="s">
        <v>143</v>
      </c>
      <c r="I876" s="19">
        <v>936</v>
      </c>
      <c r="J876" s="19">
        <v>80</v>
      </c>
      <c r="K876" s="87">
        <f t="shared" si="107"/>
        <v>1016</v>
      </c>
      <c r="L876" s="356"/>
      <c r="M876" s="345"/>
      <c r="N876" s="208"/>
      <c r="O876" s="87">
        <f t="shared" si="108"/>
        <v>0</v>
      </c>
      <c r="P876" s="356"/>
      <c r="Q876" s="345">
        <f t="shared" si="100"/>
        <v>936</v>
      </c>
      <c r="R876" s="19">
        <f t="shared" ref="R876:R957" si="110">J876+N876</f>
        <v>80</v>
      </c>
      <c r="S876" s="87">
        <f t="shared" ref="S876:S957" si="111">K876+O876</f>
        <v>1016</v>
      </c>
    </row>
    <row r="877" spans="2:19" x14ac:dyDescent="0.2">
      <c r="B877" s="83">
        <f t="shared" si="109"/>
        <v>285</v>
      </c>
      <c r="C877" s="3"/>
      <c r="D877" s="3"/>
      <c r="E877" s="3"/>
      <c r="F877" s="26" t="s">
        <v>130</v>
      </c>
      <c r="G877" s="3">
        <v>635</v>
      </c>
      <c r="H877" s="3" t="s">
        <v>144</v>
      </c>
      <c r="I877" s="19">
        <v>1300</v>
      </c>
      <c r="J877" s="19">
        <v>743</v>
      </c>
      <c r="K877" s="87">
        <f t="shared" si="107"/>
        <v>2043</v>
      </c>
      <c r="L877" s="356"/>
      <c r="M877" s="345"/>
      <c r="N877" s="208"/>
      <c r="O877" s="87">
        <f t="shared" si="108"/>
        <v>0</v>
      </c>
      <c r="P877" s="356"/>
      <c r="Q877" s="345">
        <f t="shared" si="100"/>
        <v>1300</v>
      </c>
      <c r="R877" s="19">
        <f t="shared" si="110"/>
        <v>743</v>
      </c>
      <c r="S877" s="87">
        <f t="shared" si="111"/>
        <v>2043</v>
      </c>
    </row>
    <row r="878" spans="2:19" x14ac:dyDescent="0.2">
      <c r="B878" s="83">
        <f t="shared" si="109"/>
        <v>286</v>
      </c>
      <c r="C878" s="3"/>
      <c r="D878" s="3"/>
      <c r="E878" s="3"/>
      <c r="F878" s="26" t="s">
        <v>130</v>
      </c>
      <c r="G878" s="3">
        <v>636</v>
      </c>
      <c r="H878" s="3" t="s">
        <v>137</v>
      </c>
      <c r="I878" s="19">
        <v>0</v>
      </c>
      <c r="J878" s="19">
        <v>139</v>
      </c>
      <c r="K878" s="87">
        <f t="shared" si="107"/>
        <v>139</v>
      </c>
      <c r="L878" s="356"/>
      <c r="M878" s="345"/>
      <c r="N878" s="208"/>
      <c r="O878" s="87"/>
      <c r="P878" s="356"/>
      <c r="Q878" s="345">
        <f t="shared" si="100"/>
        <v>0</v>
      </c>
      <c r="R878" s="19">
        <f t="shared" si="110"/>
        <v>139</v>
      </c>
      <c r="S878" s="87">
        <f t="shared" si="111"/>
        <v>139</v>
      </c>
    </row>
    <row r="879" spans="2:19" x14ac:dyDescent="0.2">
      <c r="B879" s="83">
        <f t="shared" si="109"/>
        <v>287</v>
      </c>
      <c r="C879" s="3"/>
      <c r="D879" s="3"/>
      <c r="E879" s="3"/>
      <c r="F879" s="26" t="s">
        <v>130</v>
      </c>
      <c r="G879" s="3">
        <v>637</v>
      </c>
      <c r="H879" s="3" t="s">
        <v>133</v>
      </c>
      <c r="I879" s="19">
        <f>19509+1329</f>
        <v>20838</v>
      </c>
      <c r="J879" s="19">
        <v>119</v>
      </c>
      <c r="K879" s="87">
        <f t="shared" si="107"/>
        <v>20957</v>
      </c>
      <c r="L879" s="356"/>
      <c r="M879" s="345"/>
      <c r="N879" s="208"/>
      <c r="O879" s="87">
        <f t="shared" si="108"/>
        <v>0</v>
      </c>
      <c r="P879" s="356"/>
      <c r="Q879" s="345">
        <f t="shared" si="100"/>
        <v>20838</v>
      </c>
      <c r="R879" s="19">
        <f t="shared" si="110"/>
        <v>119</v>
      </c>
      <c r="S879" s="87">
        <f t="shared" si="111"/>
        <v>20957</v>
      </c>
    </row>
    <row r="880" spans="2:19" x14ac:dyDescent="0.2">
      <c r="B880" s="83">
        <f t="shared" si="109"/>
        <v>288</v>
      </c>
      <c r="C880" s="7"/>
      <c r="D880" s="7"/>
      <c r="E880" s="7"/>
      <c r="F880" s="25" t="s">
        <v>130</v>
      </c>
      <c r="G880" s="7">
        <v>640</v>
      </c>
      <c r="H880" s="7" t="s">
        <v>140</v>
      </c>
      <c r="I880" s="23">
        <f>3350+150</f>
        <v>3500</v>
      </c>
      <c r="J880" s="23">
        <v>-950</v>
      </c>
      <c r="K880" s="86">
        <f t="shared" si="107"/>
        <v>2550</v>
      </c>
      <c r="L880" s="355"/>
      <c r="M880" s="344"/>
      <c r="N880" s="246"/>
      <c r="O880" s="86">
        <f t="shared" si="108"/>
        <v>0</v>
      </c>
      <c r="P880" s="355"/>
      <c r="Q880" s="344">
        <f t="shared" ref="Q880:Q956" si="112">I880+M880</f>
        <v>3500</v>
      </c>
      <c r="R880" s="23">
        <f t="shared" si="110"/>
        <v>-950</v>
      </c>
      <c r="S880" s="86">
        <f t="shared" si="111"/>
        <v>2550</v>
      </c>
    </row>
    <row r="881" spans="2:19" x14ac:dyDescent="0.2">
      <c r="B881" s="83">
        <f t="shared" si="109"/>
        <v>289</v>
      </c>
      <c r="C881" s="7"/>
      <c r="D881" s="7"/>
      <c r="E881" s="7"/>
      <c r="F881" s="25" t="s">
        <v>117</v>
      </c>
      <c r="G881" s="7">
        <v>610</v>
      </c>
      <c r="H881" s="7" t="s">
        <v>142</v>
      </c>
      <c r="I881" s="23">
        <f>190070+14188+17338+18187</f>
        <v>239783</v>
      </c>
      <c r="J881" s="23">
        <v>16855</v>
      </c>
      <c r="K881" s="86">
        <f t="shared" si="107"/>
        <v>256638</v>
      </c>
      <c r="L881" s="355"/>
      <c r="M881" s="344"/>
      <c r="N881" s="246"/>
      <c r="O881" s="86">
        <f t="shared" si="108"/>
        <v>0</v>
      </c>
      <c r="P881" s="355"/>
      <c r="Q881" s="344">
        <f t="shared" si="112"/>
        <v>239783</v>
      </c>
      <c r="R881" s="23">
        <f t="shared" si="110"/>
        <v>16855</v>
      </c>
      <c r="S881" s="86">
        <f t="shared" si="111"/>
        <v>256638</v>
      </c>
    </row>
    <row r="882" spans="2:19" x14ac:dyDescent="0.2">
      <c r="B882" s="83">
        <f t="shared" si="109"/>
        <v>290</v>
      </c>
      <c r="C882" s="7"/>
      <c r="D882" s="7"/>
      <c r="E882" s="7"/>
      <c r="F882" s="25" t="s">
        <v>117</v>
      </c>
      <c r="G882" s="7">
        <v>620</v>
      </c>
      <c r="H882" s="7" t="s">
        <v>135</v>
      </c>
      <c r="I882" s="23">
        <f>67466+4959+6052+6356</f>
        <v>84833</v>
      </c>
      <c r="J882" s="23">
        <v>5990</v>
      </c>
      <c r="K882" s="86">
        <f t="shared" si="107"/>
        <v>90823</v>
      </c>
      <c r="L882" s="355"/>
      <c r="M882" s="344"/>
      <c r="N882" s="246"/>
      <c r="O882" s="86">
        <f t="shared" si="108"/>
        <v>0</v>
      </c>
      <c r="P882" s="355"/>
      <c r="Q882" s="344">
        <f t="shared" si="112"/>
        <v>84833</v>
      </c>
      <c r="R882" s="23">
        <f t="shared" si="110"/>
        <v>5990</v>
      </c>
      <c r="S882" s="86">
        <f t="shared" si="111"/>
        <v>90823</v>
      </c>
    </row>
    <row r="883" spans="2:19" x14ac:dyDescent="0.2">
      <c r="B883" s="83">
        <f t="shared" si="109"/>
        <v>291</v>
      </c>
      <c r="C883" s="7"/>
      <c r="D883" s="7"/>
      <c r="E883" s="7"/>
      <c r="F883" s="25" t="s">
        <v>117</v>
      </c>
      <c r="G883" s="7">
        <v>630</v>
      </c>
      <c r="H883" s="7" t="s">
        <v>132</v>
      </c>
      <c r="I883" s="23">
        <f>SUM(I884:I889)</f>
        <v>60295</v>
      </c>
      <c r="J883" s="23">
        <f>SUM(J884:J889)</f>
        <v>4254</v>
      </c>
      <c r="K883" s="86">
        <f t="shared" si="107"/>
        <v>64549</v>
      </c>
      <c r="L883" s="355"/>
      <c r="M883" s="344"/>
      <c r="N883" s="246"/>
      <c r="O883" s="86">
        <f t="shared" si="108"/>
        <v>0</v>
      </c>
      <c r="P883" s="355"/>
      <c r="Q883" s="344">
        <f t="shared" si="112"/>
        <v>60295</v>
      </c>
      <c r="R883" s="23">
        <f t="shared" si="110"/>
        <v>4254</v>
      </c>
      <c r="S883" s="86">
        <f t="shared" si="111"/>
        <v>64549</v>
      </c>
    </row>
    <row r="884" spans="2:19" x14ac:dyDescent="0.2">
      <c r="B884" s="83">
        <f t="shared" si="109"/>
        <v>292</v>
      </c>
      <c r="C884" s="3"/>
      <c r="D884" s="3"/>
      <c r="E884" s="3"/>
      <c r="F884" s="26" t="s">
        <v>117</v>
      </c>
      <c r="G884" s="3">
        <v>631</v>
      </c>
      <c r="H884" s="3" t="s">
        <v>138</v>
      </c>
      <c r="I884" s="19">
        <v>101</v>
      </c>
      <c r="J884" s="19">
        <v>399</v>
      </c>
      <c r="K884" s="87">
        <f t="shared" si="107"/>
        <v>500</v>
      </c>
      <c r="L884" s="356"/>
      <c r="M884" s="345"/>
      <c r="N884" s="208"/>
      <c r="O884" s="87">
        <f t="shared" si="108"/>
        <v>0</v>
      </c>
      <c r="P884" s="356"/>
      <c r="Q884" s="345">
        <f t="shared" si="112"/>
        <v>101</v>
      </c>
      <c r="R884" s="19">
        <f t="shared" si="110"/>
        <v>399</v>
      </c>
      <c r="S884" s="87">
        <f t="shared" si="111"/>
        <v>500</v>
      </c>
    </row>
    <row r="885" spans="2:19" x14ac:dyDescent="0.2">
      <c r="B885" s="83">
        <f t="shared" si="109"/>
        <v>293</v>
      </c>
      <c r="C885" s="3"/>
      <c r="D885" s="3"/>
      <c r="E885" s="3"/>
      <c r="F885" s="26" t="s">
        <v>117</v>
      </c>
      <c r="G885" s="3">
        <v>632</v>
      </c>
      <c r="H885" s="3" t="s">
        <v>145</v>
      </c>
      <c r="I885" s="19">
        <f>21920+280</f>
        <v>22200</v>
      </c>
      <c r="J885" s="19">
        <v>-3000</v>
      </c>
      <c r="K885" s="87">
        <f t="shared" si="107"/>
        <v>19200</v>
      </c>
      <c r="L885" s="356"/>
      <c r="M885" s="345"/>
      <c r="N885" s="208"/>
      <c r="O885" s="87">
        <f t="shared" si="108"/>
        <v>0</v>
      </c>
      <c r="P885" s="356"/>
      <c r="Q885" s="345">
        <f t="shared" si="112"/>
        <v>22200</v>
      </c>
      <c r="R885" s="19">
        <f t="shared" si="110"/>
        <v>-3000</v>
      </c>
      <c r="S885" s="87">
        <f t="shared" si="111"/>
        <v>19200</v>
      </c>
    </row>
    <row r="886" spans="2:19" x14ac:dyDescent="0.2">
      <c r="B886" s="83">
        <f t="shared" si="109"/>
        <v>294</v>
      </c>
      <c r="C886" s="3"/>
      <c r="D886" s="3"/>
      <c r="E886" s="3"/>
      <c r="F886" s="26" t="s">
        <v>117</v>
      </c>
      <c r="G886" s="3">
        <v>633</v>
      </c>
      <c r="H886" s="3" t="s">
        <v>136</v>
      </c>
      <c r="I886" s="19">
        <f>10540+400</f>
        <v>10940</v>
      </c>
      <c r="J886" s="19">
        <v>4500</v>
      </c>
      <c r="K886" s="87">
        <f t="shared" si="107"/>
        <v>15440</v>
      </c>
      <c r="L886" s="356"/>
      <c r="M886" s="345"/>
      <c r="N886" s="208"/>
      <c r="O886" s="87">
        <f t="shared" si="108"/>
        <v>0</v>
      </c>
      <c r="P886" s="356"/>
      <c r="Q886" s="345">
        <f t="shared" si="112"/>
        <v>10940</v>
      </c>
      <c r="R886" s="19">
        <f t="shared" si="110"/>
        <v>4500</v>
      </c>
      <c r="S886" s="87">
        <f t="shared" si="111"/>
        <v>15440</v>
      </c>
    </row>
    <row r="887" spans="2:19" x14ac:dyDescent="0.2">
      <c r="B887" s="83">
        <f t="shared" si="109"/>
        <v>295</v>
      </c>
      <c r="C887" s="3"/>
      <c r="D887" s="3"/>
      <c r="E887" s="3"/>
      <c r="F887" s="26" t="s">
        <v>117</v>
      </c>
      <c r="G887" s="3">
        <v>635</v>
      </c>
      <c r="H887" s="3" t="s">
        <v>144</v>
      </c>
      <c r="I887" s="19">
        <v>1300</v>
      </c>
      <c r="J887" s="19">
        <v>743</v>
      </c>
      <c r="K887" s="87">
        <f t="shared" si="107"/>
        <v>2043</v>
      </c>
      <c r="L887" s="356"/>
      <c r="M887" s="345"/>
      <c r="N887" s="208"/>
      <c r="O887" s="87">
        <f t="shared" si="108"/>
        <v>0</v>
      </c>
      <c r="P887" s="356"/>
      <c r="Q887" s="345">
        <f t="shared" si="112"/>
        <v>1300</v>
      </c>
      <c r="R887" s="19">
        <f t="shared" si="110"/>
        <v>743</v>
      </c>
      <c r="S887" s="87">
        <f t="shared" si="111"/>
        <v>2043</v>
      </c>
    </row>
    <row r="888" spans="2:19" x14ac:dyDescent="0.2">
      <c r="B888" s="83">
        <f t="shared" si="109"/>
        <v>296</v>
      </c>
      <c r="C888" s="3"/>
      <c r="D888" s="3"/>
      <c r="E888" s="3"/>
      <c r="F888" s="26" t="s">
        <v>117</v>
      </c>
      <c r="G888" s="3">
        <v>636</v>
      </c>
      <c r="H888" s="3" t="s">
        <v>137</v>
      </c>
      <c r="I888" s="19">
        <v>0</v>
      </c>
      <c r="J888" s="19">
        <v>139</v>
      </c>
      <c r="K888" s="87">
        <f t="shared" si="107"/>
        <v>139</v>
      </c>
      <c r="L888" s="356"/>
      <c r="M888" s="345"/>
      <c r="N888" s="208"/>
      <c r="O888" s="87"/>
      <c r="P888" s="356"/>
      <c r="Q888" s="345">
        <f t="shared" si="112"/>
        <v>0</v>
      </c>
      <c r="R888" s="19">
        <f t="shared" si="110"/>
        <v>139</v>
      </c>
      <c r="S888" s="87">
        <f t="shared" si="111"/>
        <v>139</v>
      </c>
    </row>
    <row r="889" spans="2:19" x14ac:dyDescent="0.2">
      <c r="B889" s="83">
        <f t="shared" si="109"/>
        <v>297</v>
      </c>
      <c r="C889" s="3"/>
      <c r="D889" s="3"/>
      <c r="E889" s="3"/>
      <c r="F889" s="26" t="s">
        <v>117</v>
      </c>
      <c r="G889" s="3">
        <v>637</v>
      </c>
      <c r="H889" s="3" t="s">
        <v>133</v>
      </c>
      <c r="I889" s="19">
        <f>21259+1329+166+3000</f>
        <v>25754</v>
      </c>
      <c r="J889" s="19">
        <v>1473</v>
      </c>
      <c r="K889" s="87">
        <f t="shared" si="107"/>
        <v>27227</v>
      </c>
      <c r="L889" s="356"/>
      <c r="M889" s="345"/>
      <c r="N889" s="208"/>
      <c r="O889" s="87">
        <f t="shared" si="108"/>
        <v>0</v>
      </c>
      <c r="P889" s="356"/>
      <c r="Q889" s="345">
        <f t="shared" si="112"/>
        <v>25754</v>
      </c>
      <c r="R889" s="19">
        <f t="shared" si="110"/>
        <v>1473</v>
      </c>
      <c r="S889" s="87">
        <f t="shared" si="111"/>
        <v>27227</v>
      </c>
    </row>
    <row r="890" spans="2:19" x14ac:dyDescent="0.2">
      <c r="B890" s="83">
        <f t="shared" si="109"/>
        <v>298</v>
      </c>
      <c r="C890" s="7"/>
      <c r="D890" s="7"/>
      <c r="E890" s="7"/>
      <c r="F890" s="25" t="s">
        <v>117</v>
      </c>
      <c r="G890" s="7">
        <v>640</v>
      </c>
      <c r="H890" s="7" t="s">
        <v>140</v>
      </c>
      <c r="I890" s="23">
        <f>3350+150+4100</f>
        <v>7600</v>
      </c>
      <c r="J890" s="23">
        <v>-950</v>
      </c>
      <c r="K890" s="86">
        <f t="shared" si="107"/>
        <v>6650</v>
      </c>
      <c r="L890" s="355"/>
      <c r="M890" s="344"/>
      <c r="N890" s="246"/>
      <c r="O890" s="86">
        <f t="shared" si="108"/>
        <v>0</v>
      </c>
      <c r="P890" s="355"/>
      <c r="Q890" s="344">
        <f t="shared" si="112"/>
        <v>7600</v>
      </c>
      <c r="R890" s="23">
        <f t="shared" si="110"/>
        <v>-950</v>
      </c>
      <c r="S890" s="86">
        <f t="shared" si="111"/>
        <v>6650</v>
      </c>
    </row>
    <row r="891" spans="2:19" x14ac:dyDescent="0.2">
      <c r="B891" s="83">
        <f t="shared" si="109"/>
        <v>299</v>
      </c>
      <c r="C891" s="7"/>
      <c r="D891" s="7"/>
      <c r="E891" s="7"/>
      <c r="F891" s="25"/>
      <c r="G891" s="7">
        <v>630</v>
      </c>
      <c r="H891" s="7" t="s">
        <v>583</v>
      </c>
      <c r="I891" s="23">
        <v>5020</v>
      </c>
      <c r="J891" s="23"/>
      <c r="K891" s="86">
        <f t="shared" si="107"/>
        <v>5020</v>
      </c>
      <c r="L891" s="355"/>
      <c r="M891" s="344"/>
      <c r="N891" s="246"/>
      <c r="O891" s="86">
        <f t="shared" si="108"/>
        <v>0</v>
      </c>
      <c r="P891" s="355"/>
      <c r="Q891" s="344">
        <f t="shared" si="112"/>
        <v>5020</v>
      </c>
      <c r="R891" s="23">
        <f t="shared" si="110"/>
        <v>0</v>
      </c>
      <c r="S891" s="86">
        <f t="shared" si="111"/>
        <v>5020</v>
      </c>
    </row>
    <row r="892" spans="2:19" x14ac:dyDescent="0.2">
      <c r="B892" s="83">
        <f t="shared" si="109"/>
        <v>300</v>
      </c>
      <c r="C892" s="7"/>
      <c r="D892" s="7"/>
      <c r="E892" s="7"/>
      <c r="F892" s="25" t="s">
        <v>83</v>
      </c>
      <c r="G892" s="7">
        <v>630</v>
      </c>
      <c r="H892" s="7" t="s">
        <v>657</v>
      </c>
      <c r="I892" s="23">
        <v>0</v>
      </c>
      <c r="J892" s="23">
        <v>685</v>
      </c>
      <c r="K892" s="86">
        <f t="shared" si="107"/>
        <v>685</v>
      </c>
      <c r="L892" s="355"/>
      <c r="M892" s="344"/>
      <c r="N892" s="246"/>
      <c r="O892" s="86"/>
      <c r="P892" s="355"/>
      <c r="Q892" s="344">
        <f t="shared" si="112"/>
        <v>0</v>
      </c>
      <c r="R892" s="23">
        <f t="shared" ref="R892" si="113">J892+N892</f>
        <v>685</v>
      </c>
      <c r="S892" s="86">
        <f t="shared" ref="S892" si="114">K892+O892</f>
        <v>685</v>
      </c>
    </row>
    <row r="893" spans="2:19" x14ac:dyDescent="0.2">
      <c r="B893" s="83">
        <f t="shared" si="109"/>
        <v>301</v>
      </c>
      <c r="C893" s="7"/>
      <c r="D893" s="7"/>
      <c r="E893" s="7"/>
      <c r="F893" s="25" t="s">
        <v>117</v>
      </c>
      <c r="G893" s="7">
        <v>710</v>
      </c>
      <c r="H893" s="7" t="s">
        <v>187</v>
      </c>
      <c r="I893" s="23"/>
      <c r="J893" s="23"/>
      <c r="K893" s="86">
        <f t="shared" si="107"/>
        <v>0</v>
      </c>
      <c r="L893" s="355"/>
      <c r="M893" s="344">
        <f>M894</f>
        <v>384000</v>
      </c>
      <c r="N893" s="246"/>
      <c r="O893" s="86">
        <f t="shared" si="108"/>
        <v>384000</v>
      </c>
      <c r="P893" s="355"/>
      <c r="Q893" s="344">
        <f t="shared" si="112"/>
        <v>384000</v>
      </c>
      <c r="R893" s="23">
        <f t="shared" si="110"/>
        <v>0</v>
      </c>
      <c r="S893" s="86">
        <f t="shared" si="111"/>
        <v>384000</v>
      </c>
    </row>
    <row r="894" spans="2:19" x14ac:dyDescent="0.2">
      <c r="B894" s="83">
        <f t="shared" si="109"/>
        <v>302</v>
      </c>
      <c r="C894" s="3"/>
      <c r="D894" s="3"/>
      <c r="E894" s="3"/>
      <c r="F894" s="26" t="s">
        <v>117</v>
      </c>
      <c r="G894" s="3">
        <v>717</v>
      </c>
      <c r="H894" s="3" t="s">
        <v>197</v>
      </c>
      <c r="I894" s="19"/>
      <c r="J894" s="19"/>
      <c r="K894" s="87">
        <f t="shared" si="107"/>
        <v>0</v>
      </c>
      <c r="L894" s="356"/>
      <c r="M894" s="367">
        <f>SUM(M895:M896)</f>
        <v>384000</v>
      </c>
      <c r="N894" s="251"/>
      <c r="O894" s="175">
        <f t="shared" si="108"/>
        <v>384000</v>
      </c>
      <c r="P894" s="356"/>
      <c r="Q894" s="345">
        <f t="shared" si="112"/>
        <v>384000</v>
      </c>
      <c r="R894" s="19">
        <f t="shared" si="110"/>
        <v>0</v>
      </c>
      <c r="S894" s="87">
        <f t="shared" si="111"/>
        <v>384000</v>
      </c>
    </row>
    <row r="895" spans="2:19" x14ac:dyDescent="0.2">
      <c r="B895" s="83">
        <f t="shared" si="109"/>
        <v>303</v>
      </c>
      <c r="C895" s="4"/>
      <c r="D895" s="4"/>
      <c r="E895" s="4"/>
      <c r="F895" s="27"/>
      <c r="G895" s="4"/>
      <c r="H895" s="4" t="s">
        <v>483</v>
      </c>
      <c r="I895" s="21"/>
      <c r="J895" s="21"/>
      <c r="K895" s="88">
        <f t="shared" si="107"/>
        <v>0</v>
      </c>
      <c r="L895" s="357"/>
      <c r="M895" s="388">
        <f>370000+9000</f>
        <v>379000</v>
      </c>
      <c r="N895" s="259"/>
      <c r="O895" s="389">
        <f t="shared" si="108"/>
        <v>379000</v>
      </c>
      <c r="P895" s="357"/>
      <c r="Q895" s="346">
        <f t="shared" si="112"/>
        <v>379000</v>
      </c>
      <c r="R895" s="21">
        <f t="shared" si="110"/>
        <v>0</v>
      </c>
      <c r="S895" s="88">
        <f t="shared" si="111"/>
        <v>379000</v>
      </c>
    </row>
    <row r="896" spans="2:19" x14ac:dyDescent="0.2">
      <c r="B896" s="83">
        <f t="shared" si="109"/>
        <v>304</v>
      </c>
      <c r="C896" s="4"/>
      <c r="D896" s="4"/>
      <c r="E896" s="4"/>
      <c r="F896" s="27"/>
      <c r="G896" s="4"/>
      <c r="H896" s="4" t="s">
        <v>600</v>
      </c>
      <c r="I896" s="21"/>
      <c r="J896" s="21"/>
      <c r="K896" s="88">
        <f t="shared" si="107"/>
        <v>0</v>
      </c>
      <c r="L896" s="357"/>
      <c r="M896" s="388">
        <v>5000</v>
      </c>
      <c r="N896" s="259"/>
      <c r="O896" s="389">
        <f t="shared" si="108"/>
        <v>5000</v>
      </c>
      <c r="P896" s="357"/>
      <c r="Q896" s="346">
        <f t="shared" si="112"/>
        <v>5000</v>
      </c>
      <c r="R896" s="21">
        <f t="shared" si="110"/>
        <v>0</v>
      </c>
      <c r="S896" s="88">
        <f t="shared" si="111"/>
        <v>5000</v>
      </c>
    </row>
    <row r="897" spans="2:19" ht="15" x14ac:dyDescent="0.25">
      <c r="B897" s="83">
        <f t="shared" si="109"/>
        <v>305</v>
      </c>
      <c r="C897" s="10"/>
      <c r="D897" s="10"/>
      <c r="E897" s="10">
        <v>10</v>
      </c>
      <c r="F897" s="28"/>
      <c r="G897" s="10"/>
      <c r="H897" s="10" t="s">
        <v>2</v>
      </c>
      <c r="I897" s="38">
        <f>I898+I899+I900+I908+I909+I910+I911+I919+I920</f>
        <v>538747</v>
      </c>
      <c r="J897" s="38">
        <f>J898+J899+J900+J908+J909+J910+J911+J919+J920+J921</f>
        <v>27714</v>
      </c>
      <c r="K897" s="94">
        <f t="shared" si="107"/>
        <v>566461</v>
      </c>
      <c r="L897" s="365"/>
      <c r="M897" s="362">
        <f>M922</f>
        <v>51950</v>
      </c>
      <c r="N897" s="253"/>
      <c r="O897" s="94">
        <f t="shared" si="108"/>
        <v>51950</v>
      </c>
      <c r="P897" s="365"/>
      <c r="Q897" s="362">
        <f t="shared" si="112"/>
        <v>590697</v>
      </c>
      <c r="R897" s="38">
        <f t="shared" si="110"/>
        <v>27714</v>
      </c>
      <c r="S897" s="94">
        <f t="shared" si="111"/>
        <v>618411</v>
      </c>
    </row>
    <row r="898" spans="2:19" x14ac:dyDescent="0.2">
      <c r="B898" s="83">
        <f t="shared" si="109"/>
        <v>306</v>
      </c>
      <c r="C898" s="7"/>
      <c r="D898" s="7"/>
      <c r="E898" s="7"/>
      <c r="F898" s="25" t="s">
        <v>130</v>
      </c>
      <c r="G898" s="7">
        <v>610</v>
      </c>
      <c r="H898" s="7" t="s">
        <v>142</v>
      </c>
      <c r="I898" s="23">
        <f>126145+11681+4810+6017+998-1550</f>
        <v>148101</v>
      </c>
      <c r="J898" s="23">
        <v>20560</v>
      </c>
      <c r="K898" s="86">
        <f t="shared" si="107"/>
        <v>168661</v>
      </c>
      <c r="L898" s="355"/>
      <c r="M898" s="344"/>
      <c r="N898" s="246"/>
      <c r="O898" s="86">
        <f t="shared" si="108"/>
        <v>0</v>
      </c>
      <c r="P898" s="355"/>
      <c r="Q898" s="344">
        <f t="shared" si="112"/>
        <v>148101</v>
      </c>
      <c r="R898" s="23">
        <f t="shared" si="110"/>
        <v>20560</v>
      </c>
      <c r="S898" s="86">
        <f t="shared" si="111"/>
        <v>168661</v>
      </c>
    </row>
    <row r="899" spans="2:19" x14ac:dyDescent="0.2">
      <c r="B899" s="83">
        <f t="shared" si="109"/>
        <v>307</v>
      </c>
      <c r="C899" s="7"/>
      <c r="D899" s="7"/>
      <c r="E899" s="7"/>
      <c r="F899" s="25" t="s">
        <v>130</v>
      </c>
      <c r="G899" s="7">
        <v>620</v>
      </c>
      <c r="H899" s="7" t="s">
        <v>135</v>
      </c>
      <c r="I899" s="23">
        <f>44200+4083+1690+2095+349-800</f>
        <v>51617</v>
      </c>
      <c r="J899" s="23">
        <v>7832</v>
      </c>
      <c r="K899" s="86">
        <f t="shared" si="107"/>
        <v>59449</v>
      </c>
      <c r="L899" s="355"/>
      <c r="M899" s="344"/>
      <c r="N899" s="246"/>
      <c r="O899" s="86">
        <f t="shared" si="108"/>
        <v>0</v>
      </c>
      <c r="P899" s="355"/>
      <c r="Q899" s="344">
        <f t="shared" si="112"/>
        <v>51617</v>
      </c>
      <c r="R899" s="23">
        <f t="shared" si="110"/>
        <v>7832</v>
      </c>
      <c r="S899" s="86">
        <f t="shared" si="111"/>
        <v>59449</v>
      </c>
    </row>
    <row r="900" spans="2:19" x14ac:dyDescent="0.2">
      <c r="B900" s="83">
        <f t="shared" si="109"/>
        <v>308</v>
      </c>
      <c r="C900" s="7"/>
      <c r="D900" s="7"/>
      <c r="E900" s="7"/>
      <c r="F900" s="25" t="s">
        <v>130</v>
      </c>
      <c r="G900" s="7">
        <v>630</v>
      </c>
      <c r="H900" s="7" t="s">
        <v>132</v>
      </c>
      <c r="I900" s="23">
        <f>SUM(I901:I907)</f>
        <v>30286</v>
      </c>
      <c r="J900" s="23">
        <f>SUM(J901:J907)</f>
        <v>-2451</v>
      </c>
      <c r="K900" s="86">
        <f t="shared" si="107"/>
        <v>27835</v>
      </c>
      <c r="L900" s="355"/>
      <c r="M900" s="344"/>
      <c r="N900" s="246"/>
      <c r="O900" s="86">
        <f t="shared" si="108"/>
        <v>0</v>
      </c>
      <c r="P900" s="355"/>
      <c r="Q900" s="344">
        <f t="shared" si="112"/>
        <v>30286</v>
      </c>
      <c r="R900" s="23">
        <f t="shared" si="110"/>
        <v>-2451</v>
      </c>
      <c r="S900" s="86">
        <f t="shared" si="111"/>
        <v>27835</v>
      </c>
    </row>
    <row r="901" spans="2:19" x14ac:dyDescent="0.2">
      <c r="B901" s="83">
        <f t="shared" si="109"/>
        <v>309</v>
      </c>
      <c r="C901" s="3"/>
      <c r="D901" s="3"/>
      <c r="E901" s="3"/>
      <c r="F901" s="26" t="s">
        <v>130</v>
      </c>
      <c r="G901" s="3">
        <v>631</v>
      </c>
      <c r="H901" s="3" t="s">
        <v>138</v>
      </c>
      <c r="I901" s="19">
        <v>305</v>
      </c>
      <c r="J901" s="19">
        <v>-200</v>
      </c>
      <c r="K901" s="87">
        <f t="shared" si="107"/>
        <v>105</v>
      </c>
      <c r="L901" s="356"/>
      <c r="M901" s="345"/>
      <c r="N901" s="208"/>
      <c r="O901" s="87">
        <f t="shared" si="108"/>
        <v>0</v>
      </c>
      <c r="P901" s="356"/>
      <c r="Q901" s="345">
        <f t="shared" si="112"/>
        <v>305</v>
      </c>
      <c r="R901" s="19">
        <f t="shared" si="110"/>
        <v>-200</v>
      </c>
      <c r="S901" s="87">
        <f t="shared" si="111"/>
        <v>105</v>
      </c>
    </row>
    <row r="902" spans="2:19" x14ac:dyDescent="0.2">
      <c r="B902" s="83">
        <f t="shared" si="109"/>
        <v>310</v>
      </c>
      <c r="C902" s="3"/>
      <c r="D902" s="3"/>
      <c r="E902" s="3"/>
      <c r="F902" s="26" t="s">
        <v>130</v>
      </c>
      <c r="G902" s="3">
        <v>632</v>
      </c>
      <c r="H902" s="3" t="s">
        <v>145</v>
      </c>
      <c r="I902" s="19">
        <v>11760</v>
      </c>
      <c r="J902" s="19">
        <v>-5000</v>
      </c>
      <c r="K902" s="87">
        <f t="shared" si="107"/>
        <v>6760</v>
      </c>
      <c r="L902" s="356"/>
      <c r="M902" s="345"/>
      <c r="N902" s="208"/>
      <c r="O902" s="87">
        <f t="shared" si="108"/>
        <v>0</v>
      </c>
      <c r="P902" s="356"/>
      <c r="Q902" s="345">
        <f t="shared" si="112"/>
        <v>11760</v>
      </c>
      <c r="R902" s="19">
        <f t="shared" si="110"/>
        <v>-5000</v>
      </c>
      <c r="S902" s="87">
        <f t="shared" si="111"/>
        <v>6760</v>
      </c>
    </row>
    <row r="903" spans="2:19" x14ac:dyDescent="0.2">
      <c r="B903" s="83">
        <f t="shared" si="109"/>
        <v>311</v>
      </c>
      <c r="C903" s="3"/>
      <c r="D903" s="3"/>
      <c r="E903" s="3"/>
      <c r="F903" s="26" t="s">
        <v>130</v>
      </c>
      <c r="G903" s="3">
        <v>633</v>
      </c>
      <c r="H903" s="3" t="s">
        <v>136</v>
      </c>
      <c r="I903" s="19">
        <f>5540+321</f>
        <v>5861</v>
      </c>
      <c r="J903" s="19">
        <v>242</v>
      </c>
      <c r="K903" s="87">
        <f t="shared" si="107"/>
        <v>6103</v>
      </c>
      <c r="L903" s="356"/>
      <c r="M903" s="345"/>
      <c r="N903" s="208"/>
      <c r="O903" s="87">
        <f t="shared" si="108"/>
        <v>0</v>
      </c>
      <c r="P903" s="356"/>
      <c r="Q903" s="345">
        <f t="shared" si="112"/>
        <v>5861</v>
      </c>
      <c r="R903" s="19">
        <f t="shared" si="110"/>
        <v>242</v>
      </c>
      <c r="S903" s="87">
        <f t="shared" si="111"/>
        <v>6103</v>
      </c>
    </row>
    <row r="904" spans="2:19" x14ac:dyDescent="0.2">
      <c r="B904" s="83">
        <f t="shared" si="109"/>
        <v>312</v>
      </c>
      <c r="C904" s="3"/>
      <c r="D904" s="3"/>
      <c r="E904" s="3"/>
      <c r="F904" s="26" t="s">
        <v>130</v>
      </c>
      <c r="G904" s="3">
        <v>634</v>
      </c>
      <c r="H904" s="3" t="s">
        <v>143</v>
      </c>
      <c r="I904" s="19">
        <v>1000</v>
      </c>
      <c r="J904" s="19"/>
      <c r="K904" s="87">
        <f t="shared" si="107"/>
        <v>1000</v>
      </c>
      <c r="L904" s="356"/>
      <c r="M904" s="345"/>
      <c r="N904" s="208"/>
      <c r="O904" s="87">
        <f t="shared" si="108"/>
        <v>0</v>
      </c>
      <c r="P904" s="356"/>
      <c r="Q904" s="345">
        <f t="shared" si="112"/>
        <v>1000</v>
      </c>
      <c r="R904" s="19">
        <f t="shared" si="110"/>
        <v>0</v>
      </c>
      <c r="S904" s="87">
        <f t="shared" si="111"/>
        <v>1000</v>
      </c>
    </row>
    <row r="905" spans="2:19" x14ac:dyDescent="0.2">
      <c r="B905" s="83">
        <f t="shared" si="109"/>
        <v>313</v>
      </c>
      <c r="C905" s="3"/>
      <c r="D905" s="3"/>
      <c r="E905" s="3"/>
      <c r="F905" s="26" t="s">
        <v>130</v>
      </c>
      <c r="G905" s="3">
        <v>635</v>
      </c>
      <c r="H905" s="3" t="s">
        <v>144</v>
      </c>
      <c r="I905" s="19">
        <v>2080</v>
      </c>
      <c r="J905" s="19">
        <v>720</v>
      </c>
      <c r="K905" s="87">
        <f t="shared" si="107"/>
        <v>2800</v>
      </c>
      <c r="L905" s="356"/>
      <c r="M905" s="345"/>
      <c r="N905" s="208"/>
      <c r="O905" s="87">
        <f t="shared" si="108"/>
        <v>0</v>
      </c>
      <c r="P905" s="356"/>
      <c r="Q905" s="345">
        <f t="shared" si="112"/>
        <v>2080</v>
      </c>
      <c r="R905" s="19">
        <f t="shared" si="110"/>
        <v>720</v>
      </c>
      <c r="S905" s="87">
        <f t="shared" si="111"/>
        <v>2800</v>
      </c>
    </row>
    <row r="906" spans="2:19" x14ac:dyDescent="0.2">
      <c r="B906" s="83">
        <f t="shared" si="109"/>
        <v>314</v>
      </c>
      <c r="C906" s="3"/>
      <c r="D906" s="3"/>
      <c r="E906" s="3"/>
      <c r="F906" s="26" t="s">
        <v>130</v>
      </c>
      <c r="G906" s="3">
        <v>636</v>
      </c>
      <c r="H906" s="3" t="s">
        <v>137</v>
      </c>
      <c r="I906" s="19">
        <v>0</v>
      </c>
      <c r="J906" s="19">
        <v>13</v>
      </c>
      <c r="K906" s="87">
        <f t="shared" si="107"/>
        <v>13</v>
      </c>
      <c r="L906" s="356"/>
      <c r="M906" s="345"/>
      <c r="N906" s="208"/>
      <c r="O906" s="87"/>
      <c r="P906" s="356"/>
      <c r="Q906" s="345">
        <f t="shared" si="112"/>
        <v>0</v>
      </c>
      <c r="R906" s="19">
        <f t="shared" si="110"/>
        <v>13</v>
      </c>
      <c r="S906" s="87">
        <f t="shared" si="111"/>
        <v>13</v>
      </c>
    </row>
    <row r="907" spans="2:19" x14ac:dyDescent="0.2">
      <c r="B907" s="83">
        <f t="shared" si="109"/>
        <v>315</v>
      </c>
      <c r="C907" s="3"/>
      <c r="D907" s="3"/>
      <c r="E907" s="3"/>
      <c r="F907" s="26" t="s">
        <v>130</v>
      </c>
      <c r="G907" s="3">
        <v>637</v>
      </c>
      <c r="H907" s="3" t="s">
        <v>133</v>
      </c>
      <c r="I907" s="19">
        <v>9280</v>
      </c>
      <c r="J907" s="19">
        <v>1774</v>
      </c>
      <c r="K907" s="87">
        <f t="shared" si="107"/>
        <v>11054</v>
      </c>
      <c r="L907" s="356"/>
      <c r="M907" s="345"/>
      <c r="N907" s="208"/>
      <c r="O907" s="87">
        <f t="shared" si="108"/>
        <v>0</v>
      </c>
      <c r="P907" s="356"/>
      <c r="Q907" s="345">
        <f t="shared" si="112"/>
        <v>9280</v>
      </c>
      <c r="R907" s="19">
        <f t="shared" si="110"/>
        <v>1774</v>
      </c>
      <c r="S907" s="87">
        <f t="shared" si="111"/>
        <v>11054</v>
      </c>
    </row>
    <row r="908" spans="2:19" x14ac:dyDescent="0.2">
      <c r="B908" s="83">
        <f t="shared" si="109"/>
        <v>316</v>
      </c>
      <c r="C908" s="7"/>
      <c r="D908" s="7"/>
      <c r="E908" s="7"/>
      <c r="F908" s="25" t="s">
        <v>130</v>
      </c>
      <c r="G908" s="7">
        <v>640</v>
      </c>
      <c r="H908" s="7" t="s">
        <v>140</v>
      </c>
      <c r="I908" s="23">
        <f>315-65</f>
        <v>250</v>
      </c>
      <c r="J908" s="23">
        <v>618</v>
      </c>
      <c r="K908" s="86">
        <f t="shared" si="107"/>
        <v>868</v>
      </c>
      <c r="L908" s="355"/>
      <c r="M908" s="344"/>
      <c r="N908" s="246"/>
      <c r="O908" s="86">
        <f t="shared" si="108"/>
        <v>0</v>
      </c>
      <c r="P908" s="355"/>
      <c r="Q908" s="344">
        <f t="shared" si="112"/>
        <v>250</v>
      </c>
      <c r="R908" s="23">
        <f t="shared" si="110"/>
        <v>618</v>
      </c>
      <c r="S908" s="86">
        <f t="shared" si="111"/>
        <v>868</v>
      </c>
    </row>
    <row r="909" spans="2:19" x14ac:dyDescent="0.2">
      <c r="B909" s="83">
        <f t="shared" si="109"/>
        <v>317</v>
      </c>
      <c r="C909" s="7"/>
      <c r="D909" s="7"/>
      <c r="E909" s="7"/>
      <c r="F909" s="25" t="s">
        <v>117</v>
      </c>
      <c r="G909" s="7">
        <v>610</v>
      </c>
      <c r="H909" s="7" t="s">
        <v>142</v>
      </c>
      <c r="I909" s="23">
        <f>126145+11681+6018+11681</f>
        <v>155525</v>
      </c>
      <c r="J909" s="23">
        <v>-1280</v>
      </c>
      <c r="K909" s="86">
        <f t="shared" si="107"/>
        <v>154245</v>
      </c>
      <c r="L909" s="355"/>
      <c r="M909" s="344"/>
      <c r="N909" s="246"/>
      <c r="O909" s="86">
        <f t="shared" si="108"/>
        <v>0</v>
      </c>
      <c r="P909" s="355"/>
      <c r="Q909" s="344">
        <f t="shared" si="112"/>
        <v>155525</v>
      </c>
      <c r="R909" s="23">
        <f t="shared" si="110"/>
        <v>-1280</v>
      </c>
      <c r="S909" s="86">
        <f t="shared" si="111"/>
        <v>154245</v>
      </c>
    </row>
    <row r="910" spans="2:19" x14ac:dyDescent="0.2">
      <c r="B910" s="83">
        <f t="shared" si="109"/>
        <v>318</v>
      </c>
      <c r="C910" s="7"/>
      <c r="D910" s="7"/>
      <c r="E910" s="7"/>
      <c r="F910" s="25" t="s">
        <v>117</v>
      </c>
      <c r="G910" s="7">
        <v>620</v>
      </c>
      <c r="H910" s="7" t="s">
        <v>135</v>
      </c>
      <c r="I910" s="23">
        <f>44200+4083+2096+4083</f>
        <v>54462</v>
      </c>
      <c r="J910" s="23">
        <v>-339</v>
      </c>
      <c r="K910" s="86">
        <f t="shared" si="107"/>
        <v>54123</v>
      </c>
      <c r="L910" s="355"/>
      <c r="M910" s="344"/>
      <c r="N910" s="246"/>
      <c r="O910" s="86">
        <f t="shared" si="108"/>
        <v>0</v>
      </c>
      <c r="P910" s="355"/>
      <c r="Q910" s="344">
        <f t="shared" si="112"/>
        <v>54462</v>
      </c>
      <c r="R910" s="23">
        <f t="shared" si="110"/>
        <v>-339</v>
      </c>
      <c r="S910" s="86">
        <f t="shared" si="111"/>
        <v>54123</v>
      </c>
    </row>
    <row r="911" spans="2:19" x14ac:dyDescent="0.2">
      <c r="B911" s="83">
        <f t="shared" si="109"/>
        <v>319</v>
      </c>
      <c r="C911" s="7"/>
      <c r="D911" s="7"/>
      <c r="E911" s="7"/>
      <c r="F911" s="25" t="s">
        <v>117</v>
      </c>
      <c r="G911" s="7">
        <v>630</v>
      </c>
      <c r="H911" s="7" t="s">
        <v>132</v>
      </c>
      <c r="I911" s="23">
        <f>SUM(I912:I918)</f>
        <v>73952</v>
      </c>
      <c r="J911" s="23">
        <f>SUM(J912:J918)</f>
        <v>2538</v>
      </c>
      <c r="K911" s="86">
        <f t="shared" si="107"/>
        <v>76490</v>
      </c>
      <c r="L911" s="355"/>
      <c r="M911" s="344"/>
      <c r="N911" s="246"/>
      <c r="O911" s="86">
        <f t="shared" si="108"/>
        <v>0</v>
      </c>
      <c r="P911" s="355"/>
      <c r="Q911" s="344">
        <f t="shared" si="112"/>
        <v>73952</v>
      </c>
      <c r="R911" s="23">
        <f t="shared" si="110"/>
        <v>2538</v>
      </c>
      <c r="S911" s="86">
        <f t="shared" si="111"/>
        <v>76490</v>
      </c>
    </row>
    <row r="912" spans="2:19" x14ac:dyDescent="0.2">
      <c r="B912" s="83">
        <f t="shared" si="109"/>
        <v>320</v>
      </c>
      <c r="C912" s="3"/>
      <c r="D912" s="3"/>
      <c r="E912" s="3"/>
      <c r="F912" s="26" t="s">
        <v>117</v>
      </c>
      <c r="G912" s="3">
        <v>631</v>
      </c>
      <c r="H912" s="3" t="s">
        <v>138</v>
      </c>
      <c r="I912" s="19">
        <v>305</v>
      </c>
      <c r="J912" s="19">
        <v>-200</v>
      </c>
      <c r="K912" s="87">
        <f t="shared" si="107"/>
        <v>105</v>
      </c>
      <c r="L912" s="356"/>
      <c r="M912" s="345"/>
      <c r="N912" s="208"/>
      <c r="O912" s="87">
        <f t="shared" si="108"/>
        <v>0</v>
      </c>
      <c r="P912" s="356"/>
      <c r="Q912" s="345">
        <f t="shared" si="112"/>
        <v>305</v>
      </c>
      <c r="R912" s="19">
        <f t="shared" si="110"/>
        <v>-200</v>
      </c>
      <c r="S912" s="87">
        <f t="shared" si="111"/>
        <v>105</v>
      </c>
    </row>
    <row r="913" spans="2:19" x14ac:dyDescent="0.2">
      <c r="B913" s="83">
        <f t="shared" si="109"/>
        <v>321</v>
      </c>
      <c r="C913" s="3"/>
      <c r="D913" s="3"/>
      <c r="E913" s="3"/>
      <c r="F913" s="26" t="s">
        <v>117</v>
      </c>
      <c r="G913" s="3">
        <v>632</v>
      </c>
      <c r="H913" s="3" t="s">
        <v>145</v>
      </c>
      <c r="I913" s="19">
        <f>57880-15000</f>
        <v>42880</v>
      </c>
      <c r="J913" s="19">
        <v>-4953</v>
      </c>
      <c r="K913" s="87">
        <f t="shared" si="107"/>
        <v>37927</v>
      </c>
      <c r="L913" s="356"/>
      <c r="M913" s="345"/>
      <c r="N913" s="208"/>
      <c r="O913" s="87">
        <f t="shared" si="108"/>
        <v>0</v>
      </c>
      <c r="P913" s="356"/>
      <c r="Q913" s="345">
        <f t="shared" si="112"/>
        <v>42880</v>
      </c>
      <c r="R913" s="19">
        <f t="shared" si="110"/>
        <v>-4953</v>
      </c>
      <c r="S913" s="87">
        <f t="shared" si="111"/>
        <v>37927</v>
      </c>
    </row>
    <row r="914" spans="2:19" x14ac:dyDescent="0.2">
      <c r="B914" s="83">
        <f t="shared" si="109"/>
        <v>322</v>
      </c>
      <c r="C914" s="3"/>
      <c r="D914" s="3"/>
      <c r="E914" s="3"/>
      <c r="F914" s="26" t="s">
        <v>117</v>
      </c>
      <c r="G914" s="3">
        <v>633</v>
      </c>
      <c r="H914" s="3" t="s">
        <v>136</v>
      </c>
      <c r="I914" s="19">
        <f>14036+321</f>
        <v>14357</v>
      </c>
      <c r="J914" s="19">
        <v>-1790</v>
      </c>
      <c r="K914" s="87">
        <f t="shared" si="107"/>
        <v>12567</v>
      </c>
      <c r="L914" s="356"/>
      <c r="M914" s="345"/>
      <c r="N914" s="208"/>
      <c r="O914" s="87">
        <f t="shared" si="108"/>
        <v>0</v>
      </c>
      <c r="P914" s="356"/>
      <c r="Q914" s="345">
        <f t="shared" si="112"/>
        <v>14357</v>
      </c>
      <c r="R914" s="19">
        <f t="shared" si="110"/>
        <v>-1790</v>
      </c>
      <c r="S914" s="87">
        <f t="shared" si="111"/>
        <v>12567</v>
      </c>
    </row>
    <row r="915" spans="2:19" x14ac:dyDescent="0.2">
      <c r="B915" s="83">
        <f t="shared" si="109"/>
        <v>323</v>
      </c>
      <c r="C915" s="3"/>
      <c r="D915" s="3"/>
      <c r="E915" s="3"/>
      <c r="F915" s="26" t="s">
        <v>117</v>
      </c>
      <c r="G915" s="3">
        <v>634</v>
      </c>
      <c r="H915" s="3" t="s">
        <v>143</v>
      </c>
      <c r="I915" s="19">
        <v>800</v>
      </c>
      <c r="J915" s="19">
        <v>-800</v>
      </c>
      <c r="K915" s="87">
        <f t="shared" si="107"/>
        <v>0</v>
      </c>
      <c r="L915" s="356"/>
      <c r="M915" s="345"/>
      <c r="N915" s="208"/>
      <c r="O915" s="87">
        <f t="shared" si="108"/>
        <v>0</v>
      </c>
      <c r="P915" s="356"/>
      <c r="Q915" s="345">
        <f t="shared" si="112"/>
        <v>800</v>
      </c>
      <c r="R915" s="19">
        <f t="shared" si="110"/>
        <v>-800</v>
      </c>
      <c r="S915" s="87">
        <f t="shared" si="111"/>
        <v>0</v>
      </c>
    </row>
    <row r="916" spans="2:19" x14ac:dyDescent="0.2">
      <c r="B916" s="83">
        <f t="shared" si="109"/>
        <v>324</v>
      </c>
      <c r="C916" s="3"/>
      <c r="D916" s="3"/>
      <c r="E916" s="3"/>
      <c r="F916" s="26" t="s">
        <v>117</v>
      </c>
      <c r="G916" s="3">
        <v>635</v>
      </c>
      <c r="H916" s="3" t="s">
        <v>144</v>
      </c>
      <c r="I916" s="19">
        <v>3780</v>
      </c>
      <c r="J916" s="19">
        <v>720</v>
      </c>
      <c r="K916" s="87">
        <f t="shared" si="107"/>
        <v>4500</v>
      </c>
      <c r="L916" s="356"/>
      <c r="M916" s="345"/>
      <c r="N916" s="208"/>
      <c r="O916" s="87">
        <f t="shared" si="108"/>
        <v>0</v>
      </c>
      <c r="P916" s="356"/>
      <c r="Q916" s="345">
        <f t="shared" si="112"/>
        <v>3780</v>
      </c>
      <c r="R916" s="19">
        <f t="shared" si="110"/>
        <v>720</v>
      </c>
      <c r="S916" s="87">
        <f t="shared" si="111"/>
        <v>4500</v>
      </c>
    </row>
    <row r="917" spans="2:19" x14ac:dyDescent="0.2">
      <c r="B917" s="83">
        <f t="shared" si="109"/>
        <v>325</v>
      </c>
      <c r="C917" s="3"/>
      <c r="D917" s="3"/>
      <c r="E917" s="3"/>
      <c r="F917" s="26" t="s">
        <v>117</v>
      </c>
      <c r="G917" s="3">
        <v>636</v>
      </c>
      <c r="H917" s="3" t="s">
        <v>137</v>
      </c>
      <c r="I917" s="19">
        <v>0</v>
      </c>
      <c r="J917" s="19">
        <v>13</v>
      </c>
      <c r="K917" s="87">
        <f t="shared" si="107"/>
        <v>13</v>
      </c>
      <c r="L917" s="356"/>
      <c r="M917" s="345"/>
      <c r="N917" s="208"/>
      <c r="O917" s="87"/>
      <c r="P917" s="356"/>
      <c r="Q917" s="345">
        <f t="shared" si="112"/>
        <v>0</v>
      </c>
      <c r="R917" s="19">
        <f t="shared" si="110"/>
        <v>13</v>
      </c>
      <c r="S917" s="87">
        <f t="shared" si="111"/>
        <v>13</v>
      </c>
    </row>
    <row r="918" spans="2:19" x14ac:dyDescent="0.2">
      <c r="B918" s="83">
        <f t="shared" si="109"/>
        <v>326</v>
      </c>
      <c r="C918" s="3"/>
      <c r="D918" s="3"/>
      <c r="E918" s="3"/>
      <c r="F918" s="26" t="s">
        <v>117</v>
      </c>
      <c r="G918" s="3">
        <v>637</v>
      </c>
      <c r="H918" s="3" t="s">
        <v>133</v>
      </c>
      <c r="I918" s="19">
        <v>11830</v>
      </c>
      <c r="J918" s="19">
        <v>9548</v>
      </c>
      <c r="K918" s="87">
        <f t="shared" si="107"/>
        <v>21378</v>
      </c>
      <c r="L918" s="356"/>
      <c r="M918" s="345"/>
      <c r="N918" s="208"/>
      <c r="O918" s="87">
        <f t="shared" si="108"/>
        <v>0</v>
      </c>
      <c r="P918" s="356"/>
      <c r="Q918" s="345">
        <f t="shared" si="112"/>
        <v>11830</v>
      </c>
      <c r="R918" s="19">
        <f t="shared" si="110"/>
        <v>9548</v>
      </c>
      <c r="S918" s="87">
        <f t="shared" si="111"/>
        <v>21378</v>
      </c>
    </row>
    <row r="919" spans="2:19" x14ac:dyDescent="0.2">
      <c r="B919" s="83">
        <f t="shared" si="109"/>
        <v>327</v>
      </c>
      <c r="C919" s="7"/>
      <c r="D919" s="7"/>
      <c r="E919" s="7"/>
      <c r="F919" s="25" t="s">
        <v>117</v>
      </c>
      <c r="G919" s="7">
        <v>640</v>
      </c>
      <c r="H919" s="7" t="s">
        <v>140</v>
      </c>
      <c r="I919" s="23">
        <f>315-65</f>
        <v>250</v>
      </c>
      <c r="J919" s="23">
        <v>147</v>
      </c>
      <c r="K919" s="86">
        <f t="shared" ref="K919:K987" si="115">J919+I919</f>
        <v>397</v>
      </c>
      <c r="L919" s="355"/>
      <c r="M919" s="344"/>
      <c r="N919" s="246"/>
      <c r="O919" s="86">
        <f t="shared" ref="O919:O987" si="116">N919+M919</f>
        <v>0</v>
      </c>
      <c r="P919" s="355"/>
      <c r="Q919" s="344">
        <f t="shared" si="112"/>
        <v>250</v>
      </c>
      <c r="R919" s="23">
        <f t="shared" si="110"/>
        <v>147</v>
      </c>
      <c r="S919" s="86">
        <f t="shared" si="111"/>
        <v>397</v>
      </c>
    </row>
    <row r="920" spans="2:19" x14ac:dyDescent="0.2">
      <c r="B920" s="83">
        <f t="shared" ref="B920:B924" si="117">B919+1</f>
        <v>328</v>
      </c>
      <c r="C920" s="7"/>
      <c r="D920" s="7"/>
      <c r="E920" s="7"/>
      <c r="F920" s="25"/>
      <c r="G920" s="7">
        <v>600</v>
      </c>
      <c r="H920" s="7" t="s">
        <v>583</v>
      </c>
      <c r="I920" s="23">
        <v>24304</v>
      </c>
      <c r="J920" s="23"/>
      <c r="K920" s="86">
        <f t="shared" si="115"/>
        <v>24304</v>
      </c>
      <c r="L920" s="355"/>
      <c r="M920" s="344"/>
      <c r="N920" s="246"/>
      <c r="O920" s="86">
        <f t="shared" si="116"/>
        <v>0</v>
      </c>
      <c r="P920" s="355"/>
      <c r="Q920" s="344">
        <f t="shared" si="112"/>
        <v>24304</v>
      </c>
      <c r="R920" s="23">
        <f t="shared" si="110"/>
        <v>0</v>
      </c>
      <c r="S920" s="86">
        <f t="shared" si="111"/>
        <v>24304</v>
      </c>
    </row>
    <row r="921" spans="2:19" x14ac:dyDescent="0.2">
      <c r="B921" s="83">
        <f t="shared" si="117"/>
        <v>329</v>
      </c>
      <c r="C921" s="7"/>
      <c r="D921" s="7"/>
      <c r="E921" s="7"/>
      <c r="F921" s="25" t="s">
        <v>83</v>
      </c>
      <c r="G921" s="7">
        <v>630</v>
      </c>
      <c r="H921" s="7" t="s">
        <v>657</v>
      </c>
      <c r="I921" s="23">
        <v>0</v>
      </c>
      <c r="J921" s="23">
        <v>89</v>
      </c>
      <c r="K921" s="86">
        <f t="shared" si="115"/>
        <v>89</v>
      </c>
      <c r="L921" s="355"/>
      <c r="M921" s="344"/>
      <c r="N921" s="246"/>
      <c r="O921" s="86"/>
      <c r="P921" s="355"/>
      <c r="Q921" s="344">
        <f t="shared" si="112"/>
        <v>0</v>
      </c>
      <c r="R921" s="23">
        <f t="shared" ref="R921" si="118">J921+N921</f>
        <v>89</v>
      </c>
      <c r="S921" s="86">
        <f t="shared" ref="S921" si="119">K921+O921</f>
        <v>89</v>
      </c>
    </row>
    <row r="922" spans="2:19" x14ac:dyDescent="0.2">
      <c r="B922" s="83">
        <f t="shared" si="117"/>
        <v>330</v>
      </c>
      <c r="C922" s="7"/>
      <c r="D922" s="7"/>
      <c r="E922" s="7"/>
      <c r="F922" s="25" t="s">
        <v>117</v>
      </c>
      <c r="G922" s="7">
        <v>710</v>
      </c>
      <c r="H922" s="7" t="s">
        <v>187</v>
      </c>
      <c r="I922" s="23"/>
      <c r="J922" s="23"/>
      <c r="K922" s="86">
        <f t="shared" si="115"/>
        <v>0</v>
      </c>
      <c r="L922" s="355"/>
      <c r="M922" s="344">
        <f>M923</f>
        <v>51950</v>
      </c>
      <c r="N922" s="246"/>
      <c r="O922" s="86">
        <f t="shared" si="116"/>
        <v>51950</v>
      </c>
      <c r="P922" s="355"/>
      <c r="Q922" s="344">
        <f t="shared" si="112"/>
        <v>51950</v>
      </c>
      <c r="R922" s="23">
        <f t="shared" si="110"/>
        <v>0</v>
      </c>
      <c r="S922" s="86">
        <f t="shared" si="111"/>
        <v>51950</v>
      </c>
    </row>
    <row r="923" spans="2:19" x14ac:dyDescent="0.2">
      <c r="B923" s="83">
        <f t="shared" si="117"/>
        <v>331</v>
      </c>
      <c r="C923" s="3"/>
      <c r="D923" s="3"/>
      <c r="E923" s="3"/>
      <c r="F923" s="26" t="s">
        <v>117</v>
      </c>
      <c r="G923" s="3">
        <v>717</v>
      </c>
      <c r="H923" s="3" t="s">
        <v>197</v>
      </c>
      <c r="I923" s="19"/>
      <c r="J923" s="19"/>
      <c r="K923" s="87">
        <f t="shared" si="115"/>
        <v>0</v>
      </c>
      <c r="L923" s="356"/>
      <c r="M923" s="345">
        <f>SUM(M924:M924)</f>
        <v>51950</v>
      </c>
      <c r="N923" s="208"/>
      <c r="O923" s="87">
        <f t="shared" si="116"/>
        <v>51950</v>
      </c>
      <c r="P923" s="356"/>
      <c r="Q923" s="345">
        <f t="shared" si="112"/>
        <v>51950</v>
      </c>
      <c r="R923" s="19">
        <f t="shared" si="110"/>
        <v>0</v>
      </c>
      <c r="S923" s="87">
        <f t="shared" si="111"/>
        <v>51950</v>
      </c>
    </row>
    <row r="924" spans="2:19" x14ac:dyDescent="0.2">
      <c r="B924" s="83">
        <f t="shared" si="117"/>
        <v>332</v>
      </c>
      <c r="C924" s="4"/>
      <c r="D924" s="4"/>
      <c r="E924" s="4"/>
      <c r="F924" s="27"/>
      <c r="G924" s="4"/>
      <c r="H924" s="4" t="s">
        <v>336</v>
      </c>
      <c r="I924" s="21"/>
      <c r="J924" s="21"/>
      <c r="K924" s="88">
        <f t="shared" si="115"/>
        <v>0</v>
      </c>
      <c r="L924" s="357"/>
      <c r="M924" s="388">
        <f>60000-7000-1050</f>
        <v>51950</v>
      </c>
      <c r="N924" s="259"/>
      <c r="O924" s="389">
        <f t="shared" si="116"/>
        <v>51950</v>
      </c>
      <c r="P924" s="357"/>
      <c r="Q924" s="346">
        <f t="shared" si="112"/>
        <v>51950</v>
      </c>
      <c r="R924" s="21">
        <f t="shared" si="110"/>
        <v>0</v>
      </c>
      <c r="S924" s="88">
        <f t="shared" si="111"/>
        <v>51950</v>
      </c>
    </row>
    <row r="925" spans="2:19" ht="15" x14ac:dyDescent="0.25">
      <c r="B925" s="83">
        <f t="shared" ref="B925:B989" si="120">B924+1</f>
        <v>333</v>
      </c>
      <c r="C925" s="10"/>
      <c r="D925" s="10"/>
      <c r="E925" s="10">
        <v>11</v>
      </c>
      <c r="F925" s="28"/>
      <c r="G925" s="10"/>
      <c r="H925" s="10" t="s">
        <v>11</v>
      </c>
      <c r="I925" s="38">
        <f>I926+I927+I928+I937+I938+I939+I940+I947+I948</f>
        <v>1354728</v>
      </c>
      <c r="J925" s="38">
        <f>J926+J927+J928+J937+J938+J939+J940+J947+J948+J949</f>
        <v>41725</v>
      </c>
      <c r="K925" s="94">
        <f t="shared" si="115"/>
        <v>1396453</v>
      </c>
      <c r="L925" s="365"/>
      <c r="M925" s="362">
        <v>0</v>
      </c>
      <c r="N925" s="253"/>
      <c r="O925" s="94">
        <f t="shared" si="116"/>
        <v>0</v>
      </c>
      <c r="P925" s="365"/>
      <c r="Q925" s="362">
        <f t="shared" si="112"/>
        <v>1354728</v>
      </c>
      <c r="R925" s="38">
        <f t="shared" si="110"/>
        <v>41725</v>
      </c>
      <c r="S925" s="94">
        <f t="shared" si="111"/>
        <v>1396453</v>
      </c>
    </row>
    <row r="926" spans="2:19" x14ac:dyDescent="0.2">
      <c r="B926" s="83">
        <f t="shared" si="120"/>
        <v>334</v>
      </c>
      <c r="C926" s="7"/>
      <c r="D926" s="7"/>
      <c r="E926" s="7"/>
      <c r="F926" s="25" t="s">
        <v>130</v>
      </c>
      <c r="G926" s="7">
        <v>610</v>
      </c>
      <c r="H926" s="7" t="s">
        <v>142</v>
      </c>
      <c r="I926" s="23">
        <f>275039+21295-5012-21295</f>
        <v>270027</v>
      </c>
      <c r="J926" s="23">
        <v>34560</v>
      </c>
      <c r="K926" s="86">
        <f t="shared" si="115"/>
        <v>304587</v>
      </c>
      <c r="L926" s="355"/>
      <c r="M926" s="344"/>
      <c r="N926" s="246"/>
      <c r="O926" s="86">
        <f t="shared" si="116"/>
        <v>0</v>
      </c>
      <c r="P926" s="355"/>
      <c r="Q926" s="344">
        <f t="shared" si="112"/>
        <v>270027</v>
      </c>
      <c r="R926" s="23">
        <f t="shared" si="110"/>
        <v>34560</v>
      </c>
      <c r="S926" s="86">
        <f t="shared" si="111"/>
        <v>304587</v>
      </c>
    </row>
    <row r="927" spans="2:19" x14ac:dyDescent="0.2">
      <c r="B927" s="83">
        <f t="shared" si="120"/>
        <v>335</v>
      </c>
      <c r="C927" s="7"/>
      <c r="D927" s="7"/>
      <c r="E927" s="7"/>
      <c r="F927" s="25" t="s">
        <v>130</v>
      </c>
      <c r="G927" s="7">
        <v>620</v>
      </c>
      <c r="H927" s="7" t="s">
        <v>135</v>
      </c>
      <c r="I927" s="23">
        <f>96254+8081-1755-8081</f>
        <v>94499</v>
      </c>
      <c r="J927" s="23">
        <v>12095</v>
      </c>
      <c r="K927" s="86">
        <f t="shared" si="115"/>
        <v>106594</v>
      </c>
      <c r="L927" s="355"/>
      <c r="M927" s="344"/>
      <c r="N927" s="246"/>
      <c r="O927" s="86">
        <f t="shared" si="116"/>
        <v>0</v>
      </c>
      <c r="P927" s="355"/>
      <c r="Q927" s="344">
        <f t="shared" si="112"/>
        <v>94499</v>
      </c>
      <c r="R927" s="23">
        <f t="shared" si="110"/>
        <v>12095</v>
      </c>
      <c r="S927" s="86">
        <f t="shared" si="111"/>
        <v>106594</v>
      </c>
    </row>
    <row r="928" spans="2:19" x14ac:dyDescent="0.2">
      <c r="B928" s="83">
        <f t="shared" si="120"/>
        <v>336</v>
      </c>
      <c r="C928" s="7"/>
      <c r="D928" s="7"/>
      <c r="E928" s="7"/>
      <c r="F928" s="25" t="s">
        <v>130</v>
      </c>
      <c r="G928" s="7">
        <v>630</v>
      </c>
      <c r="H928" s="7" t="s">
        <v>132</v>
      </c>
      <c r="I928" s="23">
        <f>SUM(I929:I936)</f>
        <v>78900</v>
      </c>
      <c r="J928" s="23">
        <f>SUM(J929:J936)</f>
        <v>22567</v>
      </c>
      <c r="K928" s="86">
        <f t="shared" si="115"/>
        <v>101467</v>
      </c>
      <c r="L928" s="355"/>
      <c r="M928" s="344"/>
      <c r="N928" s="246"/>
      <c r="O928" s="86">
        <f t="shared" si="116"/>
        <v>0</v>
      </c>
      <c r="P928" s="355"/>
      <c r="Q928" s="344">
        <f t="shared" si="112"/>
        <v>78900</v>
      </c>
      <c r="R928" s="23">
        <f t="shared" si="110"/>
        <v>22567</v>
      </c>
      <c r="S928" s="86">
        <f t="shared" si="111"/>
        <v>101467</v>
      </c>
    </row>
    <row r="929" spans="2:19" x14ac:dyDescent="0.2">
      <c r="B929" s="83">
        <f t="shared" si="120"/>
        <v>337</v>
      </c>
      <c r="C929" s="3"/>
      <c r="D929" s="3"/>
      <c r="E929" s="3"/>
      <c r="F929" s="26" t="s">
        <v>130</v>
      </c>
      <c r="G929" s="3">
        <v>631</v>
      </c>
      <c r="H929" s="3" t="s">
        <v>138</v>
      </c>
      <c r="I929" s="19">
        <v>17</v>
      </c>
      <c r="J929" s="19">
        <v>100</v>
      </c>
      <c r="K929" s="87">
        <f t="shared" si="115"/>
        <v>117</v>
      </c>
      <c r="L929" s="356"/>
      <c r="M929" s="345"/>
      <c r="N929" s="208"/>
      <c r="O929" s="87">
        <f t="shared" si="116"/>
        <v>0</v>
      </c>
      <c r="P929" s="356"/>
      <c r="Q929" s="345">
        <f t="shared" si="112"/>
        <v>17</v>
      </c>
      <c r="R929" s="19">
        <f t="shared" si="110"/>
        <v>100</v>
      </c>
      <c r="S929" s="87">
        <f t="shared" si="111"/>
        <v>117</v>
      </c>
    </row>
    <row r="930" spans="2:19" x14ac:dyDescent="0.2">
      <c r="B930" s="83">
        <f t="shared" si="120"/>
        <v>338</v>
      </c>
      <c r="C930" s="3"/>
      <c r="D930" s="3"/>
      <c r="E930" s="3"/>
      <c r="F930" s="26" t="s">
        <v>130</v>
      </c>
      <c r="G930" s="3">
        <v>632</v>
      </c>
      <c r="H930" s="3" t="s">
        <v>145</v>
      </c>
      <c r="I930" s="19">
        <f>12010-1312</f>
        <v>10698</v>
      </c>
      <c r="J930" s="19">
        <v>25000</v>
      </c>
      <c r="K930" s="87">
        <f t="shared" si="115"/>
        <v>35698</v>
      </c>
      <c r="L930" s="356"/>
      <c r="M930" s="345"/>
      <c r="N930" s="208"/>
      <c r="O930" s="87">
        <f t="shared" si="116"/>
        <v>0</v>
      </c>
      <c r="P930" s="356"/>
      <c r="Q930" s="345">
        <f t="shared" si="112"/>
        <v>10698</v>
      </c>
      <c r="R930" s="19">
        <f t="shared" si="110"/>
        <v>25000</v>
      </c>
      <c r="S930" s="87">
        <f t="shared" si="111"/>
        <v>35698</v>
      </c>
    </row>
    <row r="931" spans="2:19" x14ac:dyDescent="0.2">
      <c r="B931" s="83">
        <f t="shared" si="120"/>
        <v>339</v>
      </c>
      <c r="C931" s="3"/>
      <c r="D931" s="3"/>
      <c r="E931" s="3"/>
      <c r="F931" s="26" t="s">
        <v>130</v>
      </c>
      <c r="G931" s="3">
        <v>633</v>
      </c>
      <c r="H931" s="3" t="s">
        <v>136</v>
      </c>
      <c r="I931" s="19">
        <v>18466</v>
      </c>
      <c r="J931" s="19">
        <v>-633</v>
      </c>
      <c r="K931" s="87">
        <f t="shared" si="115"/>
        <v>17833</v>
      </c>
      <c r="L931" s="356"/>
      <c r="M931" s="345"/>
      <c r="N931" s="208"/>
      <c r="O931" s="87">
        <f t="shared" si="116"/>
        <v>0</v>
      </c>
      <c r="P931" s="356"/>
      <c r="Q931" s="345">
        <f t="shared" si="112"/>
        <v>18466</v>
      </c>
      <c r="R931" s="19">
        <f t="shared" si="110"/>
        <v>-633</v>
      </c>
      <c r="S931" s="87">
        <f t="shared" si="111"/>
        <v>17833</v>
      </c>
    </row>
    <row r="932" spans="2:19" x14ac:dyDescent="0.2">
      <c r="B932" s="83">
        <f t="shared" si="120"/>
        <v>340</v>
      </c>
      <c r="C932" s="3"/>
      <c r="D932" s="3"/>
      <c r="E932" s="3"/>
      <c r="F932" s="26" t="s">
        <v>130</v>
      </c>
      <c r="G932" s="3">
        <v>634</v>
      </c>
      <c r="H932" s="3" t="s">
        <v>143</v>
      </c>
      <c r="I932" s="19">
        <v>1610</v>
      </c>
      <c r="J932" s="19"/>
      <c r="K932" s="87">
        <f t="shared" si="115"/>
        <v>1610</v>
      </c>
      <c r="L932" s="356"/>
      <c r="M932" s="345"/>
      <c r="N932" s="208"/>
      <c r="O932" s="87">
        <f t="shared" si="116"/>
        <v>0</v>
      </c>
      <c r="P932" s="356"/>
      <c r="Q932" s="345">
        <f t="shared" si="112"/>
        <v>1610</v>
      </c>
      <c r="R932" s="19">
        <f t="shared" si="110"/>
        <v>0</v>
      </c>
      <c r="S932" s="87">
        <f t="shared" si="111"/>
        <v>1610</v>
      </c>
    </row>
    <row r="933" spans="2:19" x14ac:dyDescent="0.2">
      <c r="B933" s="83">
        <f t="shared" si="120"/>
        <v>341</v>
      </c>
      <c r="C933" s="3"/>
      <c r="D933" s="3"/>
      <c r="E933" s="3"/>
      <c r="F933" s="26" t="s">
        <v>130</v>
      </c>
      <c r="G933" s="3">
        <v>635</v>
      </c>
      <c r="H933" s="3" t="s">
        <v>144</v>
      </c>
      <c r="I933" s="19">
        <v>13354</v>
      </c>
      <c r="J933" s="19">
        <v>-6607</v>
      </c>
      <c r="K933" s="87">
        <f t="shared" si="115"/>
        <v>6747</v>
      </c>
      <c r="L933" s="356"/>
      <c r="M933" s="345"/>
      <c r="N933" s="208"/>
      <c r="O933" s="87">
        <f t="shared" si="116"/>
        <v>0</v>
      </c>
      <c r="P933" s="356"/>
      <c r="Q933" s="345">
        <f t="shared" si="112"/>
        <v>13354</v>
      </c>
      <c r="R933" s="19">
        <f t="shared" si="110"/>
        <v>-6607</v>
      </c>
      <c r="S933" s="87">
        <f t="shared" si="111"/>
        <v>6747</v>
      </c>
    </row>
    <row r="934" spans="2:19" x14ac:dyDescent="0.2">
      <c r="B934" s="83">
        <f t="shared" si="120"/>
        <v>342</v>
      </c>
      <c r="C934" s="3"/>
      <c r="D934" s="3"/>
      <c r="E934" s="3"/>
      <c r="F934" s="26" t="s">
        <v>130</v>
      </c>
      <c r="G934" s="3">
        <v>635</v>
      </c>
      <c r="H934" s="3" t="s">
        <v>655</v>
      </c>
      <c r="I934" s="19">
        <v>11000</v>
      </c>
      <c r="J934" s="19"/>
      <c r="K934" s="87">
        <f t="shared" si="115"/>
        <v>11000</v>
      </c>
      <c r="L934" s="356"/>
      <c r="M934" s="345"/>
      <c r="N934" s="208"/>
      <c r="O934" s="87">
        <f t="shared" si="116"/>
        <v>0</v>
      </c>
      <c r="P934" s="356"/>
      <c r="Q934" s="345">
        <f t="shared" si="112"/>
        <v>11000</v>
      </c>
      <c r="R934" s="19">
        <f t="shared" si="110"/>
        <v>0</v>
      </c>
      <c r="S934" s="87">
        <f t="shared" si="111"/>
        <v>11000</v>
      </c>
    </row>
    <row r="935" spans="2:19" x14ac:dyDescent="0.2">
      <c r="B935" s="83">
        <f t="shared" si="120"/>
        <v>343</v>
      </c>
      <c r="C935" s="3"/>
      <c r="D935" s="3"/>
      <c r="E935" s="3"/>
      <c r="F935" s="26" t="s">
        <v>130</v>
      </c>
      <c r="G935" s="3">
        <v>636</v>
      </c>
      <c r="H935" s="3" t="s">
        <v>137</v>
      </c>
      <c r="I935" s="19">
        <v>0</v>
      </c>
      <c r="J935" s="19">
        <v>7</v>
      </c>
      <c r="K935" s="87">
        <f t="shared" si="115"/>
        <v>7</v>
      </c>
      <c r="L935" s="356"/>
      <c r="M935" s="345"/>
      <c r="N935" s="208"/>
      <c r="O935" s="87"/>
      <c r="P935" s="356"/>
      <c r="Q935" s="345">
        <f t="shared" si="112"/>
        <v>0</v>
      </c>
      <c r="R935" s="19">
        <f t="shared" ref="R935" si="121">J935+N935</f>
        <v>7</v>
      </c>
      <c r="S935" s="87">
        <f t="shared" ref="S935" si="122">K935+O935</f>
        <v>7</v>
      </c>
    </row>
    <row r="936" spans="2:19" x14ac:dyDescent="0.2">
      <c r="B936" s="83">
        <f t="shared" si="120"/>
        <v>344</v>
      </c>
      <c r="C936" s="3"/>
      <c r="D936" s="3"/>
      <c r="E936" s="3"/>
      <c r="F936" s="26" t="s">
        <v>130</v>
      </c>
      <c r="G936" s="3">
        <v>637</v>
      </c>
      <c r="H936" s="3" t="s">
        <v>133</v>
      </c>
      <c r="I936" s="19">
        <v>23755</v>
      </c>
      <c r="J936" s="19">
        <v>4700</v>
      </c>
      <c r="K936" s="87">
        <f t="shared" si="115"/>
        <v>28455</v>
      </c>
      <c r="L936" s="356"/>
      <c r="M936" s="345"/>
      <c r="N936" s="208"/>
      <c r="O936" s="87">
        <f t="shared" si="116"/>
        <v>0</v>
      </c>
      <c r="P936" s="356"/>
      <c r="Q936" s="345">
        <f t="shared" si="112"/>
        <v>23755</v>
      </c>
      <c r="R936" s="19">
        <f t="shared" si="110"/>
        <v>4700</v>
      </c>
      <c r="S936" s="87">
        <f t="shared" si="111"/>
        <v>28455</v>
      </c>
    </row>
    <row r="937" spans="2:19" x14ac:dyDescent="0.2">
      <c r="B937" s="83">
        <f t="shared" si="120"/>
        <v>345</v>
      </c>
      <c r="C937" s="7"/>
      <c r="D937" s="7"/>
      <c r="E937" s="7"/>
      <c r="F937" s="25" t="s">
        <v>130</v>
      </c>
      <c r="G937" s="7">
        <v>640</v>
      </c>
      <c r="H937" s="7" t="s">
        <v>140</v>
      </c>
      <c r="I937" s="23">
        <v>1470</v>
      </c>
      <c r="J937" s="23"/>
      <c r="K937" s="86">
        <f t="shared" si="115"/>
        <v>1470</v>
      </c>
      <c r="L937" s="355"/>
      <c r="M937" s="344"/>
      <c r="N937" s="246"/>
      <c r="O937" s="86">
        <f t="shared" si="116"/>
        <v>0</v>
      </c>
      <c r="P937" s="355"/>
      <c r="Q937" s="344">
        <f t="shared" si="112"/>
        <v>1470</v>
      </c>
      <c r="R937" s="23">
        <f t="shared" si="110"/>
        <v>0</v>
      </c>
      <c r="S937" s="86">
        <f t="shared" si="111"/>
        <v>1470</v>
      </c>
    </row>
    <row r="938" spans="2:19" x14ac:dyDescent="0.2">
      <c r="B938" s="83">
        <f t="shared" si="120"/>
        <v>346</v>
      </c>
      <c r="C938" s="7"/>
      <c r="D938" s="7"/>
      <c r="E938" s="7"/>
      <c r="F938" s="25" t="s">
        <v>117</v>
      </c>
      <c r="G938" s="7">
        <v>610</v>
      </c>
      <c r="H938" s="7" t="s">
        <v>142</v>
      </c>
      <c r="I938" s="23">
        <f>482327+21295+21295</f>
        <v>524917</v>
      </c>
      <c r="J938" s="23">
        <v>-22048</v>
      </c>
      <c r="K938" s="86">
        <f t="shared" si="115"/>
        <v>502869</v>
      </c>
      <c r="L938" s="355"/>
      <c r="M938" s="344"/>
      <c r="N938" s="246"/>
      <c r="O938" s="86">
        <f t="shared" si="116"/>
        <v>0</v>
      </c>
      <c r="P938" s="355"/>
      <c r="Q938" s="344">
        <f t="shared" si="112"/>
        <v>524917</v>
      </c>
      <c r="R938" s="23">
        <f t="shared" si="110"/>
        <v>-22048</v>
      </c>
      <c r="S938" s="86">
        <f t="shared" si="111"/>
        <v>502869</v>
      </c>
    </row>
    <row r="939" spans="2:19" x14ac:dyDescent="0.2">
      <c r="B939" s="83">
        <f t="shared" si="120"/>
        <v>347</v>
      </c>
      <c r="C939" s="7"/>
      <c r="D939" s="7"/>
      <c r="E939" s="7"/>
      <c r="F939" s="25" t="s">
        <v>117</v>
      </c>
      <c r="G939" s="7">
        <v>620</v>
      </c>
      <c r="H939" s="7" t="s">
        <v>135</v>
      </c>
      <c r="I939" s="23">
        <f>168790+8082+8821</f>
        <v>185693</v>
      </c>
      <c r="J939" s="23">
        <v>-6858</v>
      </c>
      <c r="K939" s="86">
        <f t="shared" si="115"/>
        <v>178835</v>
      </c>
      <c r="L939" s="355"/>
      <c r="M939" s="344"/>
      <c r="N939" s="246"/>
      <c r="O939" s="86">
        <f t="shared" si="116"/>
        <v>0</v>
      </c>
      <c r="P939" s="355"/>
      <c r="Q939" s="344">
        <f t="shared" si="112"/>
        <v>185693</v>
      </c>
      <c r="R939" s="23">
        <f t="shared" si="110"/>
        <v>-6858</v>
      </c>
      <c r="S939" s="86">
        <f t="shared" si="111"/>
        <v>178835</v>
      </c>
    </row>
    <row r="940" spans="2:19" x14ac:dyDescent="0.2">
      <c r="B940" s="83">
        <f t="shared" si="120"/>
        <v>348</v>
      </c>
      <c r="C940" s="7"/>
      <c r="D940" s="7"/>
      <c r="E940" s="7"/>
      <c r="F940" s="25" t="s">
        <v>117</v>
      </c>
      <c r="G940" s="7">
        <v>630</v>
      </c>
      <c r="H940" s="7" t="s">
        <v>132</v>
      </c>
      <c r="I940" s="23">
        <f>SUM(I941:I946)</f>
        <v>189238</v>
      </c>
      <c r="J940" s="23">
        <f>SUM(J941:J946)</f>
        <v>1361</v>
      </c>
      <c r="K940" s="86">
        <f t="shared" si="115"/>
        <v>190599</v>
      </c>
      <c r="L940" s="355"/>
      <c r="M940" s="344"/>
      <c r="N940" s="246"/>
      <c r="O940" s="86">
        <f t="shared" si="116"/>
        <v>0</v>
      </c>
      <c r="P940" s="355"/>
      <c r="Q940" s="344">
        <f t="shared" si="112"/>
        <v>189238</v>
      </c>
      <c r="R940" s="23">
        <f t="shared" si="110"/>
        <v>1361</v>
      </c>
      <c r="S940" s="86">
        <f t="shared" si="111"/>
        <v>190599</v>
      </c>
    </row>
    <row r="941" spans="2:19" x14ac:dyDescent="0.2">
      <c r="B941" s="83">
        <f t="shared" si="120"/>
        <v>349</v>
      </c>
      <c r="C941" s="3"/>
      <c r="D941" s="3"/>
      <c r="E941" s="3"/>
      <c r="F941" s="26" t="s">
        <v>117</v>
      </c>
      <c r="G941" s="3">
        <v>631</v>
      </c>
      <c r="H941" s="3" t="s">
        <v>138</v>
      </c>
      <c r="I941" s="19">
        <v>25</v>
      </c>
      <c r="J941" s="19">
        <v>150</v>
      </c>
      <c r="K941" s="87">
        <f t="shared" si="115"/>
        <v>175</v>
      </c>
      <c r="L941" s="356"/>
      <c r="M941" s="345"/>
      <c r="N941" s="208"/>
      <c r="O941" s="87">
        <f t="shared" si="116"/>
        <v>0</v>
      </c>
      <c r="P941" s="356"/>
      <c r="Q941" s="345">
        <f t="shared" si="112"/>
        <v>25</v>
      </c>
      <c r="R941" s="19">
        <f t="shared" si="110"/>
        <v>150</v>
      </c>
      <c r="S941" s="87">
        <f t="shared" si="111"/>
        <v>175</v>
      </c>
    </row>
    <row r="942" spans="2:19" x14ac:dyDescent="0.2">
      <c r="B942" s="83">
        <f t="shared" si="120"/>
        <v>350</v>
      </c>
      <c r="C942" s="3"/>
      <c r="D942" s="3"/>
      <c r="E942" s="3"/>
      <c r="F942" s="26" t="s">
        <v>117</v>
      </c>
      <c r="G942" s="3">
        <v>632</v>
      </c>
      <c r="H942" s="3" t="s">
        <v>145</v>
      </c>
      <c r="I942" s="19">
        <v>65483</v>
      </c>
      <c r="J942" s="19">
        <v>1845</v>
      </c>
      <c r="K942" s="87">
        <f t="shared" si="115"/>
        <v>67328</v>
      </c>
      <c r="L942" s="356"/>
      <c r="M942" s="345"/>
      <c r="N942" s="208"/>
      <c r="O942" s="87">
        <f t="shared" si="116"/>
        <v>0</v>
      </c>
      <c r="P942" s="356"/>
      <c r="Q942" s="345">
        <f t="shared" si="112"/>
        <v>65483</v>
      </c>
      <c r="R942" s="19">
        <f t="shared" si="110"/>
        <v>1845</v>
      </c>
      <c r="S942" s="87">
        <f t="shared" si="111"/>
        <v>67328</v>
      </c>
    </row>
    <row r="943" spans="2:19" x14ac:dyDescent="0.2">
      <c r="B943" s="83">
        <f t="shared" si="120"/>
        <v>351</v>
      </c>
      <c r="C943" s="3"/>
      <c r="D943" s="3"/>
      <c r="E943" s="3"/>
      <c r="F943" s="26" t="s">
        <v>117</v>
      </c>
      <c r="G943" s="3">
        <v>633</v>
      </c>
      <c r="H943" s="3" t="s">
        <v>136</v>
      </c>
      <c r="I943" s="19">
        <v>40723</v>
      </c>
      <c r="J943" s="19">
        <v>-88</v>
      </c>
      <c r="K943" s="87">
        <f t="shared" si="115"/>
        <v>40635</v>
      </c>
      <c r="L943" s="356"/>
      <c r="M943" s="345"/>
      <c r="N943" s="208"/>
      <c r="O943" s="87">
        <f t="shared" si="116"/>
        <v>0</v>
      </c>
      <c r="P943" s="356"/>
      <c r="Q943" s="345">
        <f t="shared" si="112"/>
        <v>40723</v>
      </c>
      <c r="R943" s="19">
        <f t="shared" si="110"/>
        <v>-88</v>
      </c>
      <c r="S943" s="87">
        <f t="shared" si="111"/>
        <v>40635</v>
      </c>
    </row>
    <row r="944" spans="2:19" x14ac:dyDescent="0.2">
      <c r="B944" s="83">
        <f t="shared" si="120"/>
        <v>352</v>
      </c>
      <c r="C944" s="3"/>
      <c r="D944" s="3"/>
      <c r="E944" s="3"/>
      <c r="F944" s="26" t="s">
        <v>117</v>
      </c>
      <c r="G944" s="3">
        <v>635</v>
      </c>
      <c r="H944" s="3" t="s">
        <v>144</v>
      </c>
      <c r="I944" s="19">
        <v>28445</v>
      </c>
      <c r="J944" s="19">
        <v>-9160</v>
      </c>
      <c r="K944" s="87">
        <f t="shared" si="115"/>
        <v>19285</v>
      </c>
      <c r="L944" s="356"/>
      <c r="M944" s="345"/>
      <c r="N944" s="208"/>
      <c r="O944" s="87">
        <f t="shared" si="116"/>
        <v>0</v>
      </c>
      <c r="P944" s="356"/>
      <c r="Q944" s="345">
        <f t="shared" si="112"/>
        <v>28445</v>
      </c>
      <c r="R944" s="19">
        <f t="shared" si="110"/>
        <v>-9160</v>
      </c>
      <c r="S944" s="87">
        <f t="shared" si="111"/>
        <v>19285</v>
      </c>
    </row>
    <row r="945" spans="2:19" x14ac:dyDescent="0.2">
      <c r="B945" s="83">
        <f t="shared" si="120"/>
        <v>353</v>
      </c>
      <c r="C945" s="3"/>
      <c r="D945" s="3"/>
      <c r="E945" s="3"/>
      <c r="F945" s="26" t="s">
        <v>117</v>
      </c>
      <c r="G945" s="3">
        <v>636</v>
      </c>
      <c r="H945" s="3" t="s">
        <v>137</v>
      </c>
      <c r="I945" s="19">
        <v>0</v>
      </c>
      <c r="J945" s="19">
        <v>10</v>
      </c>
      <c r="K945" s="87">
        <f t="shared" si="115"/>
        <v>10</v>
      </c>
      <c r="L945" s="356"/>
      <c r="M945" s="345"/>
      <c r="N945" s="208"/>
      <c r="O945" s="87"/>
      <c r="P945" s="356"/>
      <c r="Q945" s="345">
        <f t="shared" si="112"/>
        <v>0</v>
      </c>
      <c r="R945" s="19">
        <f t="shared" si="110"/>
        <v>10</v>
      </c>
      <c r="S945" s="87">
        <f t="shared" si="111"/>
        <v>10</v>
      </c>
    </row>
    <row r="946" spans="2:19" x14ac:dyDescent="0.2">
      <c r="B946" s="83">
        <f t="shared" si="120"/>
        <v>354</v>
      </c>
      <c r="C946" s="3"/>
      <c r="D946" s="3"/>
      <c r="E946" s="3"/>
      <c r="F946" s="26" t="s">
        <v>117</v>
      </c>
      <c r="G946" s="3">
        <v>637</v>
      </c>
      <c r="H946" s="3" t="s">
        <v>133</v>
      </c>
      <c r="I946" s="19">
        <f>49952+2500+2110</f>
        <v>54562</v>
      </c>
      <c r="J946" s="19">
        <v>8604</v>
      </c>
      <c r="K946" s="87">
        <f t="shared" si="115"/>
        <v>63166</v>
      </c>
      <c r="L946" s="356"/>
      <c r="M946" s="345"/>
      <c r="N946" s="208"/>
      <c r="O946" s="87">
        <f t="shared" si="116"/>
        <v>0</v>
      </c>
      <c r="P946" s="356"/>
      <c r="Q946" s="345">
        <f t="shared" si="112"/>
        <v>54562</v>
      </c>
      <c r="R946" s="19">
        <f t="shared" si="110"/>
        <v>8604</v>
      </c>
      <c r="S946" s="87">
        <f t="shared" si="111"/>
        <v>63166</v>
      </c>
    </row>
    <row r="947" spans="2:19" x14ac:dyDescent="0.2">
      <c r="B947" s="83">
        <f t="shared" si="120"/>
        <v>355</v>
      </c>
      <c r="C947" s="7"/>
      <c r="D947" s="7"/>
      <c r="E947" s="7"/>
      <c r="F947" s="25" t="s">
        <v>117</v>
      </c>
      <c r="G947" s="7">
        <v>640</v>
      </c>
      <c r="H947" s="7" t="s">
        <v>140</v>
      </c>
      <c r="I947" s="23">
        <v>3865</v>
      </c>
      <c r="J947" s="23">
        <v>-472</v>
      </c>
      <c r="K947" s="86">
        <f t="shared" si="115"/>
        <v>3393</v>
      </c>
      <c r="L947" s="355"/>
      <c r="M947" s="344"/>
      <c r="N947" s="246"/>
      <c r="O947" s="86">
        <f t="shared" si="116"/>
        <v>0</v>
      </c>
      <c r="P947" s="355"/>
      <c r="Q947" s="344">
        <f t="shared" si="112"/>
        <v>3865</v>
      </c>
      <c r="R947" s="23">
        <f t="shared" si="110"/>
        <v>-472</v>
      </c>
      <c r="S947" s="86">
        <f t="shared" si="111"/>
        <v>3393</v>
      </c>
    </row>
    <row r="948" spans="2:19" x14ac:dyDescent="0.2">
      <c r="B948" s="83">
        <f t="shared" si="120"/>
        <v>356</v>
      </c>
      <c r="C948" s="7"/>
      <c r="D948" s="7"/>
      <c r="E948" s="7"/>
      <c r="F948" s="25"/>
      <c r="G948" s="7">
        <v>630</v>
      </c>
      <c r="H948" s="7" t="s">
        <v>583</v>
      </c>
      <c r="I948" s="23">
        <v>6119</v>
      </c>
      <c r="J948" s="23"/>
      <c r="K948" s="86">
        <f t="shared" si="115"/>
        <v>6119</v>
      </c>
      <c r="L948" s="355"/>
      <c r="M948" s="344"/>
      <c r="N948" s="246"/>
      <c r="O948" s="86">
        <f t="shared" si="116"/>
        <v>0</v>
      </c>
      <c r="P948" s="355"/>
      <c r="Q948" s="344">
        <f t="shared" si="112"/>
        <v>6119</v>
      </c>
      <c r="R948" s="23">
        <f t="shared" si="110"/>
        <v>0</v>
      </c>
      <c r="S948" s="86">
        <f t="shared" si="111"/>
        <v>6119</v>
      </c>
    </row>
    <row r="949" spans="2:19" x14ac:dyDescent="0.2">
      <c r="B949" s="83">
        <f t="shared" si="120"/>
        <v>357</v>
      </c>
      <c r="C949" s="7"/>
      <c r="D949" s="7"/>
      <c r="E949" s="7"/>
      <c r="F949" s="25" t="s">
        <v>83</v>
      </c>
      <c r="G949" s="7">
        <v>630</v>
      </c>
      <c r="H949" s="7" t="s">
        <v>657</v>
      </c>
      <c r="I949" s="23">
        <v>0</v>
      </c>
      <c r="J949" s="23">
        <v>520</v>
      </c>
      <c r="K949" s="86">
        <f t="shared" si="115"/>
        <v>520</v>
      </c>
      <c r="L949" s="355"/>
      <c r="M949" s="344"/>
      <c r="N949" s="246"/>
      <c r="O949" s="86"/>
      <c r="P949" s="355"/>
      <c r="Q949" s="344">
        <f t="shared" si="112"/>
        <v>0</v>
      </c>
      <c r="R949" s="23">
        <f t="shared" ref="R949" si="123">J949+N949</f>
        <v>520</v>
      </c>
      <c r="S949" s="86">
        <f t="shared" ref="S949" si="124">K949+O949</f>
        <v>520</v>
      </c>
    </row>
    <row r="950" spans="2:19" ht="15" x14ac:dyDescent="0.25">
      <c r="B950" s="83">
        <f t="shared" si="120"/>
        <v>358</v>
      </c>
      <c r="C950" s="10"/>
      <c r="D950" s="10"/>
      <c r="E950" s="10">
        <v>12</v>
      </c>
      <c r="F950" s="28"/>
      <c r="G950" s="10"/>
      <c r="H950" s="10" t="s">
        <v>9</v>
      </c>
      <c r="I950" s="38">
        <f>I951+I952+I953+I961+I962+I963+I964+I971+I972</f>
        <v>1284198</v>
      </c>
      <c r="J950" s="38">
        <f>J951+J952+J953+J961+J962+J963+J964+J971+J972+J973</f>
        <v>7510</v>
      </c>
      <c r="K950" s="94">
        <f t="shared" si="115"/>
        <v>1291708</v>
      </c>
      <c r="L950" s="365"/>
      <c r="M950" s="362">
        <v>0</v>
      </c>
      <c r="N950" s="253"/>
      <c r="O950" s="94">
        <f t="shared" si="116"/>
        <v>0</v>
      </c>
      <c r="P950" s="365"/>
      <c r="Q950" s="362">
        <f t="shared" si="112"/>
        <v>1284198</v>
      </c>
      <c r="R950" s="38">
        <f t="shared" si="110"/>
        <v>7510</v>
      </c>
      <c r="S950" s="94">
        <f t="shared" si="111"/>
        <v>1291708</v>
      </c>
    </row>
    <row r="951" spans="2:19" x14ac:dyDescent="0.2">
      <c r="B951" s="83">
        <f t="shared" si="120"/>
        <v>359</v>
      </c>
      <c r="C951" s="7"/>
      <c r="D951" s="7"/>
      <c r="E951" s="7"/>
      <c r="F951" s="25" t="s">
        <v>130</v>
      </c>
      <c r="G951" s="7">
        <v>610</v>
      </c>
      <c r="H951" s="7" t="s">
        <v>142</v>
      </c>
      <c r="I951" s="23">
        <f>362610+14850-27320-14850+1950</f>
        <v>337240</v>
      </c>
      <c r="J951" s="23"/>
      <c r="K951" s="86">
        <f t="shared" si="115"/>
        <v>337240</v>
      </c>
      <c r="L951" s="355"/>
      <c r="M951" s="344"/>
      <c r="N951" s="246"/>
      <c r="O951" s="86">
        <f t="shared" si="116"/>
        <v>0</v>
      </c>
      <c r="P951" s="355"/>
      <c r="Q951" s="344">
        <f t="shared" si="112"/>
        <v>337240</v>
      </c>
      <c r="R951" s="23">
        <f t="shared" si="110"/>
        <v>0</v>
      </c>
      <c r="S951" s="86">
        <f t="shared" si="111"/>
        <v>337240</v>
      </c>
    </row>
    <row r="952" spans="2:19" x14ac:dyDescent="0.2">
      <c r="B952" s="83">
        <f t="shared" si="120"/>
        <v>360</v>
      </c>
      <c r="C952" s="7"/>
      <c r="D952" s="7"/>
      <c r="E952" s="7"/>
      <c r="F952" s="25" t="s">
        <v>130</v>
      </c>
      <c r="G952" s="7">
        <v>620</v>
      </c>
      <c r="H952" s="7" t="s">
        <v>135</v>
      </c>
      <c r="I952" s="23">
        <f>125960+5560-1414-5560+700</f>
        <v>125246</v>
      </c>
      <c r="J952" s="23"/>
      <c r="K952" s="86">
        <f t="shared" si="115"/>
        <v>125246</v>
      </c>
      <c r="L952" s="355"/>
      <c r="M952" s="344"/>
      <c r="N952" s="246"/>
      <c r="O952" s="86">
        <f t="shared" si="116"/>
        <v>0</v>
      </c>
      <c r="P952" s="355"/>
      <c r="Q952" s="344">
        <f t="shared" si="112"/>
        <v>125246</v>
      </c>
      <c r="R952" s="23">
        <f t="shared" si="110"/>
        <v>0</v>
      </c>
      <c r="S952" s="86">
        <f t="shared" si="111"/>
        <v>125246</v>
      </c>
    </row>
    <row r="953" spans="2:19" x14ac:dyDescent="0.2">
      <c r="B953" s="83">
        <f t="shared" si="120"/>
        <v>361</v>
      </c>
      <c r="C953" s="7"/>
      <c r="D953" s="7"/>
      <c r="E953" s="7"/>
      <c r="F953" s="25" t="s">
        <v>130</v>
      </c>
      <c r="G953" s="7">
        <v>630</v>
      </c>
      <c r="H953" s="7" t="s">
        <v>132</v>
      </c>
      <c r="I953" s="23">
        <f>SUM(I954:I960)</f>
        <v>60912</v>
      </c>
      <c r="J953" s="23">
        <f>SUM(J954:J960)</f>
        <v>284</v>
      </c>
      <c r="K953" s="86">
        <f t="shared" si="115"/>
        <v>61196</v>
      </c>
      <c r="L953" s="355"/>
      <c r="M953" s="344"/>
      <c r="N953" s="246"/>
      <c r="O953" s="86">
        <f t="shared" si="116"/>
        <v>0</v>
      </c>
      <c r="P953" s="355"/>
      <c r="Q953" s="344">
        <f t="shared" si="112"/>
        <v>60912</v>
      </c>
      <c r="R953" s="23">
        <f t="shared" si="110"/>
        <v>284</v>
      </c>
      <c r="S953" s="86">
        <f t="shared" si="111"/>
        <v>61196</v>
      </c>
    </row>
    <row r="954" spans="2:19" x14ac:dyDescent="0.2">
      <c r="B954" s="83">
        <f t="shared" si="120"/>
        <v>362</v>
      </c>
      <c r="C954" s="3"/>
      <c r="D954" s="3"/>
      <c r="E954" s="3"/>
      <c r="F954" s="26" t="s">
        <v>130</v>
      </c>
      <c r="G954" s="3">
        <v>631</v>
      </c>
      <c r="H954" s="3" t="s">
        <v>138</v>
      </c>
      <c r="I954" s="19">
        <v>305</v>
      </c>
      <c r="J954" s="19"/>
      <c r="K954" s="87">
        <f t="shared" si="115"/>
        <v>305</v>
      </c>
      <c r="L954" s="356"/>
      <c r="M954" s="345"/>
      <c r="N954" s="208"/>
      <c r="O954" s="87">
        <f t="shared" si="116"/>
        <v>0</v>
      </c>
      <c r="P954" s="356"/>
      <c r="Q954" s="345">
        <f t="shared" si="112"/>
        <v>305</v>
      </c>
      <c r="R954" s="19">
        <f t="shared" si="110"/>
        <v>0</v>
      </c>
      <c r="S954" s="87">
        <f t="shared" si="111"/>
        <v>305</v>
      </c>
    </row>
    <row r="955" spans="2:19" x14ac:dyDescent="0.2">
      <c r="B955" s="83">
        <f t="shared" si="120"/>
        <v>363</v>
      </c>
      <c r="C955" s="3"/>
      <c r="D955" s="3"/>
      <c r="E955" s="3"/>
      <c r="F955" s="26" t="s">
        <v>130</v>
      </c>
      <c r="G955" s="3">
        <v>632</v>
      </c>
      <c r="H955" s="3" t="s">
        <v>145</v>
      </c>
      <c r="I955" s="19">
        <v>18350</v>
      </c>
      <c r="J955" s="19"/>
      <c r="K955" s="87">
        <f t="shared" si="115"/>
        <v>18350</v>
      </c>
      <c r="L955" s="356"/>
      <c r="M955" s="345"/>
      <c r="N955" s="208"/>
      <c r="O955" s="87">
        <f t="shared" si="116"/>
        <v>0</v>
      </c>
      <c r="P955" s="356"/>
      <c r="Q955" s="345">
        <f t="shared" si="112"/>
        <v>18350</v>
      </c>
      <c r="R955" s="19">
        <f t="shared" si="110"/>
        <v>0</v>
      </c>
      <c r="S955" s="87">
        <f t="shared" si="111"/>
        <v>18350</v>
      </c>
    </row>
    <row r="956" spans="2:19" x14ac:dyDescent="0.2">
      <c r="B956" s="83">
        <f t="shared" si="120"/>
        <v>364</v>
      </c>
      <c r="C956" s="3"/>
      <c r="D956" s="3"/>
      <c r="E956" s="3"/>
      <c r="F956" s="26" t="s">
        <v>130</v>
      </c>
      <c r="G956" s="3">
        <v>633</v>
      </c>
      <c r="H956" s="3" t="s">
        <v>136</v>
      </c>
      <c r="I956" s="19">
        <v>9870</v>
      </c>
      <c r="J956" s="19">
        <v>284</v>
      </c>
      <c r="K956" s="87">
        <f t="shared" si="115"/>
        <v>10154</v>
      </c>
      <c r="L956" s="356"/>
      <c r="M956" s="345"/>
      <c r="N956" s="208"/>
      <c r="O956" s="87">
        <f t="shared" si="116"/>
        <v>0</v>
      </c>
      <c r="P956" s="356"/>
      <c r="Q956" s="345">
        <f t="shared" si="112"/>
        <v>9870</v>
      </c>
      <c r="R956" s="19">
        <f t="shared" si="110"/>
        <v>284</v>
      </c>
      <c r="S956" s="87">
        <f t="shared" si="111"/>
        <v>10154</v>
      </c>
    </row>
    <row r="957" spans="2:19" x14ac:dyDescent="0.2">
      <c r="B957" s="83">
        <f t="shared" si="120"/>
        <v>365</v>
      </c>
      <c r="C957" s="3"/>
      <c r="D957" s="3"/>
      <c r="E957" s="3"/>
      <c r="F957" s="26" t="s">
        <v>130</v>
      </c>
      <c r="G957" s="3">
        <v>634</v>
      </c>
      <c r="H957" s="3" t="s">
        <v>143</v>
      </c>
      <c r="I957" s="19">
        <v>1632</v>
      </c>
      <c r="J957" s="19"/>
      <c r="K957" s="87">
        <f t="shared" si="115"/>
        <v>1632</v>
      </c>
      <c r="L957" s="356"/>
      <c r="M957" s="345"/>
      <c r="N957" s="208"/>
      <c r="O957" s="87">
        <f t="shared" si="116"/>
        <v>0</v>
      </c>
      <c r="P957" s="356"/>
      <c r="Q957" s="345">
        <f t="shared" ref="Q957:Q1031" si="125">I957+M957</f>
        <v>1632</v>
      </c>
      <c r="R957" s="19">
        <f t="shared" si="110"/>
        <v>0</v>
      </c>
      <c r="S957" s="87">
        <f t="shared" si="111"/>
        <v>1632</v>
      </c>
    </row>
    <row r="958" spans="2:19" x14ac:dyDescent="0.2">
      <c r="B958" s="83">
        <f t="shared" si="120"/>
        <v>366</v>
      </c>
      <c r="C958" s="3"/>
      <c r="D958" s="3"/>
      <c r="E958" s="3"/>
      <c r="F958" s="26" t="s">
        <v>130</v>
      </c>
      <c r="G958" s="3">
        <v>635</v>
      </c>
      <c r="H958" s="3" t="s">
        <v>144</v>
      </c>
      <c r="I958" s="19">
        <f>15600-2485</f>
        <v>13115</v>
      </c>
      <c r="J958" s="19"/>
      <c r="K958" s="87">
        <f t="shared" si="115"/>
        <v>13115</v>
      </c>
      <c r="L958" s="356"/>
      <c r="M958" s="345"/>
      <c r="N958" s="208"/>
      <c r="O958" s="87">
        <f t="shared" si="116"/>
        <v>0</v>
      </c>
      <c r="P958" s="356"/>
      <c r="Q958" s="345">
        <f t="shared" si="125"/>
        <v>13115</v>
      </c>
      <c r="R958" s="19">
        <f t="shared" ref="R958:R1032" si="126">J958+N958</f>
        <v>0</v>
      </c>
      <c r="S958" s="87">
        <f t="shared" ref="S958:S1032" si="127">K958+O958</f>
        <v>13115</v>
      </c>
    </row>
    <row r="959" spans="2:19" x14ac:dyDescent="0.2">
      <c r="B959" s="83">
        <f t="shared" si="120"/>
        <v>367</v>
      </c>
      <c r="C959" s="3"/>
      <c r="D959" s="3"/>
      <c r="E959" s="3"/>
      <c r="F959" s="26" t="s">
        <v>130</v>
      </c>
      <c r="G959" s="3">
        <v>636</v>
      </c>
      <c r="H959" s="3" t="s">
        <v>137</v>
      </c>
      <c r="I959" s="19">
        <v>2400</v>
      </c>
      <c r="J959" s="19"/>
      <c r="K959" s="87">
        <f t="shared" si="115"/>
        <v>2400</v>
      </c>
      <c r="L959" s="356"/>
      <c r="M959" s="345"/>
      <c r="N959" s="208"/>
      <c r="O959" s="87">
        <f t="shared" si="116"/>
        <v>0</v>
      </c>
      <c r="P959" s="356"/>
      <c r="Q959" s="345">
        <f t="shared" si="125"/>
        <v>2400</v>
      </c>
      <c r="R959" s="19">
        <f t="shared" si="126"/>
        <v>0</v>
      </c>
      <c r="S959" s="87">
        <f t="shared" si="127"/>
        <v>2400</v>
      </c>
    </row>
    <row r="960" spans="2:19" x14ac:dyDescent="0.2">
      <c r="B960" s="83">
        <f t="shared" si="120"/>
        <v>368</v>
      </c>
      <c r="C960" s="3"/>
      <c r="D960" s="3"/>
      <c r="E960" s="3"/>
      <c r="F960" s="26" t="s">
        <v>130</v>
      </c>
      <c r="G960" s="3">
        <v>637</v>
      </c>
      <c r="H960" s="3" t="s">
        <v>133</v>
      </c>
      <c r="I960" s="19">
        <v>15240</v>
      </c>
      <c r="J960" s="19"/>
      <c r="K960" s="87">
        <f t="shared" si="115"/>
        <v>15240</v>
      </c>
      <c r="L960" s="356"/>
      <c r="M960" s="345"/>
      <c r="N960" s="208"/>
      <c r="O960" s="87">
        <f t="shared" si="116"/>
        <v>0</v>
      </c>
      <c r="P960" s="356"/>
      <c r="Q960" s="345">
        <f t="shared" si="125"/>
        <v>15240</v>
      </c>
      <c r="R960" s="19">
        <f t="shared" si="126"/>
        <v>0</v>
      </c>
      <c r="S960" s="87">
        <f t="shared" si="127"/>
        <v>15240</v>
      </c>
    </row>
    <row r="961" spans="2:19" x14ac:dyDescent="0.2">
      <c r="B961" s="83">
        <f t="shared" si="120"/>
        <v>369</v>
      </c>
      <c r="C961" s="7"/>
      <c r="D961" s="7"/>
      <c r="E961" s="7"/>
      <c r="F961" s="25" t="s">
        <v>130</v>
      </c>
      <c r="G961" s="7">
        <v>640</v>
      </c>
      <c r="H961" s="7" t="s">
        <v>140</v>
      </c>
      <c r="I961" s="23">
        <f>10400+2080</f>
        <v>12480</v>
      </c>
      <c r="J961" s="23">
        <v>-2550</v>
      </c>
      <c r="K961" s="86">
        <f t="shared" si="115"/>
        <v>9930</v>
      </c>
      <c r="L961" s="355"/>
      <c r="M961" s="344"/>
      <c r="N961" s="246"/>
      <c r="O961" s="86">
        <f t="shared" si="116"/>
        <v>0</v>
      </c>
      <c r="P961" s="355"/>
      <c r="Q961" s="344">
        <f t="shared" si="125"/>
        <v>12480</v>
      </c>
      <c r="R961" s="23">
        <f t="shared" si="126"/>
        <v>-2550</v>
      </c>
      <c r="S961" s="86">
        <f t="shared" si="127"/>
        <v>9930</v>
      </c>
    </row>
    <row r="962" spans="2:19" x14ac:dyDescent="0.2">
      <c r="B962" s="83">
        <f t="shared" si="120"/>
        <v>370</v>
      </c>
      <c r="C962" s="7"/>
      <c r="D962" s="7"/>
      <c r="E962" s="7"/>
      <c r="F962" s="25" t="s">
        <v>117</v>
      </c>
      <c r="G962" s="7">
        <v>610</v>
      </c>
      <c r="H962" s="7" t="s">
        <v>142</v>
      </c>
      <c r="I962" s="23">
        <f>378310+14850+50+18950</f>
        <v>412160</v>
      </c>
      <c r="J962" s="23">
        <v>12490</v>
      </c>
      <c r="K962" s="86">
        <f t="shared" si="115"/>
        <v>424650</v>
      </c>
      <c r="L962" s="355"/>
      <c r="M962" s="344"/>
      <c r="N962" s="246"/>
      <c r="O962" s="86">
        <f t="shared" si="116"/>
        <v>0</v>
      </c>
      <c r="P962" s="355"/>
      <c r="Q962" s="344">
        <f t="shared" si="125"/>
        <v>412160</v>
      </c>
      <c r="R962" s="23">
        <f t="shared" si="126"/>
        <v>12490</v>
      </c>
      <c r="S962" s="86">
        <f t="shared" si="127"/>
        <v>424650</v>
      </c>
    </row>
    <row r="963" spans="2:19" x14ac:dyDescent="0.2">
      <c r="B963" s="83">
        <f t="shared" si="120"/>
        <v>371</v>
      </c>
      <c r="C963" s="7"/>
      <c r="D963" s="7"/>
      <c r="E963" s="7"/>
      <c r="F963" s="25" t="s">
        <v>117</v>
      </c>
      <c r="G963" s="7">
        <v>620</v>
      </c>
      <c r="H963" s="7" t="s">
        <v>135</v>
      </c>
      <c r="I963" s="23">
        <f>137080+5560+10+5560</f>
        <v>148210</v>
      </c>
      <c r="J963" s="23">
        <v>24065</v>
      </c>
      <c r="K963" s="86">
        <f t="shared" si="115"/>
        <v>172275</v>
      </c>
      <c r="L963" s="355"/>
      <c r="M963" s="344"/>
      <c r="N963" s="246"/>
      <c r="O963" s="86">
        <f t="shared" si="116"/>
        <v>0</v>
      </c>
      <c r="P963" s="355"/>
      <c r="Q963" s="344">
        <f t="shared" si="125"/>
        <v>148210</v>
      </c>
      <c r="R963" s="23">
        <f t="shared" si="126"/>
        <v>24065</v>
      </c>
      <c r="S963" s="86">
        <f t="shared" si="127"/>
        <v>172275</v>
      </c>
    </row>
    <row r="964" spans="2:19" x14ac:dyDescent="0.2">
      <c r="B964" s="83">
        <f t="shared" si="120"/>
        <v>372</v>
      </c>
      <c r="C964" s="7"/>
      <c r="D964" s="7"/>
      <c r="E964" s="7"/>
      <c r="F964" s="25" t="s">
        <v>117</v>
      </c>
      <c r="G964" s="7">
        <v>630</v>
      </c>
      <c r="H964" s="7" t="s">
        <v>132</v>
      </c>
      <c r="I964" s="23">
        <f>SUM(I965:I970)</f>
        <v>167665</v>
      </c>
      <c r="J964" s="23">
        <f>SUM(J965:J970)</f>
        <v>-23091</v>
      </c>
      <c r="K964" s="86">
        <f t="shared" si="115"/>
        <v>144574</v>
      </c>
      <c r="L964" s="355"/>
      <c r="M964" s="344"/>
      <c r="N964" s="246"/>
      <c r="O964" s="86">
        <f t="shared" si="116"/>
        <v>0</v>
      </c>
      <c r="P964" s="355"/>
      <c r="Q964" s="344">
        <f t="shared" si="125"/>
        <v>167665</v>
      </c>
      <c r="R964" s="23">
        <f t="shared" si="126"/>
        <v>-23091</v>
      </c>
      <c r="S964" s="86">
        <f t="shared" si="127"/>
        <v>144574</v>
      </c>
    </row>
    <row r="965" spans="2:19" x14ac:dyDescent="0.2">
      <c r="B965" s="83">
        <f t="shared" si="120"/>
        <v>373</v>
      </c>
      <c r="C965" s="3"/>
      <c r="D965" s="3"/>
      <c r="E965" s="3"/>
      <c r="F965" s="26" t="s">
        <v>117</v>
      </c>
      <c r="G965" s="3">
        <v>631</v>
      </c>
      <c r="H965" s="3" t="s">
        <v>138</v>
      </c>
      <c r="I965" s="19">
        <v>400</v>
      </c>
      <c r="J965" s="19">
        <v>500</v>
      </c>
      <c r="K965" s="87">
        <f t="shared" si="115"/>
        <v>900</v>
      </c>
      <c r="L965" s="356"/>
      <c r="M965" s="345"/>
      <c r="N965" s="208"/>
      <c r="O965" s="87">
        <f t="shared" si="116"/>
        <v>0</v>
      </c>
      <c r="P965" s="356"/>
      <c r="Q965" s="345">
        <f t="shared" si="125"/>
        <v>400</v>
      </c>
      <c r="R965" s="19">
        <f t="shared" si="126"/>
        <v>500</v>
      </c>
      <c r="S965" s="87">
        <f t="shared" si="127"/>
        <v>900</v>
      </c>
    </row>
    <row r="966" spans="2:19" x14ac:dyDescent="0.2">
      <c r="B966" s="83">
        <f t="shared" si="120"/>
        <v>374</v>
      </c>
      <c r="C966" s="3"/>
      <c r="D966" s="3"/>
      <c r="E966" s="3"/>
      <c r="F966" s="26" t="s">
        <v>117</v>
      </c>
      <c r="G966" s="3">
        <v>632</v>
      </c>
      <c r="H966" s="3" t="s">
        <v>145</v>
      </c>
      <c r="I966" s="19">
        <v>22900</v>
      </c>
      <c r="J966" s="19"/>
      <c r="K966" s="87">
        <f t="shared" si="115"/>
        <v>22900</v>
      </c>
      <c r="L966" s="356"/>
      <c r="M966" s="345"/>
      <c r="N966" s="208"/>
      <c r="O966" s="87">
        <f t="shared" si="116"/>
        <v>0</v>
      </c>
      <c r="P966" s="356"/>
      <c r="Q966" s="345">
        <f t="shared" si="125"/>
        <v>22900</v>
      </c>
      <c r="R966" s="19">
        <f t="shared" si="126"/>
        <v>0</v>
      </c>
      <c r="S966" s="87">
        <f t="shared" si="127"/>
        <v>22900</v>
      </c>
    </row>
    <row r="967" spans="2:19" x14ac:dyDescent="0.2">
      <c r="B967" s="83">
        <f t="shared" si="120"/>
        <v>375</v>
      </c>
      <c r="C967" s="3"/>
      <c r="D967" s="3"/>
      <c r="E967" s="3"/>
      <c r="F967" s="26" t="s">
        <v>117</v>
      </c>
      <c r="G967" s="3">
        <v>633</v>
      </c>
      <c r="H967" s="3" t="s">
        <v>136</v>
      </c>
      <c r="I967" s="19">
        <f>35530-1900+715</f>
        <v>34345</v>
      </c>
      <c r="J967" s="19">
        <v>-8900</v>
      </c>
      <c r="K967" s="87">
        <f t="shared" si="115"/>
        <v>25445</v>
      </c>
      <c r="L967" s="356"/>
      <c r="M967" s="345"/>
      <c r="N967" s="208"/>
      <c r="O967" s="87">
        <f t="shared" si="116"/>
        <v>0</v>
      </c>
      <c r="P967" s="356"/>
      <c r="Q967" s="345">
        <f t="shared" si="125"/>
        <v>34345</v>
      </c>
      <c r="R967" s="19">
        <f t="shared" si="126"/>
        <v>-8900</v>
      </c>
      <c r="S967" s="87">
        <f t="shared" si="127"/>
        <v>25445</v>
      </c>
    </row>
    <row r="968" spans="2:19" x14ac:dyDescent="0.2">
      <c r="B968" s="83">
        <f t="shared" si="120"/>
        <v>376</v>
      </c>
      <c r="C968" s="3"/>
      <c r="D968" s="3"/>
      <c r="E968" s="3"/>
      <c r="F968" s="26" t="s">
        <v>117</v>
      </c>
      <c r="G968" s="3">
        <v>635</v>
      </c>
      <c r="H968" s="3" t="s">
        <v>144</v>
      </c>
      <c r="I968" s="19">
        <v>70300</v>
      </c>
      <c r="J968" s="19">
        <v>-9000</v>
      </c>
      <c r="K968" s="87">
        <f t="shared" si="115"/>
        <v>61300</v>
      </c>
      <c r="L968" s="356"/>
      <c r="M968" s="345"/>
      <c r="N968" s="208"/>
      <c r="O968" s="87">
        <f t="shared" si="116"/>
        <v>0</v>
      </c>
      <c r="P968" s="356"/>
      <c r="Q968" s="345">
        <f t="shared" si="125"/>
        <v>70300</v>
      </c>
      <c r="R968" s="19">
        <f t="shared" si="126"/>
        <v>-9000</v>
      </c>
      <c r="S968" s="87">
        <f t="shared" si="127"/>
        <v>61300</v>
      </c>
    </row>
    <row r="969" spans="2:19" x14ac:dyDescent="0.2">
      <c r="B969" s="83">
        <f t="shared" si="120"/>
        <v>377</v>
      </c>
      <c r="C969" s="3"/>
      <c r="D969" s="3"/>
      <c r="E969" s="3"/>
      <c r="F969" s="26" t="s">
        <v>117</v>
      </c>
      <c r="G969" s="3">
        <v>636</v>
      </c>
      <c r="H969" s="3" t="s">
        <v>137</v>
      </c>
      <c r="I969" s="19">
        <v>3000</v>
      </c>
      <c r="J969" s="19"/>
      <c r="K969" s="87">
        <f t="shared" si="115"/>
        <v>3000</v>
      </c>
      <c r="L969" s="356"/>
      <c r="M969" s="345"/>
      <c r="N969" s="208"/>
      <c r="O969" s="87">
        <f t="shared" si="116"/>
        <v>0</v>
      </c>
      <c r="P969" s="356"/>
      <c r="Q969" s="345">
        <f t="shared" si="125"/>
        <v>3000</v>
      </c>
      <c r="R969" s="19">
        <f t="shared" si="126"/>
        <v>0</v>
      </c>
      <c r="S969" s="87">
        <f t="shared" si="127"/>
        <v>3000</v>
      </c>
    </row>
    <row r="970" spans="2:19" x14ac:dyDescent="0.2">
      <c r="B970" s="83">
        <f t="shared" si="120"/>
        <v>378</v>
      </c>
      <c r="C970" s="3"/>
      <c r="D970" s="3"/>
      <c r="E970" s="3"/>
      <c r="F970" s="26" t="s">
        <v>117</v>
      </c>
      <c r="G970" s="3">
        <v>637</v>
      </c>
      <c r="H970" s="3" t="s">
        <v>133</v>
      </c>
      <c r="I970" s="19">
        <f>40820-4100</f>
        <v>36720</v>
      </c>
      <c r="J970" s="19">
        <v>-5691</v>
      </c>
      <c r="K970" s="87">
        <f t="shared" si="115"/>
        <v>31029</v>
      </c>
      <c r="L970" s="356"/>
      <c r="M970" s="345"/>
      <c r="N970" s="208"/>
      <c r="O970" s="87">
        <f t="shared" si="116"/>
        <v>0</v>
      </c>
      <c r="P970" s="356"/>
      <c r="Q970" s="345">
        <f t="shared" si="125"/>
        <v>36720</v>
      </c>
      <c r="R970" s="19">
        <f t="shared" si="126"/>
        <v>-5691</v>
      </c>
      <c r="S970" s="87">
        <f t="shared" si="127"/>
        <v>31029</v>
      </c>
    </row>
    <row r="971" spans="2:19" x14ac:dyDescent="0.2">
      <c r="B971" s="83">
        <f t="shared" si="120"/>
        <v>379</v>
      </c>
      <c r="C971" s="7"/>
      <c r="D971" s="7"/>
      <c r="E971" s="7"/>
      <c r="F971" s="25" t="s">
        <v>117</v>
      </c>
      <c r="G971" s="7">
        <v>640</v>
      </c>
      <c r="H971" s="7" t="s">
        <v>140</v>
      </c>
      <c r="I971" s="23">
        <v>16585</v>
      </c>
      <c r="J971" s="23">
        <v>-4188</v>
      </c>
      <c r="K971" s="86">
        <f t="shared" si="115"/>
        <v>12397</v>
      </c>
      <c r="L971" s="355"/>
      <c r="M971" s="344"/>
      <c r="N971" s="246"/>
      <c r="O971" s="86">
        <f t="shared" si="116"/>
        <v>0</v>
      </c>
      <c r="P971" s="355"/>
      <c r="Q971" s="344">
        <f t="shared" si="125"/>
        <v>16585</v>
      </c>
      <c r="R971" s="23">
        <f t="shared" si="126"/>
        <v>-4188</v>
      </c>
      <c r="S971" s="86">
        <f t="shared" si="127"/>
        <v>12397</v>
      </c>
    </row>
    <row r="972" spans="2:19" x14ac:dyDescent="0.2">
      <c r="B972" s="83">
        <f t="shared" si="120"/>
        <v>380</v>
      </c>
      <c r="C972" s="7"/>
      <c r="D972" s="7"/>
      <c r="E972" s="7"/>
      <c r="F972" s="25"/>
      <c r="G972" s="7">
        <v>630</v>
      </c>
      <c r="H972" s="7" t="s">
        <v>583</v>
      </c>
      <c r="I972" s="23">
        <v>3700</v>
      </c>
      <c r="J972" s="23"/>
      <c r="K972" s="86">
        <f t="shared" si="115"/>
        <v>3700</v>
      </c>
      <c r="L972" s="355"/>
      <c r="M972" s="344"/>
      <c r="N972" s="246"/>
      <c r="O972" s="86">
        <f t="shared" si="116"/>
        <v>0</v>
      </c>
      <c r="P972" s="355"/>
      <c r="Q972" s="344">
        <f t="shared" si="125"/>
        <v>3700</v>
      </c>
      <c r="R972" s="23">
        <f t="shared" si="126"/>
        <v>0</v>
      </c>
      <c r="S972" s="86">
        <f t="shared" si="127"/>
        <v>3700</v>
      </c>
    </row>
    <row r="973" spans="2:19" x14ac:dyDescent="0.2">
      <c r="B973" s="83">
        <f t="shared" si="120"/>
        <v>381</v>
      </c>
      <c r="C973" s="7"/>
      <c r="D973" s="7"/>
      <c r="E973" s="7"/>
      <c r="F973" s="25" t="s">
        <v>83</v>
      </c>
      <c r="G973" s="7">
        <v>630</v>
      </c>
      <c r="H973" s="7" t="s">
        <v>657</v>
      </c>
      <c r="I973" s="23">
        <v>0</v>
      </c>
      <c r="J973" s="23">
        <v>500</v>
      </c>
      <c r="K973" s="86">
        <f t="shared" si="115"/>
        <v>500</v>
      </c>
      <c r="L973" s="355"/>
      <c r="M973" s="344"/>
      <c r="N973" s="246"/>
      <c r="O973" s="86"/>
      <c r="P973" s="355"/>
      <c r="Q973" s="344">
        <f t="shared" si="125"/>
        <v>0</v>
      </c>
      <c r="R973" s="23">
        <f t="shared" ref="R973" si="128">J973+N973</f>
        <v>500</v>
      </c>
      <c r="S973" s="86">
        <f t="shared" ref="S973" si="129">K973+O973</f>
        <v>500</v>
      </c>
    </row>
    <row r="974" spans="2:19" ht="15" x14ac:dyDescent="0.25">
      <c r="B974" s="83">
        <f t="shared" si="120"/>
        <v>382</v>
      </c>
      <c r="C974" s="10"/>
      <c r="D974" s="10"/>
      <c r="E974" s="10">
        <v>13</v>
      </c>
      <c r="F974" s="28"/>
      <c r="G974" s="10"/>
      <c r="H974" s="10" t="s">
        <v>19</v>
      </c>
      <c r="I974" s="38">
        <f>I975+I976+I977+I983+I984+I985+I986+I991+I992</f>
        <v>542227</v>
      </c>
      <c r="J974" s="38">
        <f>J975+J976+J977+J983+J984+J985+J986+J991+J992+J993</f>
        <v>-999</v>
      </c>
      <c r="K974" s="94">
        <f t="shared" si="115"/>
        <v>541228</v>
      </c>
      <c r="L974" s="365"/>
      <c r="M974" s="362">
        <v>0</v>
      </c>
      <c r="N974" s="253"/>
      <c r="O974" s="94">
        <f t="shared" si="116"/>
        <v>0</v>
      </c>
      <c r="P974" s="365"/>
      <c r="Q974" s="362">
        <f t="shared" si="125"/>
        <v>542227</v>
      </c>
      <c r="R974" s="38">
        <f t="shared" si="126"/>
        <v>-999</v>
      </c>
      <c r="S974" s="94">
        <f t="shared" si="127"/>
        <v>541228</v>
      </c>
    </row>
    <row r="975" spans="2:19" x14ac:dyDescent="0.2">
      <c r="B975" s="83">
        <f t="shared" si="120"/>
        <v>383</v>
      </c>
      <c r="C975" s="7"/>
      <c r="D975" s="7"/>
      <c r="E975" s="7"/>
      <c r="F975" s="25" t="s">
        <v>130</v>
      </c>
      <c r="G975" s="7">
        <v>610</v>
      </c>
      <c r="H975" s="7" t="s">
        <v>142</v>
      </c>
      <c r="I975" s="23">
        <f>91076+26588+16545-26588</f>
        <v>107621</v>
      </c>
      <c r="J975" s="23">
        <v>720</v>
      </c>
      <c r="K975" s="86">
        <f t="shared" si="115"/>
        <v>108341</v>
      </c>
      <c r="L975" s="355"/>
      <c r="M975" s="344"/>
      <c r="N975" s="246"/>
      <c r="O975" s="86">
        <f t="shared" si="116"/>
        <v>0</v>
      </c>
      <c r="P975" s="355"/>
      <c r="Q975" s="344">
        <f t="shared" si="125"/>
        <v>107621</v>
      </c>
      <c r="R975" s="23">
        <f t="shared" si="126"/>
        <v>720</v>
      </c>
      <c r="S975" s="86">
        <f t="shared" si="127"/>
        <v>108341</v>
      </c>
    </row>
    <row r="976" spans="2:19" x14ac:dyDescent="0.2">
      <c r="B976" s="83">
        <f t="shared" si="120"/>
        <v>384</v>
      </c>
      <c r="C976" s="7"/>
      <c r="D976" s="7"/>
      <c r="E976" s="7"/>
      <c r="F976" s="25" t="s">
        <v>130</v>
      </c>
      <c r="G976" s="7">
        <v>620</v>
      </c>
      <c r="H976" s="7" t="s">
        <v>135</v>
      </c>
      <c r="I976" s="23">
        <f>31823+9292+5782-9292</f>
        <v>37605</v>
      </c>
      <c r="J976" s="23">
        <v>260</v>
      </c>
      <c r="K976" s="86">
        <f t="shared" si="115"/>
        <v>37865</v>
      </c>
      <c r="L976" s="355"/>
      <c r="M976" s="344"/>
      <c r="N976" s="246"/>
      <c r="O976" s="86">
        <f t="shared" si="116"/>
        <v>0</v>
      </c>
      <c r="P976" s="355"/>
      <c r="Q976" s="344">
        <f t="shared" si="125"/>
        <v>37605</v>
      </c>
      <c r="R976" s="23">
        <f t="shared" si="126"/>
        <v>260</v>
      </c>
      <c r="S976" s="86">
        <f t="shared" si="127"/>
        <v>37865</v>
      </c>
    </row>
    <row r="977" spans="2:19" x14ac:dyDescent="0.2">
      <c r="B977" s="83">
        <f t="shared" si="120"/>
        <v>385</v>
      </c>
      <c r="C977" s="7"/>
      <c r="D977" s="7"/>
      <c r="E977" s="7"/>
      <c r="F977" s="25" t="s">
        <v>130</v>
      </c>
      <c r="G977" s="7">
        <v>630</v>
      </c>
      <c r="H977" s="7" t="s">
        <v>132</v>
      </c>
      <c r="I977" s="23">
        <f>SUM(I978:I982)</f>
        <v>30323</v>
      </c>
      <c r="J977" s="23">
        <f>SUM(J978:J982)</f>
        <v>-1750</v>
      </c>
      <c r="K977" s="86">
        <f t="shared" si="115"/>
        <v>28573</v>
      </c>
      <c r="L977" s="355"/>
      <c r="M977" s="344"/>
      <c r="N977" s="246"/>
      <c r="O977" s="86">
        <f t="shared" si="116"/>
        <v>0</v>
      </c>
      <c r="P977" s="355"/>
      <c r="Q977" s="344">
        <f t="shared" si="125"/>
        <v>30323</v>
      </c>
      <c r="R977" s="23">
        <f t="shared" si="126"/>
        <v>-1750</v>
      </c>
      <c r="S977" s="86">
        <f t="shared" si="127"/>
        <v>28573</v>
      </c>
    </row>
    <row r="978" spans="2:19" x14ac:dyDescent="0.2">
      <c r="B978" s="83">
        <f t="shared" si="120"/>
        <v>386</v>
      </c>
      <c r="C978" s="3"/>
      <c r="D978" s="3"/>
      <c r="E978" s="3"/>
      <c r="F978" s="26" t="s">
        <v>130</v>
      </c>
      <c r="G978" s="3">
        <v>632</v>
      </c>
      <c r="H978" s="3" t="s">
        <v>145</v>
      </c>
      <c r="I978" s="19">
        <v>22142</v>
      </c>
      <c r="J978" s="19">
        <v>-1375</v>
      </c>
      <c r="K978" s="87">
        <f t="shared" si="115"/>
        <v>20767</v>
      </c>
      <c r="L978" s="356"/>
      <c r="M978" s="345"/>
      <c r="N978" s="208"/>
      <c r="O978" s="87">
        <f t="shared" si="116"/>
        <v>0</v>
      </c>
      <c r="P978" s="356"/>
      <c r="Q978" s="345">
        <f t="shared" si="125"/>
        <v>22142</v>
      </c>
      <c r="R978" s="19">
        <f t="shared" si="126"/>
        <v>-1375</v>
      </c>
      <c r="S978" s="87">
        <f t="shared" si="127"/>
        <v>20767</v>
      </c>
    </row>
    <row r="979" spans="2:19" x14ac:dyDescent="0.2">
      <c r="B979" s="83">
        <f t="shared" si="120"/>
        <v>387</v>
      </c>
      <c r="C979" s="3"/>
      <c r="D979" s="3"/>
      <c r="E979" s="3"/>
      <c r="F979" s="26" t="s">
        <v>130</v>
      </c>
      <c r="G979" s="3">
        <v>633</v>
      </c>
      <c r="H979" s="3" t="s">
        <v>136</v>
      </c>
      <c r="I979" s="19">
        <v>2251</v>
      </c>
      <c r="J979" s="19">
        <v>-875</v>
      </c>
      <c r="K979" s="87">
        <f t="shared" si="115"/>
        <v>1376</v>
      </c>
      <c r="L979" s="356"/>
      <c r="M979" s="345"/>
      <c r="N979" s="208"/>
      <c r="O979" s="87">
        <f t="shared" si="116"/>
        <v>0</v>
      </c>
      <c r="P979" s="356"/>
      <c r="Q979" s="345">
        <f t="shared" si="125"/>
        <v>2251</v>
      </c>
      <c r="R979" s="19">
        <f t="shared" si="126"/>
        <v>-875</v>
      </c>
      <c r="S979" s="87">
        <f t="shared" si="127"/>
        <v>1376</v>
      </c>
    </row>
    <row r="980" spans="2:19" x14ac:dyDescent="0.2">
      <c r="B980" s="83">
        <f t="shared" si="120"/>
        <v>388</v>
      </c>
      <c r="C980" s="3"/>
      <c r="D980" s="3"/>
      <c r="E980" s="3"/>
      <c r="F980" s="26" t="s">
        <v>130</v>
      </c>
      <c r="G980" s="3">
        <v>634</v>
      </c>
      <c r="H980" s="3" t="s">
        <v>143</v>
      </c>
      <c r="I980" s="19">
        <v>400</v>
      </c>
      <c r="J980" s="19"/>
      <c r="K980" s="87">
        <f t="shared" si="115"/>
        <v>400</v>
      </c>
      <c r="L980" s="356"/>
      <c r="M980" s="345"/>
      <c r="N980" s="208"/>
      <c r="O980" s="87">
        <f t="shared" si="116"/>
        <v>0</v>
      </c>
      <c r="P980" s="356"/>
      <c r="Q980" s="345">
        <f t="shared" si="125"/>
        <v>400</v>
      </c>
      <c r="R980" s="19">
        <f t="shared" si="126"/>
        <v>0</v>
      </c>
      <c r="S980" s="87">
        <f t="shared" si="127"/>
        <v>400</v>
      </c>
    </row>
    <row r="981" spans="2:19" x14ac:dyDescent="0.2">
      <c r="B981" s="83">
        <f t="shared" si="120"/>
        <v>389</v>
      </c>
      <c r="C981" s="3"/>
      <c r="D981" s="3"/>
      <c r="E981" s="3"/>
      <c r="F981" s="26" t="s">
        <v>130</v>
      </c>
      <c r="G981" s="3">
        <v>635</v>
      </c>
      <c r="H981" s="3" t="s">
        <v>144</v>
      </c>
      <c r="I981" s="19">
        <v>600</v>
      </c>
      <c r="J981" s="19"/>
      <c r="K981" s="87">
        <f t="shared" si="115"/>
        <v>600</v>
      </c>
      <c r="L981" s="356"/>
      <c r="M981" s="345"/>
      <c r="N981" s="208"/>
      <c r="O981" s="87">
        <f t="shared" si="116"/>
        <v>0</v>
      </c>
      <c r="P981" s="356"/>
      <c r="Q981" s="345">
        <f t="shared" si="125"/>
        <v>600</v>
      </c>
      <c r="R981" s="19">
        <f t="shared" si="126"/>
        <v>0</v>
      </c>
      <c r="S981" s="87">
        <f t="shared" si="127"/>
        <v>600</v>
      </c>
    </row>
    <row r="982" spans="2:19" x14ac:dyDescent="0.2">
      <c r="B982" s="83">
        <f t="shared" si="120"/>
        <v>390</v>
      </c>
      <c r="C982" s="3"/>
      <c r="D982" s="3"/>
      <c r="E982" s="3"/>
      <c r="F982" s="26" t="s">
        <v>130</v>
      </c>
      <c r="G982" s="3">
        <v>637</v>
      </c>
      <c r="H982" s="3" t="s">
        <v>133</v>
      </c>
      <c r="I982" s="19">
        <v>4930</v>
      </c>
      <c r="J982" s="19">
        <v>500</v>
      </c>
      <c r="K982" s="87">
        <f t="shared" si="115"/>
        <v>5430</v>
      </c>
      <c r="L982" s="356"/>
      <c r="M982" s="345"/>
      <c r="N982" s="208"/>
      <c r="O982" s="87">
        <f t="shared" si="116"/>
        <v>0</v>
      </c>
      <c r="P982" s="356"/>
      <c r="Q982" s="345">
        <f t="shared" si="125"/>
        <v>4930</v>
      </c>
      <c r="R982" s="19">
        <f t="shared" si="126"/>
        <v>500</v>
      </c>
      <c r="S982" s="87">
        <f t="shared" si="127"/>
        <v>5430</v>
      </c>
    </row>
    <row r="983" spans="2:19" x14ac:dyDescent="0.2">
      <c r="B983" s="83">
        <f t="shared" si="120"/>
        <v>391</v>
      </c>
      <c r="C983" s="7"/>
      <c r="D983" s="7"/>
      <c r="E983" s="7"/>
      <c r="F983" s="25" t="s">
        <v>130</v>
      </c>
      <c r="G983" s="7">
        <v>640</v>
      </c>
      <c r="H983" s="7" t="s">
        <v>140</v>
      </c>
      <c r="I983" s="23">
        <v>160</v>
      </c>
      <c r="J983" s="23">
        <v>20</v>
      </c>
      <c r="K983" s="86">
        <f t="shared" si="115"/>
        <v>180</v>
      </c>
      <c r="L983" s="355"/>
      <c r="M983" s="344"/>
      <c r="N983" s="246"/>
      <c r="O983" s="86">
        <f t="shared" si="116"/>
        <v>0</v>
      </c>
      <c r="P983" s="355"/>
      <c r="Q983" s="345">
        <f t="shared" si="125"/>
        <v>160</v>
      </c>
      <c r="R983" s="19">
        <f t="shared" si="126"/>
        <v>20</v>
      </c>
      <c r="S983" s="87">
        <f t="shared" si="127"/>
        <v>180</v>
      </c>
    </row>
    <row r="984" spans="2:19" x14ac:dyDescent="0.2">
      <c r="B984" s="83">
        <f t="shared" si="120"/>
        <v>392</v>
      </c>
      <c r="C984" s="7"/>
      <c r="D984" s="7"/>
      <c r="E984" s="7"/>
      <c r="F984" s="25" t="s">
        <v>117</v>
      </c>
      <c r="G984" s="7">
        <v>610</v>
      </c>
      <c r="H984" s="7" t="s">
        <v>142</v>
      </c>
      <c r="I984" s="23">
        <f>142537+26589+26588</f>
        <v>195714</v>
      </c>
      <c r="J984" s="23">
        <v>1995</v>
      </c>
      <c r="K984" s="86">
        <f t="shared" si="115"/>
        <v>197709</v>
      </c>
      <c r="L984" s="355"/>
      <c r="M984" s="344"/>
      <c r="N984" s="246"/>
      <c r="O984" s="86">
        <f t="shared" si="116"/>
        <v>0</v>
      </c>
      <c r="P984" s="355"/>
      <c r="Q984" s="344">
        <f t="shared" si="125"/>
        <v>195714</v>
      </c>
      <c r="R984" s="23">
        <f t="shared" si="126"/>
        <v>1995</v>
      </c>
      <c r="S984" s="86">
        <f t="shared" si="127"/>
        <v>197709</v>
      </c>
    </row>
    <row r="985" spans="2:19" x14ac:dyDescent="0.2">
      <c r="B985" s="83">
        <f t="shared" si="120"/>
        <v>393</v>
      </c>
      <c r="C985" s="7"/>
      <c r="D985" s="7"/>
      <c r="E985" s="7"/>
      <c r="F985" s="25" t="s">
        <v>117</v>
      </c>
      <c r="G985" s="7">
        <v>620</v>
      </c>
      <c r="H985" s="7" t="s">
        <v>135</v>
      </c>
      <c r="I985" s="23">
        <f>49824+9292+9292</f>
        <v>68408</v>
      </c>
      <c r="J985" s="23">
        <v>626</v>
      </c>
      <c r="K985" s="86">
        <f t="shared" si="115"/>
        <v>69034</v>
      </c>
      <c r="L985" s="355"/>
      <c r="M985" s="344"/>
      <c r="N985" s="246"/>
      <c r="O985" s="86">
        <f t="shared" si="116"/>
        <v>0</v>
      </c>
      <c r="P985" s="355"/>
      <c r="Q985" s="344">
        <f t="shared" si="125"/>
        <v>68408</v>
      </c>
      <c r="R985" s="23">
        <f t="shared" si="126"/>
        <v>626</v>
      </c>
      <c r="S985" s="86">
        <f t="shared" si="127"/>
        <v>69034</v>
      </c>
    </row>
    <row r="986" spans="2:19" x14ac:dyDescent="0.2">
      <c r="B986" s="83">
        <f t="shared" si="120"/>
        <v>394</v>
      </c>
      <c r="C986" s="7"/>
      <c r="D986" s="7"/>
      <c r="E986" s="7"/>
      <c r="F986" s="25" t="s">
        <v>117</v>
      </c>
      <c r="G986" s="7">
        <v>630</v>
      </c>
      <c r="H986" s="7" t="s">
        <v>132</v>
      </c>
      <c r="I986" s="23">
        <f>SUM(I987:I990)</f>
        <v>76691</v>
      </c>
      <c r="J986" s="23">
        <f>SUM(J987:J990)</f>
        <v>-3092</v>
      </c>
      <c r="K986" s="86">
        <f t="shared" si="115"/>
        <v>73599</v>
      </c>
      <c r="L986" s="355"/>
      <c r="M986" s="344"/>
      <c r="N986" s="246"/>
      <c r="O986" s="86">
        <f t="shared" si="116"/>
        <v>0</v>
      </c>
      <c r="P986" s="355"/>
      <c r="Q986" s="344">
        <f t="shared" si="125"/>
        <v>76691</v>
      </c>
      <c r="R986" s="23">
        <f t="shared" si="126"/>
        <v>-3092</v>
      </c>
      <c r="S986" s="86">
        <f t="shared" si="127"/>
        <v>73599</v>
      </c>
    </row>
    <row r="987" spans="2:19" x14ac:dyDescent="0.2">
      <c r="B987" s="83">
        <f t="shared" si="120"/>
        <v>395</v>
      </c>
      <c r="C987" s="3"/>
      <c r="D987" s="3"/>
      <c r="E987" s="3"/>
      <c r="F987" s="26" t="s">
        <v>117</v>
      </c>
      <c r="G987" s="3">
        <v>632</v>
      </c>
      <c r="H987" s="3" t="s">
        <v>145</v>
      </c>
      <c r="I987" s="19">
        <f>23392+3000</f>
        <v>26392</v>
      </c>
      <c r="J987" s="19">
        <v>1830</v>
      </c>
      <c r="K987" s="87">
        <f t="shared" si="115"/>
        <v>28222</v>
      </c>
      <c r="L987" s="356"/>
      <c r="M987" s="345"/>
      <c r="N987" s="208"/>
      <c r="O987" s="87">
        <f t="shared" si="116"/>
        <v>0</v>
      </c>
      <c r="P987" s="356"/>
      <c r="Q987" s="345">
        <f t="shared" si="125"/>
        <v>26392</v>
      </c>
      <c r="R987" s="19">
        <f t="shared" si="126"/>
        <v>1830</v>
      </c>
      <c r="S987" s="87">
        <f t="shared" si="127"/>
        <v>28222</v>
      </c>
    </row>
    <row r="988" spans="2:19" x14ac:dyDescent="0.2">
      <c r="B988" s="83">
        <f t="shared" si="120"/>
        <v>396</v>
      </c>
      <c r="C988" s="3"/>
      <c r="D988" s="3"/>
      <c r="E988" s="3"/>
      <c r="F988" s="26" t="s">
        <v>117</v>
      </c>
      <c r="G988" s="3">
        <v>633</v>
      </c>
      <c r="H988" s="3" t="s">
        <v>136</v>
      </c>
      <c r="I988" s="19">
        <f>6565+364</f>
        <v>6929</v>
      </c>
      <c r="J988" s="19">
        <f>-127+2105</f>
        <v>1978</v>
      </c>
      <c r="K988" s="87">
        <f t="shared" ref="K988:K1053" si="130">J988+I988</f>
        <v>8907</v>
      </c>
      <c r="L988" s="356"/>
      <c r="M988" s="345"/>
      <c r="N988" s="208"/>
      <c r="O988" s="87">
        <f t="shared" ref="O988:O1053" si="131">N988+M988</f>
        <v>0</v>
      </c>
      <c r="P988" s="356"/>
      <c r="Q988" s="345">
        <f t="shared" si="125"/>
        <v>6929</v>
      </c>
      <c r="R988" s="19">
        <f t="shared" si="126"/>
        <v>1978</v>
      </c>
      <c r="S988" s="87">
        <f t="shared" si="127"/>
        <v>8907</v>
      </c>
    </row>
    <row r="989" spans="2:19" x14ac:dyDescent="0.2">
      <c r="B989" s="83">
        <f t="shared" si="120"/>
        <v>397</v>
      </c>
      <c r="C989" s="3"/>
      <c r="D989" s="3"/>
      <c r="E989" s="3"/>
      <c r="F989" s="26" t="s">
        <v>117</v>
      </c>
      <c r="G989" s="3">
        <v>635</v>
      </c>
      <c r="H989" s="3" t="s">
        <v>144</v>
      </c>
      <c r="I989" s="19">
        <f>23800+2700</f>
        <v>26500</v>
      </c>
      <c r="J989" s="19">
        <v>-4000</v>
      </c>
      <c r="K989" s="87">
        <f t="shared" si="130"/>
        <v>22500</v>
      </c>
      <c r="L989" s="356"/>
      <c r="M989" s="345"/>
      <c r="N989" s="208"/>
      <c r="O989" s="87">
        <f t="shared" si="131"/>
        <v>0</v>
      </c>
      <c r="P989" s="356"/>
      <c r="Q989" s="345">
        <f t="shared" si="125"/>
        <v>26500</v>
      </c>
      <c r="R989" s="19">
        <f t="shared" si="126"/>
        <v>-4000</v>
      </c>
      <c r="S989" s="87">
        <f t="shared" si="127"/>
        <v>22500</v>
      </c>
    </row>
    <row r="990" spans="2:19" x14ac:dyDescent="0.2">
      <c r="B990" s="83">
        <f t="shared" ref="B990:B995" si="132">B989+1</f>
        <v>398</v>
      </c>
      <c r="C990" s="3"/>
      <c r="D990" s="3"/>
      <c r="E990" s="3"/>
      <c r="F990" s="26" t="s">
        <v>117</v>
      </c>
      <c r="G990" s="3">
        <v>637</v>
      </c>
      <c r="H990" s="3" t="s">
        <v>133</v>
      </c>
      <c r="I990" s="19">
        <f>14370+1500+1000</f>
        <v>16870</v>
      </c>
      <c r="J990" s="19">
        <v>-2900</v>
      </c>
      <c r="K990" s="87">
        <f t="shared" si="130"/>
        <v>13970</v>
      </c>
      <c r="L990" s="356"/>
      <c r="M990" s="345"/>
      <c r="N990" s="208"/>
      <c r="O990" s="87">
        <f t="shared" si="131"/>
        <v>0</v>
      </c>
      <c r="P990" s="356"/>
      <c r="Q990" s="345">
        <f t="shared" si="125"/>
        <v>16870</v>
      </c>
      <c r="R990" s="19">
        <f t="shared" si="126"/>
        <v>-2900</v>
      </c>
      <c r="S990" s="87">
        <f t="shared" si="127"/>
        <v>13970</v>
      </c>
    </row>
    <row r="991" spans="2:19" x14ac:dyDescent="0.2">
      <c r="B991" s="83">
        <f t="shared" si="132"/>
        <v>399</v>
      </c>
      <c r="C991" s="7"/>
      <c r="D991" s="7"/>
      <c r="E991" s="7"/>
      <c r="F991" s="25" t="s">
        <v>117</v>
      </c>
      <c r="G991" s="7">
        <v>640</v>
      </c>
      <c r="H991" s="7" t="s">
        <v>140</v>
      </c>
      <c r="I991" s="23">
        <v>240</v>
      </c>
      <c r="J991" s="23">
        <v>-193</v>
      </c>
      <c r="K991" s="86">
        <f t="shared" si="130"/>
        <v>47</v>
      </c>
      <c r="L991" s="355"/>
      <c r="M991" s="344"/>
      <c r="N991" s="246"/>
      <c r="O991" s="86">
        <f t="shared" si="131"/>
        <v>0</v>
      </c>
      <c r="P991" s="355"/>
      <c r="Q991" s="344">
        <f t="shared" si="125"/>
        <v>240</v>
      </c>
      <c r="R991" s="23">
        <f t="shared" si="126"/>
        <v>-193</v>
      </c>
      <c r="S991" s="86">
        <f t="shared" si="127"/>
        <v>47</v>
      </c>
    </row>
    <row r="992" spans="2:19" x14ac:dyDescent="0.2">
      <c r="B992" s="83">
        <f t="shared" si="132"/>
        <v>400</v>
      </c>
      <c r="C992" s="7"/>
      <c r="D992" s="7"/>
      <c r="E992" s="7"/>
      <c r="F992" s="25"/>
      <c r="G992" s="7">
        <v>630</v>
      </c>
      <c r="H992" s="211" t="s">
        <v>583</v>
      </c>
      <c r="I992" s="23">
        <v>25465</v>
      </c>
      <c r="J992" s="23"/>
      <c r="K992" s="86">
        <f t="shared" si="130"/>
        <v>25465</v>
      </c>
      <c r="L992" s="355"/>
      <c r="M992" s="344"/>
      <c r="N992" s="246"/>
      <c r="O992" s="86">
        <f t="shared" si="131"/>
        <v>0</v>
      </c>
      <c r="P992" s="355"/>
      <c r="Q992" s="344">
        <f t="shared" si="125"/>
        <v>25465</v>
      </c>
      <c r="R992" s="23">
        <f t="shared" si="126"/>
        <v>0</v>
      </c>
      <c r="S992" s="86">
        <f t="shared" si="127"/>
        <v>25465</v>
      </c>
    </row>
    <row r="993" spans="2:19" x14ac:dyDescent="0.2">
      <c r="B993" s="83">
        <f t="shared" si="132"/>
        <v>401</v>
      </c>
      <c r="C993" s="7"/>
      <c r="D993" s="210"/>
      <c r="E993" s="7"/>
      <c r="F993" s="25" t="s">
        <v>83</v>
      </c>
      <c r="G993" s="7">
        <v>630</v>
      </c>
      <c r="H993" s="7" t="s">
        <v>657</v>
      </c>
      <c r="I993" s="23">
        <v>0</v>
      </c>
      <c r="J993" s="23">
        <v>415</v>
      </c>
      <c r="K993" s="86">
        <f t="shared" si="130"/>
        <v>415</v>
      </c>
      <c r="L993" s="355"/>
      <c r="M993" s="344"/>
      <c r="N993" s="246"/>
      <c r="O993" s="86"/>
      <c r="P993" s="355"/>
      <c r="Q993" s="344">
        <f t="shared" ref="Q993" si="133">I993+M993</f>
        <v>0</v>
      </c>
      <c r="R993" s="23">
        <f t="shared" ref="R993" si="134">J993+N993</f>
        <v>415</v>
      </c>
      <c r="S993" s="86">
        <f t="shared" ref="S993" si="135">K993+O993</f>
        <v>415</v>
      </c>
    </row>
    <row r="994" spans="2:19" ht="15" x14ac:dyDescent="0.2">
      <c r="B994" s="83">
        <f t="shared" si="132"/>
        <v>402</v>
      </c>
      <c r="C994" s="239">
        <v>3</v>
      </c>
      <c r="D994" s="444" t="s">
        <v>170</v>
      </c>
      <c r="E994" s="445"/>
      <c r="F994" s="445"/>
      <c r="G994" s="445"/>
      <c r="H994" s="446"/>
      <c r="I994" s="36">
        <f>I995+I1005+I1017+I1024+I1032+I1040+I1049+I1059+I1067+I1075+I1083+I1091</f>
        <v>2795400</v>
      </c>
      <c r="J994" s="36">
        <f>J995+J1005+J1017+J1024+J1032+J1040+J1049+J1059+J1067+J1075+J1083+J1091</f>
        <v>10738</v>
      </c>
      <c r="K994" s="84">
        <f t="shared" si="130"/>
        <v>2806138</v>
      </c>
      <c r="L994" s="353"/>
      <c r="M994" s="342">
        <v>0</v>
      </c>
      <c r="N994" s="244"/>
      <c r="O994" s="84">
        <f t="shared" si="131"/>
        <v>0</v>
      </c>
      <c r="P994" s="353"/>
      <c r="Q994" s="342">
        <f t="shared" si="125"/>
        <v>2795400</v>
      </c>
      <c r="R994" s="36">
        <f t="shared" si="126"/>
        <v>10738</v>
      </c>
      <c r="S994" s="84">
        <f t="shared" si="127"/>
        <v>2806138</v>
      </c>
    </row>
    <row r="995" spans="2:19" x14ac:dyDescent="0.2">
      <c r="B995" s="83">
        <f t="shared" si="132"/>
        <v>403</v>
      </c>
      <c r="C995" s="7"/>
      <c r="D995" s="7"/>
      <c r="E995" s="7"/>
      <c r="F995" s="25" t="s">
        <v>169</v>
      </c>
      <c r="G995" s="7">
        <v>640</v>
      </c>
      <c r="H995" s="7" t="s">
        <v>140</v>
      </c>
      <c r="I995" s="23">
        <f>I996</f>
        <v>538475</v>
      </c>
      <c r="J995" s="23"/>
      <c r="K995" s="86">
        <f t="shared" si="130"/>
        <v>538475</v>
      </c>
      <c r="L995" s="355"/>
      <c r="M995" s="344"/>
      <c r="N995" s="246"/>
      <c r="O995" s="86">
        <f t="shared" si="131"/>
        <v>0</v>
      </c>
      <c r="P995" s="355"/>
      <c r="Q995" s="344">
        <f t="shared" si="125"/>
        <v>538475</v>
      </c>
      <c r="R995" s="23">
        <f t="shared" si="126"/>
        <v>0</v>
      </c>
      <c r="S995" s="86">
        <f t="shared" si="127"/>
        <v>538475</v>
      </c>
    </row>
    <row r="996" spans="2:19" x14ac:dyDescent="0.2">
      <c r="B996" s="83">
        <f t="shared" ref="B996:B1060" si="136">B995+1</f>
        <v>404</v>
      </c>
      <c r="C996" s="3"/>
      <c r="D996" s="3"/>
      <c r="E996" s="3"/>
      <c r="F996" s="26" t="s">
        <v>169</v>
      </c>
      <c r="G996" s="3">
        <v>642</v>
      </c>
      <c r="H996" s="3" t="s">
        <v>141</v>
      </c>
      <c r="I996" s="63">
        <f>SUM(I997:I1004)</f>
        <v>538475</v>
      </c>
      <c r="J996" s="63"/>
      <c r="K996" s="175">
        <f t="shared" si="130"/>
        <v>538475</v>
      </c>
      <c r="L996" s="356"/>
      <c r="M996" s="345"/>
      <c r="N996" s="208"/>
      <c r="O996" s="87">
        <f t="shared" si="131"/>
        <v>0</v>
      </c>
      <c r="P996" s="356"/>
      <c r="Q996" s="345">
        <f t="shared" si="125"/>
        <v>538475</v>
      </c>
      <c r="R996" s="19">
        <f t="shared" si="126"/>
        <v>0</v>
      </c>
      <c r="S996" s="87">
        <f t="shared" si="127"/>
        <v>538475</v>
      </c>
    </row>
    <row r="997" spans="2:19" x14ac:dyDescent="0.2">
      <c r="B997" s="83">
        <f t="shared" si="136"/>
        <v>405</v>
      </c>
      <c r="C997" s="4"/>
      <c r="D997" s="4"/>
      <c r="E997" s="4"/>
      <c r="F997" s="27"/>
      <c r="G997" s="4"/>
      <c r="H997" s="4" t="s">
        <v>541</v>
      </c>
      <c r="I997" s="39">
        <f>16206+403</f>
        <v>16609</v>
      </c>
      <c r="J997" s="39"/>
      <c r="K997" s="389">
        <f t="shared" si="130"/>
        <v>16609</v>
      </c>
      <c r="L997" s="357"/>
      <c r="M997" s="346"/>
      <c r="N997" s="247"/>
      <c r="O997" s="88">
        <f t="shared" si="131"/>
        <v>0</v>
      </c>
      <c r="P997" s="357"/>
      <c r="Q997" s="346">
        <f t="shared" si="125"/>
        <v>16609</v>
      </c>
      <c r="R997" s="21">
        <f t="shared" si="126"/>
        <v>0</v>
      </c>
      <c r="S997" s="88">
        <f t="shared" si="127"/>
        <v>16609</v>
      </c>
    </row>
    <row r="998" spans="2:19" x14ac:dyDescent="0.2">
      <c r="B998" s="83">
        <f t="shared" si="136"/>
        <v>406</v>
      </c>
      <c r="C998" s="4"/>
      <c r="D998" s="4"/>
      <c r="E998" s="4"/>
      <c r="F998" s="27"/>
      <c r="G998" s="4"/>
      <c r="H998" s="4" t="s">
        <v>542</v>
      </c>
      <c r="I998" s="39">
        <f>17321+8456</f>
        <v>25777</v>
      </c>
      <c r="J998" s="39"/>
      <c r="K998" s="389">
        <f t="shared" si="130"/>
        <v>25777</v>
      </c>
      <c r="L998" s="357"/>
      <c r="M998" s="346"/>
      <c r="N998" s="247"/>
      <c r="O998" s="88">
        <f t="shared" si="131"/>
        <v>0</v>
      </c>
      <c r="P998" s="357"/>
      <c r="Q998" s="346">
        <f t="shared" si="125"/>
        <v>25777</v>
      </c>
      <c r="R998" s="21">
        <f t="shared" si="126"/>
        <v>0</v>
      </c>
      <c r="S998" s="88">
        <f t="shared" si="127"/>
        <v>25777</v>
      </c>
    </row>
    <row r="999" spans="2:19" ht="22.5" x14ac:dyDescent="0.2">
      <c r="B999" s="83">
        <f t="shared" si="136"/>
        <v>407</v>
      </c>
      <c r="C999" s="4"/>
      <c r="D999" s="4"/>
      <c r="E999" s="4"/>
      <c r="F999" s="27"/>
      <c r="G999" s="4"/>
      <c r="H999" s="34" t="s">
        <v>543</v>
      </c>
      <c r="I999" s="39">
        <f>12432+310</f>
        <v>12742</v>
      </c>
      <c r="J999" s="39"/>
      <c r="K999" s="389">
        <f t="shared" si="130"/>
        <v>12742</v>
      </c>
      <c r="L999" s="357"/>
      <c r="M999" s="346"/>
      <c r="N999" s="247"/>
      <c r="O999" s="88">
        <f t="shared" si="131"/>
        <v>0</v>
      </c>
      <c r="P999" s="357"/>
      <c r="Q999" s="346">
        <f t="shared" si="125"/>
        <v>12742</v>
      </c>
      <c r="R999" s="21">
        <f t="shared" si="126"/>
        <v>0</v>
      </c>
      <c r="S999" s="88">
        <f t="shared" si="127"/>
        <v>12742</v>
      </c>
    </row>
    <row r="1000" spans="2:19" x14ac:dyDescent="0.2">
      <c r="B1000" s="83">
        <f t="shared" si="136"/>
        <v>408</v>
      </c>
      <c r="C1000" s="4"/>
      <c r="D1000" s="4"/>
      <c r="E1000" s="4"/>
      <c r="F1000" s="27"/>
      <c r="G1000" s="4"/>
      <c r="H1000" s="4" t="s">
        <v>544</v>
      </c>
      <c r="I1000" s="39">
        <f>13439+6560</f>
        <v>19999</v>
      </c>
      <c r="J1000" s="39"/>
      <c r="K1000" s="389">
        <f t="shared" si="130"/>
        <v>19999</v>
      </c>
      <c r="L1000" s="357"/>
      <c r="M1000" s="346"/>
      <c r="N1000" s="247"/>
      <c r="O1000" s="88">
        <f t="shared" si="131"/>
        <v>0</v>
      </c>
      <c r="P1000" s="357"/>
      <c r="Q1000" s="346">
        <f t="shared" si="125"/>
        <v>19999</v>
      </c>
      <c r="R1000" s="21">
        <f t="shared" si="126"/>
        <v>0</v>
      </c>
      <c r="S1000" s="88">
        <f t="shared" si="127"/>
        <v>19999</v>
      </c>
    </row>
    <row r="1001" spans="2:19" x14ac:dyDescent="0.2">
      <c r="B1001" s="83">
        <f t="shared" si="136"/>
        <v>409</v>
      </c>
      <c r="C1001" s="4"/>
      <c r="D1001" s="4"/>
      <c r="E1001" s="4"/>
      <c r="F1001" s="27"/>
      <c r="G1001" s="4"/>
      <c r="H1001" s="4" t="s">
        <v>545</v>
      </c>
      <c r="I1001" s="39">
        <f>144907+826</f>
        <v>145733</v>
      </c>
      <c r="J1001" s="39"/>
      <c r="K1001" s="389">
        <f t="shared" si="130"/>
        <v>145733</v>
      </c>
      <c r="L1001" s="357"/>
      <c r="M1001" s="346"/>
      <c r="N1001" s="247"/>
      <c r="O1001" s="88">
        <f t="shared" si="131"/>
        <v>0</v>
      </c>
      <c r="P1001" s="357"/>
      <c r="Q1001" s="346">
        <f t="shared" si="125"/>
        <v>145733</v>
      </c>
      <c r="R1001" s="21">
        <f t="shared" si="126"/>
        <v>0</v>
      </c>
      <c r="S1001" s="88">
        <f t="shared" si="127"/>
        <v>145733</v>
      </c>
    </row>
    <row r="1002" spans="2:19" x14ac:dyDescent="0.2">
      <c r="B1002" s="83">
        <f t="shared" si="136"/>
        <v>410</v>
      </c>
      <c r="C1002" s="4"/>
      <c r="D1002" s="4"/>
      <c r="E1002" s="4"/>
      <c r="F1002" s="27"/>
      <c r="G1002" s="4"/>
      <c r="H1002" s="4" t="s">
        <v>546</v>
      </c>
      <c r="I1002" s="39">
        <f>284286+1628</f>
        <v>285914</v>
      </c>
      <c r="J1002" s="39"/>
      <c r="K1002" s="389">
        <f t="shared" si="130"/>
        <v>285914</v>
      </c>
      <c r="L1002" s="357"/>
      <c r="M1002" s="346"/>
      <c r="N1002" s="247"/>
      <c r="O1002" s="88">
        <f t="shared" si="131"/>
        <v>0</v>
      </c>
      <c r="P1002" s="357"/>
      <c r="Q1002" s="346">
        <f t="shared" si="125"/>
        <v>285914</v>
      </c>
      <c r="R1002" s="21">
        <f t="shared" si="126"/>
        <v>0</v>
      </c>
      <c r="S1002" s="88">
        <f t="shared" si="127"/>
        <v>285914</v>
      </c>
    </row>
    <row r="1003" spans="2:19" x14ac:dyDescent="0.2">
      <c r="B1003" s="83">
        <f t="shared" si="136"/>
        <v>411</v>
      </c>
      <c r="C1003" s="4"/>
      <c r="D1003" s="4"/>
      <c r="E1003" s="4"/>
      <c r="F1003" s="27"/>
      <c r="G1003" s="4"/>
      <c r="H1003" s="4" t="s">
        <v>547</v>
      </c>
      <c r="I1003" s="39">
        <f>29311+167</f>
        <v>29478</v>
      </c>
      <c r="J1003" s="39"/>
      <c r="K1003" s="389">
        <f t="shared" si="130"/>
        <v>29478</v>
      </c>
      <c r="L1003" s="357"/>
      <c r="M1003" s="346"/>
      <c r="N1003" s="247"/>
      <c r="O1003" s="88">
        <f t="shared" si="131"/>
        <v>0</v>
      </c>
      <c r="P1003" s="357"/>
      <c r="Q1003" s="346">
        <f t="shared" si="125"/>
        <v>29478</v>
      </c>
      <c r="R1003" s="21">
        <f t="shared" si="126"/>
        <v>0</v>
      </c>
      <c r="S1003" s="88">
        <f t="shared" si="127"/>
        <v>29478</v>
      </c>
    </row>
    <row r="1004" spans="2:19" ht="22.5" x14ac:dyDescent="0.2">
      <c r="B1004" s="83">
        <f t="shared" si="136"/>
        <v>412</v>
      </c>
      <c r="C1004" s="4"/>
      <c r="D1004" s="4"/>
      <c r="E1004" s="4"/>
      <c r="F1004" s="27"/>
      <c r="G1004" s="4"/>
      <c r="H1004" s="34" t="s">
        <v>553</v>
      </c>
      <c r="I1004" s="39">
        <f>1494+729</f>
        <v>2223</v>
      </c>
      <c r="J1004" s="39"/>
      <c r="K1004" s="389">
        <f t="shared" si="130"/>
        <v>2223</v>
      </c>
      <c r="L1004" s="357"/>
      <c r="M1004" s="346"/>
      <c r="N1004" s="247"/>
      <c r="O1004" s="88">
        <f t="shared" si="131"/>
        <v>0</v>
      </c>
      <c r="P1004" s="357"/>
      <c r="Q1004" s="346">
        <f t="shared" si="125"/>
        <v>2223</v>
      </c>
      <c r="R1004" s="21">
        <f t="shared" si="126"/>
        <v>0</v>
      </c>
      <c r="S1004" s="88">
        <f t="shared" si="127"/>
        <v>2223</v>
      </c>
    </row>
    <row r="1005" spans="2:19" ht="15" x14ac:dyDescent="0.25">
      <c r="B1005" s="83">
        <f t="shared" si="136"/>
        <v>413</v>
      </c>
      <c r="C1005" s="10"/>
      <c r="D1005" s="10"/>
      <c r="E1005" s="10">
        <v>1</v>
      </c>
      <c r="F1005" s="28"/>
      <c r="G1005" s="10"/>
      <c r="H1005" s="10" t="s">
        <v>54</v>
      </c>
      <c r="I1005" s="38">
        <f>I1006+I1007+I1008+I1016</f>
        <v>197352</v>
      </c>
      <c r="J1005" s="38">
        <f>J1006+J1007+J1008+J1016</f>
        <v>1265</v>
      </c>
      <c r="K1005" s="94">
        <f t="shared" si="130"/>
        <v>198617</v>
      </c>
      <c r="L1005" s="365"/>
      <c r="M1005" s="362">
        <v>0</v>
      </c>
      <c r="N1005" s="253"/>
      <c r="O1005" s="94">
        <f t="shared" si="131"/>
        <v>0</v>
      </c>
      <c r="P1005" s="365"/>
      <c r="Q1005" s="362">
        <f t="shared" si="125"/>
        <v>197352</v>
      </c>
      <c r="R1005" s="38">
        <f t="shared" si="126"/>
        <v>1265</v>
      </c>
      <c r="S1005" s="94">
        <f t="shared" si="127"/>
        <v>198617</v>
      </c>
    </row>
    <row r="1006" spans="2:19" x14ac:dyDescent="0.2">
      <c r="B1006" s="83">
        <f t="shared" si="136"/>
        <v>414</v>
      </c>
      <c r="C1006" s="7"/>
      <c r="D1006" s="7"/>
      <c r="E1006" s="7"/>
      <c r="F1006" s="25" t="s">
        <v>169</v>
      </c>
      <c r="G1006" s="7">
        <v>610</v>
      </c>
      <c r="H1006" s="7" t="s">
        <v>142</v>
      </c>
      <c r="I1006" s="23">
        <v>97700</v>
      </c>
      <c r="J1006" s="23"/>
      <c r="K1006" s="86">
        <f t="shared" si="130"/>
        <v>97700</v>
      </c>
      <c r="L1006" s="355"/>
      <c r="M1006" s="344"/>
      <c r="N1006" s="246"/>
      <c r="O1006" s="86">
        <f t="shared" si="131"/>
        <v>0</v>
      </c>
      <c r="P1006" s="355"/>
      <c r="Q1006" s="344">
        <f t="shared" si="125"/>
        <v>97700</v>
      </c>
      <c r="R1006" s="23">
        <f t="shared" si="126"/>
        <v>0</v>
      </c>
      <c r="S1006" s="86">
        <f t="shared" si="127"/>
        <v>97700</v>
      </c>
    </row>
    <row r="1007" spans="2:19" x14ac:dyDescent="0.2">
      <c r="B1007" s="83">
        <f t="shared" si="136"/>
        <v>415</v>
      </c>
      <c r="C1007" s="7"/>
      <c r="D1007" s="7"/>
      <c r="E1007" s="7"/>
      <c r="F1007" s="25" t="s">
        <v>169</v>
      </c>
      <c r="G1007" s="7">
        <v>620</v>
      </c>
      <c r="H1007" s="7" t="s">
        <v>135</v>
      </c>
      <c r="I1007" s="23">
        <f>36640+350</f>
        <v>36990</v>
      </c>
      <c r="J1007" s="23">
        <v>57</v>
      </c>
      <c r="K1007" s="86">
        <f t="shared" si="130"/>
        <v>37047</v>
      </c>
      <c r="L1007" s="355"/>
      <c r="M1007" s="344"/>
      <c r="N1007" s="246"/>
      <c r="O1007" s="86">
        <f t="shared" si="131"/>
        <v>0</v>
      </c>
      <c r="P1007" s="355"/>
      <c r="Q1007" s="344">
        <f t="shared" si="125"/>
        <v>36990</v>
      </c>
      <c r="R1007" s="23">
        <f t="shared" si="126"/>
        <v>57</v>
      </c>
      <c r="S1007" s="86">
        <f t="shared" si="127"/>
        <v>37047</v>
      </c>
    </row>
    <row r="1008" spans="2:19" x14ac:dyDescent="0.2">
      <c r="B1008" s="83">
        <f t="shared" si="136"/>
        <v>416</v>
      </c>
      <c r="C1008" s="7"/>
      <c r="D1008" s="7"/>
      <c r="E1008" s="7"/>
      <c r="F1008" s="25" t="s">
        <v>169</v>
      </c>
      <c r="G1008" s="7">
        <v>630</v>
      </c>
      <c r="H1008" s="7" t="s">
        <v>132</v>
      </c>
      <c r="I1008" s="23">
        <f>SUM(I1009:I1015)</f>
        <v>61782</v>
      </c>
      <c r="J1008" s="23">
        <f>SUM(J1009:J1015)</f>
        <v>1105</v>
      </c>
      <c r="K1008" s="86">
        <f t="shared" si="130"/>
        <v>62887</v>
      </c>
      <c r="L1008" s="355"/>
      <c r="M1008" s="344"/>
      <c r="N1008" s="246"/>
      <c r="O1008" s="86">
        <f t="shared" si="131"/>
        <v>0</v>
      </c>
      <c r="P1008" s="355"/>
      <c r="Q1008" s="344">
        <f t="shared" si="125"/>
        <v>61782</v>
      </c>
      <c r="R1008" s="23">
        <f t="shared" si="126"/>
        <v>1105</v>
      </c>
      <c r="S1008" s="86">
        <f t="shared" si="127"/>
        <v>62887</v>
      </c>
    </row>
    <row r="1009" spans="2:19" x14ac:dyDescent="0.2">
      <c r="B1009" s="83">
        <f t="shared" si="136"/>
        <v>417</v>
      </c>
      <c r="C1009" s="3"/>
      <c r="D1009" s="3"/>
      <c r="E1009" s="3"/>
      <c r="F1009" s="26" t="s">
        <v>169</v>
      </c>
      <c r="G1009" s="3">
        <v>631</v>
      </c>
      <c r="H1009" s="3" t="s">
        <v>138</v>
      </c>
      <c r="I1009" s="19">
        <f>400-380</f>
        <v>20</v>
      </c>
      <c r="J1009" s="19">
        <v>45</v>
      </c>
      <c r="K1009" s="87">
        <f t="shared" si="130"/>
        <v>65</v>
      </c>
      <c r="L1009" s="356"/>
      <c r="M1009" s="345"/>
      <c r="N1009" s="208"/>
      <c r="O1009" s="87">
        <f t="shared" si="131"/>
        <v>0</v>
      </c>
      <c r="P1009" s="356"/>
      <c r="Q1009" s="345">
        <f t="shared" si="125"/>
        <v>20</v>
      </c>
      <c r="R1009" s="19">
        <f t="shared" si="126"/>
        <v>45</v>
      </c>
      <c r="S1009" s="87">
        <f t="shared" si="127"/>
        <v>65</v>
      </c>
    </row>
    <row r="1010" spans="2:19" x14ac:dyDescent="0.2">
      <c r="B1010" s="83">
        <f t="shared" si="136"/>
        <v>418</v>
      </c>
      <c r="C1010" s="3"/>
      <c r="D1010" s="3"/>
      <c r="E1010" s="3"/>
      <c r="F1010" s="26" t="s">
        <v>169</v>
      </c>
      <c r="G1010" s="3">
        <v>632</v>
      </c>
      <c r="H1010" s="3" t="s">
        <v>145</v>
      </c>
      <c r="I1010" s="19">
        <v>7400</v>
      </c>
      <c r="J1010" s="19"/>
      <c r="K1010" s="87">
        <f t="shared" si="130"/>
        <v>7400</v>
      </c>
      <c r="L1010" s="356"/>
      <c r="M1010" s="345"/>
      <c r="N1010" s="208"/>
      <c r="O1010" s="87">
        <f t="shared" si="131"/>
        <v>0</v>
      </c>
      <c r="P1010" s="356"/>
      <c r="Q1010" s="345">
        <f t="shared" si="125"/>
        <v>7400</v>
      </c>
      <c r="R1010" s="19">
        <f t="shared" si="126"/>
        <v>0</v>
      </c>
      <c r="S1010" s="87">
        <f t="shared" si="127"/>
        <v>7400</v>
      </c>
    </row>
    <row r="1011" spans="2:19" x14ac:dyDescent="0.2">
      <c r="B1011" s="83">
        <f t="shared" si="136"/>
        <v>419</v>
      </c>
      <c r="C1011" s="3"/>
      <c r="D1011" s="3"/>
      <c r="E1011" s="3"/>
      <c r="F1011" s="26" t="s">
        <v>169</v>
      </c>
      <c r="G1011" s="3">
        <v>633</v>
      </c>
      <c r="H1011" s="3" t="s">
        <v>136</v>
      </c>
      <c r="I1011" s="19">
        <f>16152+3000+4540-1830</f>
        <v>21862</v>
      </c>
      <c r="J1011" s="19">
        <v>-1827</v>
      </c>
      <c r="K1011" s="87">
        <f t="shared" si="130"/>
        <v>20035</v>
      </c>
      <c r="L1011" s="356"/>
      <c r="M1011" s="345"/>
      <c r="N1011" s="208"/>
      <c r="O1011" s="87">
        <f t="shared" si="131"/>
        <v>0</v>
      </c>
      <c r="P1011" s="356"/>
      <c r="Q1011" s="345">
        <f t="shared" si="125"/>
        <v>21862</v>
      </c>
      <c r="R1011" s="19">
        <f t="shared" si="126"/>
        <v>-1827</v>
      </c>
      <c r="S1011" s="87">
        <f t="shared" si="127"/>
        <v>20035</v>
      </c>
    </row>
    <row r="1012" spans="2:19" x14ac:dyDescent="0.2">
      <c r="B1012" s="83">
        <f t="shared" si="136"/>
        <v>420</v>
      </c>
      <c r="C1012" s="3"/>
      <c r="D1012" s="3"/>
      <c r="E1012" s="3"/>
      <c r="F1012" s="26" t="s">
        <v>169</v>
      </c>
      <c r="G1012" s="3">
        <v>634</v>
      </c>
      <c r="H1012" s="3" t="s">
        <v>143</v>
      </c>
      <c r="I1012" s="19">
        <v>1500</v>
      </c>
      <c r="J1012" s="19"/>
      <c r="K1012" s="87">
        <f t="shared" si="130"/>
        <v>1500</v>
      </c>
      <c r="L1012" s="356"/>
      <c r="M1012" s="345"/>
      <c r="N1012" s="208"/>
      <c r="O1012" s="87">
        <f t="shared" si="131"/>
        <v>0</v>
      </c>
      <c r="P1012" s="356"/>
      <c r="Q1012" s="345">
        <f t="shared" si="125"/>
        <v>1500</v>
      </c>
      <c r="R1012" s="19">
        <f t="shared" si="126"/>
        <v>0</v>
      </c>
      <c r="S1012" s="87">
        <f t="shared" si="127"/>
        <v>1500</v>
      </c>
    </row>
    <row r="1013" spans="2:19" x14ac:dyDescent="0.2">
      <c r="B1013" s="83">
        <f t="shared" si="136"/>
        <v>421</v>
      </c>
      <c r="C1013" s="3"/>
      <c r="D1013" s="3"/>
      <c r="E1013" s="3"/>
      <c r="F1013" s="26" t="s">
        <v>169</v>
      </c>
      <c r="G1013" s="3">
        <v>635</v>
      </c>
      <c r="H1013" s="3" t="s">
        <v>144</v>
      </c>
      <c r="I1013" s="19">
        <f>500+1000+1700</f>
        <v>3200</v>
      </c>
      <c r="J1013" s="19"/>
      <c r="K1013" s="87">
        <f t="shared" si="130"/>
        <v>3200</v>
      </c>
      <c r="L1013" s="356"/>
      <c r="M1013" s="345"/>
      <c r="N1013" s="208"/>
      <c r="O1013" s="87">
        <f t="shared" si="131"/>
        <v>0</v>
      </c>
      <c r="P1013" s="356"/>
      <c r="Q1013" s="345">
        <f t="shared" si="125"/>
        <v>3200</v>
      </c>
      <c r="R1013" s="19">
        <f t="shared" si="126"/>
        <v>0</v>
      </c>
      <c r="S1013" s="87">
        <f t="shared" si="127"/>
        <v>3200</v>
      </c>
    </row>
    <row r="1014" spans="2:19" x14ac:dyDescent="0.2">
      <c r="B1014" s="83">
        <f t="shared" si="136"/>
        <v>422</v>
      </c>
      <c r="C1014" s="3"/>
      <c r="D1014" s="3"/>
      <c r="E1014" s="3"/>
      <c r="F1014" s="26" t="s">
        <v>169</v>
      </c>
      <c r="G1014" s="3">
        <v>636</v>
      </c>
      <c r="H1014" s="3" t="s">
        <v>137</v>
      </c>
      <c r="I1014" s="19">
        <v>0</v>
      </c>
      <c r="J1014" s="19">
        <v>206</v>
      </c>
      <c r="K1014" s="87">
        <f t="shared" si="130"/>
        <v>206</v>
      </c>
      <c r="L1014" s="356"/>
      <c r="M1014" s="345"/>
      <c r="N1014" s="208"/>
      <c r="O1014" s="87"/>
      <c r="P1014" s="356"/>
      <c r="Q1014" s="345">
        <f t="shared" ref="Q1014" si="137">I1014+M1014</f>
        <v>0</v>
      </c>
      <c r="R1014" s="19">
        <f t="shared" ref="R1014" si="138">J1014+N1014</f>
        <v>206</v>
      </c>
      <c r="S1014" s="87">
        <f t="shared" ref="S1014" si="139">K1014+O1014</f>
        <v>206</v>
      </c>
    </row>
    <row r="1015" spans="2:19" x14ac:dyDescent="0.2">
      <c r="B1015" s="83">
        <f t="shared" si="136"/>
        <v>423</v>
      </c>
      <c r="C1015" s="3"/>
      <c r="D1015" s="3"/>
      <c r="E1015" s="3"/>
      <c r="F1015" s="26" t="s">
        <v>169</v>
      </c>
      <c r="G1015" s="3">
        <v>637</v>
      </c>
      <c r="H1015" s="3" t="s">
        <v>133</v>
      </c>
      <c r="I1015" s="19">
        <f>17300+3000+3000+4850-350</f>
        <v>27800</v>
      </c>
      <c r="J1015" s="19">
        <v>2681</v>
      </c>
      <c r="K1015" s="87">
        <f t="shared" si="130"/>
        <v>30481</v>
      </c>
      <c r="L1015" s="356"/>
      <c r="M1015" s="345"/>
      <c r="N1015" s="208"/>
      <c r="O1015" s="87">
        <f t="shared" si="131"/>
        <v>0</v>
      </c>
      <c r="P1015" s="356"/>
      <c r="Q1015" s="345">
        <f t="shared" si="125"/>
        <v>27800</v>
      </c>
      <c r="R1015" s="19">
        <f t="shared" si="126"/>
        <v>2681</v>
      </c>
      <c r="S1015" s="87">
        <f t="shared" si="127"/>
        <v>30481</v>
      </c>
    </row>
    <row r="1016" spans="2:19" x14ac:dyDescent="0.2">
      <c r="B1016" s="83">
        <f t="shared" si="136"/>
        <v>424</v>
      </c>
      <c r="C1016" s="7"/>
      <c r="D1016" s="7"/>
      <c r="E1016" s="7"/>
      <c r="F1016" s="25" t="s">
        <v>169</v>
      </c>
      <c r="G1016" s="7">
        <v>640</v>
      </c>
      <c r="H1016" s="7" t="s">
        <v>140</v>
      </c>
      <c r="I1016" s="23">
        <f>500+380</f>
        <v>880</v>
      </c>
      <c r="J1016" s="23">
        <v>103</v>
      </c>
      <c r="K1016" s="86">
        <f t="shared" si="130"/>
        <v>983</v>
      </c>
      <c r="L1016" s="355"/>
      <c r="M1016" s="344"/>
      <c r="N1016" s="246"/>
      <c r="O1016" s="86">
        <f t="shared" si="131"/>
        <v>0</v>
      </c>
      <c r="P1016" s="355"/>
      <c r="Q1016" s="344">
        <f t="shared" si="125"/>
        <v>880</v>
      </c>
      <c r="R1016" s="23">
        <f t="shared" si="126"/>
        <v>103</v>
      </c>
      <c r="S1016" s="86">
        <f t="shared" si="127"/>
        <v>983</v>
      </c>
    </row>
    <row r="1017" spans="2:19" ht="15" x14ac:dyDescent="0.25">
      <c r="B1017" s="83">
        <f t="shared" si="136"/>
        <v>425</v>
      </c>
      <c r="C1017" s="10"/>
      <c r="D1017" s="10"/>
      <c r="E1017" s="10">
        <v>4</v>
      </c>
      <c r="F1017" s="28"/>
      <c r="G1017" s="10"/>
      <c r="H1017" s="10" t="s">
        <v>90</v>
      </c>
      <c r="I1017" s="38">
        <f>I1018+I1019+I1020</f>
        <v>14094</v>
      </c>
      <c r="J1017" s="38"/>
      <c r="K1017" s="94">
        <f t="shared" si="130"/>
        <v>14094</v>
      </c>
      <c r="L1017" s="365"/>
      <c r="M1017" s="362">
        <v>0</v>
      </c>
      <c r="N1017" s="253"/>
      <c r="O1017" s="94">
        <f t="shared" si="131"/>
        <v>0</v>
      </c>
      <c r="P1017" s="365"/>
      <c r="Q1017" s="362">
        <f t="shared" si="125"/>
        <v>14094</v>
      </c>
      <c r="R1017" s="38">
        <f t="shared" si="126"/>
        <v>0</v>
      </c>
      <c r="S1017" s="94">
        <f t="shared" si="127"/>
        <v>14094</v>
      </c>
    </row>
    <row r="1018" spans="2:19" x14ac:dyDescent="0.2">
      <c r="B1018" s="83">
        <f t="shared" si="136"/>
        <v>426</v>
      </c>
      <c r="C1018" s="7"/>
      <c r="D1018" s="7"/>
      <c r="E1018" s="7"/>
      <c r="F1018" s="25" t="s">
        <v>169</v>
      </c>
      <c r="G1018" s="7">
        <v>610</v>
      </c>
      <c r="H1018" s="7" t="s">
        <v>142</v>
      </c>
      <c r="I1018" s="23">
        <f>8535+1020</f>
        <v>9555</v>
      </c>
      <c r="J1018" s="23"/>
      <c r="K1018" s="86">
        <f t="shared" si="130"/>
        <v>9555</v>
      </c>
      <c r="L1018" s="355"/>
      <c r="M1018" s="344"/>
      <c r="N1018" s="246"/>
      <c r="O1018" s="86">
        <f t="shared" si="131"/>
        <v>0</v>
      </c>
      <c r="P1018" s="355"/>
      <c r="Q1018" s="344">
        <f t="shared" si="125"/>
        <v>9555</v>
      </c>
      <c r="R1018" s="23">
        <f t="shared" si="126"/>
        <v>0</v>
      </c>
      <c r="S1018" s="86">
        <f t="shared" si="127"/>
        <v>9555</v>
      </c>
    </row>
    <row r="1019" spans="2:19" x14ac:dyDescent="0.2">
      <c r="B1019" s="83">
        <f t="shared" si="136"/>
        <v>427</v>
      </c>
      <c r="C1019" s="7"/>
      <c r="D1019" s="7"/>
      <c r="E1019" s="7"/>
      <c r="F1019" s="25" t="s">
        <v>169</v>
      </c>
      <c r="G1019" s="7">
        <v>620</v>
      </c>
      <c r="H1019" s="7" t="s">
        <v>135</v>
      </c>
      <c r="I1019" s="23">
        <f>2982+377</f>
        <v>3359</v>
      </c>
      <c r="J1019" s="23"/>
      <c r="K1019" s="86">
        <f t="shared" si="130"/>
        <v>3359</v>
      </c>
      <c r="L1019" s="355"/>
      <c r="M1019" s="344"/>
      <c r="N1019" s="246"/>
      <c r="O1019" s="86">
        <f t="shared" si="131"/>
        <v>0</v>
      </c>
      <c r="P1019" s="355"/>
      <c r="Q1019" s="344">
        <f t="shared" si="125"/>
        <v>3359</v>
      </c>
      <c r="R1019" s="23">
        <f t="shared" si="126"/>
        <v>0</v>
      </c>
      <c r="S1019" s="86">
        <f t="shared" si="127"/>
        <v>3359</v>
      </c>
    </row>
    <row r="1020" spans="2:19" x14ac:dyDescent="0.2">
      <c r="B1020" s="83">
        <f t="shared" si="136"/>
        <v>428</v>
      </c>
      <c r="C1020" s="7"/>
      <c r="D1020" s="7"/>
      <c r="E1020" s="7"/>
      <c r="F1020" s="25" t="s">
        <v>169</v>
      </c>
      <c r="G1020" s="7">
        <v>630</v>
      </c>
      <c r="H1020" s="7" t="s">
        <v>132</v>
      </c>
      <c r="I1020" s="23">
        <f>SUM(I1021:I1023)</f>
        <v>1180</v>
      </c>
      <c r="J1020" s="23"/>
      <c r="K1020" s="86">
        <f t="shared" si="130"/>
        <v>1180</v>
      </c>
      <c r="L1020" s="355"/>
      <c r="M1020" s="344"/>
      <c r="N1020" s="246"/>
      <c r="O1020" s="86">
        <f t="shared" si="131"/>
        <v>0</v>
      </c>
      <c r="P1020" s="355"/>
      <c r="Q1020" s="344">
        <f t="shared" si="125"/>
        <v>1180</v>
      </c>
      <c r="R1020" s="23">
        <f t="shared" si="126"/>
        <v>0</v>
      </c>
      <c r="S1020" s="86">
        <f t="shared" si="127"/>
        <v>1180</v>
      </c>
    </row>
    <row r="1021" spans="2:19" x14ac:dyDescent="0.2">
      <c r="B1021" s="83">
        <f t="shared" si="136"/>
        <v>429</v>
      </c>
      <c r="C1021" s="3"/>
      <c r="D1021" s="3"/>
      <c r="E1021" s="3"/>
      <c r="F1021" s="26" t="s">
        <v>169</v>
      </c>
      <c r="G1021" s="3">
        <v>632</v>
      </c>
      <c r="H1021" s="3" t="s">
        <v>145</v>
      </c>
      <c r="I1021" s="19">
        <v>600</v>
      </c>
      <c r="J1021" s="19"/>
      <c r="K1021" s="87">
        <f t="shared" si="130"/>
        <v>600</v>
      </c>
      <c r="L1021" s="356"/>
      <c r="M1021" s="345"/>
      <c r="N1021" s="208"/>
      <c r="O1021" s="87">
        <f t="shared" si="131"/>
        <v>0</v>
      </c>
      <c r="P1021" s="356"/>
      <c r="Q1021" s="345">
        <f t="shared" si="125"/>
        <v>600</v>
      </c>
      <c r="R1021" s="19">
        <f t="shared" si="126"/>
        <v>0</v>
      </c>
      <c r="S1021" s="87">
        <f t="shared" si="127"/>
        <v>600</v>
      </c>
    </row>
    <row r="1022" spans="2:19" x14ac:dyDescent="0.2">
      <c r="B1022" s="83">
        <f t="shared" si="136"/>
        <v>430</v>
      </c>
      <c r="C1022" s="3"/>
      <c r="D1022" s="3"/>
      <c r="E1022" s="3"/>
      <c r="F1022" s="26" t="s">
        <v>169</v>
      </c>
      <c r="G1022" s="3">
        <v>633</v>
      </c>
      <c r="H1022" s="3" t="s">
        <v>136</v>
      </c>
      <c r="I1022" s="19">
        <v>450</v>
      </c>
      <c r="J1022" s="19"/>
      <c r="K1022" s="87">
        <f t="shared" si="130"/>
        <v>450</v>
      </c>
      <c r="L1022" s="356"/>
      <c r="M1022" s="345"/>
      <c r="N1022" s="208"/>
      <c r="O1022" s="87">
        <f t="shared" si="131"/>
        <v>0</v>
      </c>
      <c r="P1022" s="356"/>
      <c r="Q1022" s="345">
        <f t="shared" si="125"/>
        <v>450</v>
      </c>
      <c r="R1022" s="19">
        <f t="shared" si="126"/>
        <v>0</v>
      </c>
      <c r="S1022" s="87">
        <f t="shared" si="127"/>
        <v>450</v>
      </c>
    </row>
    <row r="1023" spans="2:19" x14ac:dyDescent="0.2">
      <c r="B1023" s="83">
        <f t="shared" si="136"/>
        <v>431</v>
      </c>
      <c r="C1023" s="3"/>
      <c r="D1023" s="3"/>
      <c r="E1023" s="3"/>
      <c r="F1023" s="26" t="s">
        <v>169</v>
      </c>
      <c r="G1023" s="3">
        <v>637</v>
      </c>
      <c r="H1023" s="3" t="s">
        <v>133</v>
      </c>
      <c r="I1023" s="19">
        <v>130</v>
      </c>
      <c r="J1023" s="19"/>
      <c r="K1023" s="87">
        <f t="shared" si="130"/>
        <v>130</v>
      </c>
      <c r="L1023" s="356"/>
      <c r="M1023" s="345"/>
      <c r="N1023" s="208"/>
      <c r="O1023" s="87">
        <f t="shared" si="131"/>
        <v>0</v>
      </c>
      <c r="P1023" s="356"/>
      <c r="Q1023" s="345">
        <f t="shared" si="125"/>
        <v>130</v>
      </c>
      <c r="R1023" s="19">
        <f t="shared" si="126"/>
        <v>0</v>
      </c>
      <c r="S1023" s="87">
        <f t="shared" si="127"/>
        <v>130</v>
      </c>
    </row>
    <row r="1024" spans="2:19" ht="15" x14ac:dyDescent="0.25">
      <c r="B1024" s="83">
        <f t="shared" si="136"/>
        <v>432</v>
      </c>
      <c r="C1024" s="10"/>
      <c r="D1024" s="10"/>
      <c r="E1024" s="10">
        <v>6</v>
      </c>
      <c r="F1024" s="28"/>
      <c r="G1024" s="10"/>
      <c r="H1024" s="10" t="s">
        <v>12</v>
      </c>
      <c r="I1024" s="38">
        <f>I1025+I1026+I1027+I1031</f>
        <v>132912</v>
      </c>
      <c r="J1024" s="38">
        <f>J1025+J1026+J1027+J1031</f>
        <v>1000</v>
      </c>
      <c r="K1024" s="94">
        <f t="shared" si="130"/>
        <v>133912</v>
      </c>
      <c r="L1024" s="365"/>
      <c r="M1024" s="362">
        <v>0</v>
      </c>
      <c r="N1024" s="253"/>
      <c r="O1024" s="94">
        <f t="shared" si="131"/>
        <v>0</v>
      </c>
      <c r="P1024" s="365"/>
      <c r="Q1024" s="362">
        <f t="shared" si="125"/>
        <v>132912</v>
      </c>
      <c r="R1024" s="38">
        <f t="shared" si="126"/>
        <v>1000</v>
      </c>
      <c r="S1024" s="94">
        <f t="shared" si="127"/>
        <v>133912</v>
      </c>
    </row>
    <row r="1025" spans="2:19" x14ac:dyDescent="0.2">
      <c r="B1025" s="83">
        <f t="shared" si="136"/>
        <v>433</v>
      </c>
      <c r="C1025" s="7"/>
      <c r="D1025" s="7"/>
      <c r="E1025" s="7"/>
      <c r="F1025" s="25" t="s">
        <v>169</v>
      </c>
      <c r="G1025" s="7">
        <v>610</v>
      </c>
      <c r="H1025" s="7" t="s">
        <v>142</v>
      </c>
      <c r="I1025" s="23">
        <v>87122</v>
      </c>
      <c r="J1025" s="23">
        <v>221</v>
      </c>
      <c r="K1025" s="86">
        <f t="shared" si="130"/>
        <v>87343</v>
      </c>
      <c r="L1025" s="355"/>
      <c r="M1025" s="344"/>
      <c r="N1025" s="246"/>
      <c r="O1025" s="86">
        <f t="shared" si="131"/>
        <v>0</v>
      </c>
      <c r="P1025" s="355"/>
      <c r="Q1025" s="344">
        <f t="shared" si="125"/>
        <v>87122</v>
      </c>
      <c r="R1025" s="23">
        <f t="shared" si="126"/>
        <v>221</v>
      </c>
      <c r="S1025" s="86">
        <f t="shared" si="127"/>
        <v>87343</v>
      </c>
    </row>
    <row r="1026" spans="2:19" x14ac:dyDescent="0.2">
      <c r="B1026" s="83">
        <f t="shared" si="136"/>
        <v>434</v>
      </c>
      <c r="C1026" s="7"/>
      <c r="D1026" s="7"/>
      <c r="E1026" s="7"/>
      <c r="F1026" s="25" t="s">
        <v>169</v>
      </c>
      <c r="G1026" s="7">
        <v>620</v>
      </c>
      <c r="H1026" s="7" t="s">
        <v>135</v>
      </c>
      <c r="I1026" s="23">
        <v>30450</v>
      </c>
      <c r="J1026" s="23">
        <v>-173</v>
      </c>
      <c r="K1026" s="86">
        <f t="shared" si="130"/>
        <v>30277</v>
      </c>
      <c r="L1026" s="355"/>
      <c r="M1026" s="344"/>
      <c r="N1026" s="246"/>
      <c r="O1026" s="86">
        <f t="shared" si="131"/>
        <v>0</v>
      </c>
      <c r="P1026" s="355"/>
      <c r="Q1026" s="344">
        <f t="shared" si="125"/>
        <v>30450</v>
      </c>
      <c r="R1026" s="23">
        <f t="shared" si="126"/>
        <v>-173</v>
      </c>
      <c r="S1026" s="86">
        <f t="shared" si="127"/>
        <v>30277</v>
      </c>
    </row>
    <row r="1027" spans="2:19" x14ac:dyDescent="0.2">
      <c r="B1027" s="83">
        <f t="shared" si="136"/>
        <v>435</v>
      </c>
      <c r="C1027" s="7"/>
      <c r="D1027" s="7"/>
      <c r="E1027" s="7"/>
      <c r="F1027" s="25" t="s">
        <v>169</v>
      </c>
      <c r="G1027" s="7">
        <v>630</v>
      </c>
      <c r="H1027" s="7" t="s">
        <v>132</v>
      </c>
      <c r="I1027" s="23">
        <f>SUM(I1028:I1030)</f>
        <v>15000</v>
      </c>
      <c r="J1027" s="23">
        <f>SUM(J1028:J1030)</f>
        <v>1000</v>
      </c>
      <c r="K1027" s="86">
        <f t="shared" si="130"/>
        <v>16000</v>
      </c>
      <c r="L1027" s="355"/>
      <c r="M1027" s="344"/>
      <c r="N1027" s="246"/>
      <c r="O1027" s="86">
        <f t="shared" si="131"/>
        <v>0</v>
      </c>
      <c r="P1027" s="355"/>
      <c r="Q1027" s="344">
        <f t="shared" si="125"/>
        <v>15000</v>
      </c>
      <c r="R1027" s="23">
        <f t="shared" si="126"/>
        <v>1000</v>
      </c>
      <c r="S1027" s="86">
        <f t="shared" si="127"/>
        <v>16000</v>
      </c>
    </row>
    <row r="1028" spans="2:19" x14ac:dyDescent="0.2">
      <c r="B1028" s="83">
        <f t="shared" si="136"/>
        <v>436</v>
      </c>
      <c r="C1028" s="3"/>
      <c r="D1028" s="3"/>
      <c r="E1028" s="3"/>
      <c r="F1028" s="26" t="s">
        <v>169</v>
      </c>
      <c r="G1028" s="3">
        <v>632</v>
      </c>
      <c r="H1028" s="3" t="s">
        <v>145</v>
      </c>
      <c r="I1028" s="19">
        <v>12730</v>
      </c>
      <c r="J1028" s="19">
        <v>400</v>
      </c>
      <c r="K1028" s="87">
        <f t="shared" si="130"/>
        <v>13130</v>
      </c>
      <c r="L1028" s="356"/>
      <c r="M1028" s="345"/>
      <c r="N1028" s="208"/>
      <c r="O1028" s="87">
        <f t="shared" si="131"/>
        <v>0</v>
      </c>
      <c r="P1028" s="356"/>
      <c r="Q1028" s="345">
        <f t="shared" si="125"/>
        <v>12730</v>
      </c>
      <c r="R1028" s="19">
        <f t="shared" si="126"/>
        <v>400</v>
      </c>
      <c r="S1028" s="87">
        <f t="shared" si="127"/>
        <v>13130</v>
      </c>
    </row>
    <row r="1029" spans="2:19" x14ac:dyDescent="0.2">
      <c r="B1029" s="83">
        <f t="shared" si="136"/>
        <v>437</v>
      </c>
      <c r="C1029" s="3"/>
      <c r="D1029" s="3"/>
      <c r="E1029" s="3"/>
      <c r="F1029" s="26" t="s">
        <v>169</v>
      </c>
      <c r="G1029" s="3">
        <v>633</v>
      </c>
      <c r="H1029" s="3" t="s">
        <v>136</v>
      </c>
      <c r="I1029" s="19">
        <v>1027</v>
      </c>
      <c r="J1029" s="19"/>
      <c r="K1029" s="87">
        <f t="shared" si="130"/>
        <v>1027</v>
      </c>
      <c r="L1029" s="356"/>
      <c r="M1029" s="345"/>
      <c r="N1029" s="208"/>
      <c r="O1029" s="87">
        <f t="shared" si="131"/>
        <v>0</v>
      </c>
      <c r="P1029" s="356"/>
      <c r="Q1029" s="345">
        <f t="shared" si="125"/>
        <v>1027</v>
      </c>
      <c r="R1029" s="19">
        <f t="shared" si="126"/>
        <v>0</v>
      </c>
      <c r="S1029" s="87">
        <f t="shared" si="127"/>
        <v>1027</v>
      </c>
    </row>
    <row r="1030" spans="2:19" x14ac:dyDescent="0.2">
      <c r="B1030" s="83">
        <f t="shared" si="136"/>
        <v>438</v>
      </c>
      <c r="C1030" s="3"/>
      <c r="D1030" s="3"/>
      <c r="E1030" s="3"/>
      <c r="F1030" s="26" t="s">
        <v>169</v>
      </c>
      <c r="G1030" s="3">
        <v>637</v>
      </c>
      <c r="H1030" s="3" t="s">
        <v>133</v>
      </c>
      <c r="I1030" s="19">
        <v>1243</v>
      </c>
      <c r="J1030" s="19">
        <v>600</v>
      </c>
      <c r="K1030" s="87">
        <f t="shared" si="130"/>
        <v>1843</v>
      </c>
      <c r="L1030" s="356"/>
      <c r="M1030" s="345"/>
      <c r="N1030" s="208"/>
      <c r="O1030" s="87">
        <f t="shared" si="131"/>
        <v>0</v>
      </c>
      <c r="P1030" s="356"/>
      <c r="Q1030" s="345">
        <f t="shared" si="125"/>
        <v>1243</v>
      </c>
      <c r="R1030" s="19">
        <f t="shared" si="126"/>
        <v>600</v>
      </c>
      <c r="S1030" s="87">
        <f t="shared" si="127"/>
        <v>1843</v>
      </c>
    </row>
    <row r="1031" spans="2:19" x14ac:dyDescent="0.2">
      <c r="B1031" s="83">
        <f t="shared" si="136"/>
        <v>439</v>
      </c>
      <c r="C1031" s="7"/>
      <c r="D1031" s="7"/>
      <c r="E1031" s="7"/>
      <c r="F1031" s="25" t="s">
        <v>169</v>
      </c>
      <c r="G1031" s="7">
        <v>640</v>
      </c>
      <c r="H1031" s="7" t="s">
        <v>140</v>
      </c>
      <c r="I1031" s="23">
        <v>340</v>
      </c>
      <c r="J1031" s="23">
        <v>-48</v>
      </c>
      <c r="K1031" s="86">
        <f t="shared" si="130"/>
        <v>292</v>
      </c>
      <c r="L1031" s="355"/>
      <c r="M1031" s="344"/>
      <c r="N1031" s="246"/>
      <c r="O1031" s="86">
        <f t="shared" si="131"/>
        <v>0</v>
      </c>
      <c r="P1031" s="355"/>
      <c r="Q1031" s="344">
        <f t="shared" si="125"/>
        <v>340</v>
      </c>
      <c r="R1031" s="23">
        <f t="shared" si="126"/>
        <v>-48</v>
      </c>
      <c r="S1031" s="86">
        <f t="shared" si="127"/>
        <v>292</v>
      </c>
    </row>
    <row r="1032" spans="2:19" ht="15" x14ac:dyDescent="0.25">
      <c r="B1032" s="83">
        <f t="shared" si="136"/>
        <v>440</v>
      </c>
      <c r="C1032" s="10"/>
      <c r="D1032" s="10"/>
      <c r="E1032" s="10">
        <v>7</v>
      </c>
      <c r="F1032" s="28"/>
      <c r="G1032" s="10"/>
      <c r="H1032" s="10" t="s">
        <v>13</v>
      </c>
      <c r="I1032" s="38">
        <f>I1033+I1034+I1035+I1039</f>
        <v>128550</v>
      </c>
      <c r="J1032" s="38">
        <f>J1033+J1034+J1035+J1039</f>
        <v>5500</v>
      </c>
      <c r="K1032" s="94">
        <f t="shared" si="130"/>
        <v>134050</v>
      </c>
      <c r="L1032" s="365"/>
      <c r="M1032" s="362">
        <v>0</v>
      </c>
      <c r="N1032" s="253"/>
      <c r="O1032" s="94">
        <f t="shared" si="131"/>
        <v>0</v>
      </c>
      <c r="P1032" s="365"/>
      <c r="Q1032" s="362">
        <f t="shared" ref="Q1032:Q1100" si="140">I1032+M1032</f>
        <v>128550</v>
      </c>
      <c r="R1032" s="38">
        <f t="shared" si="126"/>
        <v>5500</v>
      </c>
      <c r="S1032" s="94">
        <f t="shared" si="127"/>
        <v>134050</v>
      </c>
    </row>
    <row r="1033" spans="2:19" x14ac:dyDescent="0.2">
      <c r="B1033" s="83">
        <f t="shared" si="136"/>
        <v>441</v>
      </c>
      <c r="C1033" s="7"/>
      <c r="D1033" s="7"/>
      <c r="E1033" s="7"/>
      <c r="F1033" s="25" t="s">
        <v>169</v>
      </c>
      <c r="G1033" s="7">
        <v>610</v>
      </c>
      <c r="H1033" s="7" t="s">
        <v>142</v>
      </c>
      <c r="I1033" s="23">
        <f>78882+6916</f>
        <v>85798</v>
      </c>
      <c r="J1033" s="23">
        <v>3594</v>
      </c>
      <c r="K1033" s="86">
        <f t="shared" si="130"/>
        <v>89392</v>
      </c>
      <c r="L1033" s="355"/>
      <c r="M1033" s="344"/>
      <c r="N1033" s="246"/>
      <c r="O1033" s="86">
        <f t="shared" si="131"/>
        <v>0</v>
      </c>
      <c r="P1033" s="355"/>
      <c r="Q1033" s="344">
        <f t="shared" si="140"/>
        <v>85798</v>
      </c>
      <c r="R1033" s="23">
        <f t="shared" ref="R1033:R1101" si="141">J1033+N1033</f>
        <v>3594</v>
      </c>
      <c r="S1033" s="86">
        <f t="shared" ref="S1033:S1101" si="142">K1033+O1033</f>
        <v>89392</v>
      </c>
    </row>
    <row r="1034" spans="2:19" x14ac:dyDescent="0.2">
      <c r="B1034" s="83">
        <f t="shared" si="136"/>
        <v>442</v>
      </c>
      <c r="C1034" s="7"/>
      <c r="D1034" s="7"/>
      <c r="E1034" s="7"/>
      <c r="F1034" s="25" t="s">
        <v>169</v>
      </c>
      <c r="G1034" s="7">
        <v>620</v>
      </c>
      <c r="H1034" s="7" t="s">
        <v>135</v>
      </c>
      <c r="I1034" s="23">
        <f>27761+2441</f>
        <v>30202</v>
      </c>
      <c r="J1034" s="23">
        <v>906</v>
      </c>
      <c r="K1034" s="86">
        <f t="shared" si="130"/>
        <v>31108</v>
      </c>
      <c r="L1034" s="355"/>
      <c r="M1034" s="344"/>
      <c r="N1034" s="246"/>
      <c r="O1034" s="86">
        <f t="shared" si="131"/>
        <v>0</v>
      </c>
      <c r="P1034" s="355"/>
      <c r="Q1034" s="344">
        <f t="shared" si="140"/>
        <v>30202</v>
      </c>
      <c r="R1034" s="23">
        <f t="shared" si="141"/>
        <v>906</v>
      </c>
      <c r="S1034" s="86">
        <f t="shared" si="142"/>
        <v>31108</v>
      </c>
    </row>
    <row r="1035" spans="2:19" x14ac:dyDescent="0.2">
      <c r="B1035" s="83">
        <f t="shared" si="136"/>
        <v>443</v>
      </c>
      <c r="C1035" s="7"/>
      <c r="D1035" s="7"/>
      <c r="E1035" s="7"/>
      <c r="F1035" s="25" t="s">
        <v>169</v>
      </c>
      <c r="G1035" s="7">
        <v>630</v>
      </c>
      <c r="H1035" s="7" t="s">
        <v>132</v>
      </c>
      <c r="I1035" s="23">
        <f>SUM(I1036:I1038)</f>
        <v>10166</v>
      </c>
      <c r="J1035" s="23">
        <f>SUM(J1036:J1038)</f>
        <v>2000</v>
      </c>
      <c r="K1035" s="86">
        <f t="shared" si="130"/>
        <v>12166</v>
      </c>
      <c r="L1035" s="355"/>
      <c r="M1035" s="344"/>
      <c r="N1035" s="246"/>
      <c r="O1035" s="86">
        <f t="shared" si="131"/>
        <v>0</v>
      </c>
      <c r="P1035" s="355"/>
      <c r="Q1035" s="344">
        <f t="shared" si="140"/>
        <v>10166</v>
      </c>
      <c r="R1035" s="23">
        <f t="shared" si="141"/>
        <v>2000</v>
      </c>
      <c r="S1035" s="86">
        <f t="shared" si="142"/>
        <v>12166</v>
      </c>
    </row>
    <row r="1036" spans="2:19" x14ac:dyDescent="0.2">
      <c r="B1036" s="83">
        <f t="shared" si="136"/>
        <v>444</v>
      </c>
      <c r="C1036" s="3"/>
      <c r="D1036" s="3"/>
      <c r="E1036" s="3"/>
      <c r="F1036" s="26" t="s">
        <v>169</v>
      </c>
      <c r="G1036" s="3">
        <v>632</v>
      </c>
      <c r="H1036" s="3" t="s">
        <v>145</v>
      </c>
      <c r="I1036" s="19">
        <v>5294</v>
      </c>
      <c r="J1036" s="19"/>
      <c r="K1036" s="87">
        <f t="shared" si="130"/>
        <v>5294</v>
      </c>
      <c r="L1036" s="356"/>
      <c r="M1036" s="345"/>
      <c r="N1036" s="208"/>
      <c r="O1036" s="87">
        <f t="shared" si="131"/>
        <v>0</v>
      </c>
      <c r="P1036" s="356"/>
      <c r="Q1036" s="345">
        <f t="shared" si="140"/>
        <v>5294</v>
      </c>
      <c r="R1036" s="19">
        <f t="shared" si="141"/>
        <v>0</v>
      </c>
      <c r="S1036" s="87">
        <f t="shared" si="142"/>
        <v>5294</v>
      </c>
    </row>
    <row r="1037" spans="2:19" x14ac:dyDescent="0.2">
      <c r="B1037" s="83">
        <f t="shared" si="136"/>
        <v>445</v>
      </c>
      <c r="C1037" s="3"/>
      <c r="D1037" s="3"/>
      <c r="E1037" s="3"/>
      <c r="F1037" s="26" t="s">
        <v>169</v>
      </c>
      <c r="G1037" s="3">
        <v>633</v>
      </c>
      <c r="H1037" s="3" t="s">
        <v>136</v>
      </c>
      <c r="I1037" s="19">
        <v>2372</v>
      </c>
      <c r="J1037" s="19"/>
      <c r="K1037" s="87">
        <f t="shared" si="130"/>
        <v>2372</v>
      </c>
      <c r="L1037" s="356"/>
      <c r="M1037" s="345"/>
      <c r="N1037" s="208"/>
      <c r="O1037" s="87">
        <f t="shared" si="131"/>
        <v>0</v>
      </c>
      <c r="P1037" s="356"/>
      <c r="Q1037" s="345">
        <f t="shared" si="140"/>
        <v>2372</v>
      </c>
      <c r="R1037" s="19">
        <f t="shared" si="141"/>
        <v>0</v>
      </c>
      <c r="S1037" s="87">
        <f t="shared" si="142"/>
        <v>2372</v>
      </c>
    </row>
    <row r="1038" spans="2:19" x14ac:dyDescent="0.2">
      <c r="B1038" s="83">
        <f t="shared" si="136"/>
        <v>446</v>
      </c>
      <c r="C1038" s="3"/>
      <c r="D1038" s="3"/>
      <c r="E1038" s="3"/>
      <c r="F1038" s="26" t="s">
        <v>169</v>
      </c>
      <c r="G1038" s="3">
        <v>637</v>
      </c>
      <c r="H1038" s="3" t="s">
        <v>133</v>
      </c>
      <c r="I1038" s="19">
        <v>2500</v>
      </c>
      <c r="J1038" s="19">
        <v>2000</v>
      </c>
      <c r="K1038" s="87">
        <f t="shared" si="130"/>
        <v>4500</v>
      </c>
      <c r="L1038" s="356"/>
      <c r="M1038" s="345"/>
      <c r="N1038" s="208"/>
      <c r="O1038" s="87">
        <f t="shared" si="131"/>
        <v>0</v>
      </c>
      <c r="P1038" s="356"/>
      <c r="Q1038" s="345">
        <f t="shared" si="140"/>
        <v>2500</v>
      </c>
      <c r="R1038" s="19">
        <f t="shared" si="141"/>
        <v>2000</v>
      </c>
      <c r="S1038" s="87">
        <f t="shared" si="142"/>
        <v>4500</v>
      </c>
    </row>
    <row r="1039" spans="2:19" x14ac:dyDescent="0.2">
      <c r="B1039" s="83">
        <f t="shared" si="136"/>
        <v>447</v>
      </c>
      <c r="C1039" s="7"/>
      <c r="D1039" s="7"/>
      <c r="E1039" s="7"/>
      <c r="F1039" s="25" t="s">
        <v>169</v>
      </c>
      <c r="G1039" s="7">
        <v>640</v>
      </c>
      <c r="H1039" s="7" t="s">
        <v>140</v>
      </c>
      <c r="I1039" s="23">
        <v>2384</v>
      </c>
      <c r="J1039" s="23">
        <v>-1000</v>
      </c>
      <c r="K1039" s="86">
        <f t="shared" si="130"/>
        <v>1384</v>
      </c>
      <c r="L1039" s="355"/>
      <c r="M1039" s="344"/>
      <c r="N1039" s="246"/>
      <c r="O1039" s="86">
        <f t="shared" si="131"/>
        <v>0</v>
      </c>
      <c r="P1039" s="355"/>
      <c r="Q1039" s="344">
        <f t="shared" si="140"/>
        <v>2384</v>
      </c>
      <c r="R1039" s="23">
        <f t="shared" si="141"/>
        <v>-1000</v>
      </c>
      <c r="S1039" s="86">
        <f t="shared" si="142"/>
        <v>1384</v>
      </c>
    </row>
    <row r="1040" spans="2:19" ht="15" x14ac:dyDescent="0.25">
      <c r="B1040" s="83">
        <f t="shared" si="136"/>
        <v>448</v>
      </c>
      <c r="C1040" s="10"/>
      <c r="D1040" s="10"/>
      <c r="E1040" s="10">
        <v>8</v>
      </c>
      <c r="F1040" s="28"/>
      <c r="G1040" s="10"/>
      <c r="H1040" s="61" t="s">
        <v>10</v>
      </c>
      <c r="I1040" s="62">
        <f>I1041+I1042+I1043+I1048</f>
        <v>249963</v>
      </c>
      <c r="J1040" s="62">
        <f>J1041+J1042+J1043+J1048</f>
        <v>0</v>
      </c>
      <c r="K1040" s="404">
        <f t="shared" si="130"/>
        <v>249963</v>
      </c>
      <c r="L1040" s="365"/>
      <c r="M1040" s="362">
        <v>0</v>
      </c>
      <c r="N1040" s="253"/>
      <c r="O1040" s="94">
        <f t="shared" si="131"/>
        <v>0</v>
      </c>
      <c r="P1040" s="365"/>
      <c r="Q1040" s="362">
        <f t="shared" si="140"/>
        <v>249963</v>
      </c>
      <c r="R1040" s="38">
        <f t="shared" si="141"/>
        <v>0</v>
      </c>
      <c r="S1040" s="94">
        <f t="shared" si="142"/>
        <v>249963</v>
      </c>
    </row>
    <row r="1041" spans="2:19" x14ac:dyDescent="0.2">
      <c r="B1041" s="83">
        <f t="shared" si="136"/>
        <v>449</v>
      </c>
      <c r="C1041" s="7"/>
      <c r="D1041" s="7"/>
      <c r="E1041" s="7"/>
      <c r="F1041" s="25" t="s">
        <v>169</v>
      </c>
      <c r="G1041" s="7">
        <v>610</v>
      </c>
      <c r="H1041" s="7" t="s">
        <v>142</v>
      </c>
      <c r="I1041" s="23">
        <f>145644+22365</f>
        <v>168009</v>
      </c>
      <c r="J1041" s="23"/>
      <c r="K1041" s="86">
        <f t="shared" si="130"/>
        <v>168009</v>
      </c>
      <c r="L1041" s="355"/>
      <c r="M1041" s="344"/>
      <c r="N1041" s="246"/>
      <c r="O1041" s="86">
        <f t="shared" si="131"/>
        <v>0</v>
      </c>
      <c r="P1041" s="355"/>
      <c r="Q1041" s="344">
        <f t="shared" si="140"/>
        <v>168009</v>
      </c>
      <c r="R1041" s="23">
        <f t="shared" si="141"/>
        <v>0</v>
      </c>
      <c r="S1041" s="86">
        <f t="shared" si="142"/>
        <v>168009</v>
      </c>
    </row>
    <row r="1042" spans="2:19" x14ac:dyDescent="0.2">
      <c r="B1042" s="83">
        <f t="shared" si="136"/>
        <v>450</v>
      </c>
      <c r="C1042" s="7"/>
      <c r="D1042" s="7"/>
      <c r="E1042" s="7"/>
      <c r="F1042" s="25" t="s">
        <v>169</v>
      </c>
      <c r="G1042" s="7">
        <v>620</v>
      </c>
      <c r="H1042" s="7" t="s">
        <v>135</v>
      </c>
      <c r="I1042" s="23">
        <f>50976+7828</f>
        <v>58804</v>
      </c>
      <c r="J1042" s="23"/>
      <c r="K1042" s="86">
        <f t="shared" si="130"/>
        <v>58804</v>
      </c>
      <c r="L1042" s="355"/>
      <c r="M1042" s="344"/>
      <c r="N1042" s="246"/>
      <c r="O1042" s="86">
        <f t="shared" si="131"/>
        <v>0</v>
      </c>
      <c r="P1042" s="355"/>
      <c r="Q1042" s="344">
        <f t="shared" si="140"/>
        <v>58804</v>
      </c>
      <c r="R1042" s="23">
        <f t="shared" si="141"/>
        <v>0</v>
      </c>
      <c r="S1042" s="86">
        <f t="shared" si="142"/>
        <v>58804</v>
      </c>
    </row>
    <row r="1043" spans="2:19" x14ac:dyDescent="0.2">
      <c r="B1043" s="83">
        <f t="shared" si="136"/>
        <v>451</v>
      </c>
      <c r="C1043" s="7"/>
      <c r="D1043" s="7"/>
      <c r="E1043" s="7"/>
      <c r="F1043" s="25" t="s">
        <v>169</v>
      </c>
      <c r="G1043" s="7">
        <v>630</v>
      </c>
      <c r="H1043" s="7" t="s">
        <v>132</v>
      </c>
      <c r="I1043" s="23">
        <f>SUM(I1044:I1047)</f>
        <v>22150</v>
      </c>
      <c r="J1043" s="23">
        <f>SUM(J1044:J1047)</f>
        <v>150</v>
      </c>
      <c r="K1043" s="86">
        <f t="shared" si="130"/>
        <v>22300</v>
      </c>
      <c r="L1043" s="355"/>
      <c r="M1043" s="344"/>
      <c r="N1043" s="246"/>
      <c r="O1043" s="86">
        <f t="shared" si="131"/>
        <v>0</v>
      </c>
      <c r="P1043" s="355"/>
      <c r="Q1043" s="344">
        <f t="shared" si="140"/>
        <v>22150</v>
      </c>
      <c r="R1043" s="23">
        <f t="shared" si="141"/>
        <v>150</v>
      </c>
      <c r="S1043" s="86">
        <f t="shared" si="142"/>
        <v>22300</v>
      </c>
    </row>
    <row r="1044" spans="2:19" x14ac:dyDescent="0.2">
      <c r="B1044" s="83">
        <f t="shared" si="136"/>
        <v>452</v>
      </c>
      <c r="C1044" s="3"/>
      <c r="D1044" s="3"/>
      <c r="E1044" s="3"/>
      <c r="F1044" s="26" t="s">
        <v>169</v>
      </c>
      <c r="G1044" s="3">
        <v>632</v>
      </c>
      <c r="H1044" s="3" t="s">
        <v>145</v>
      </c>
      <c r="I1044" s="20">
        <f>16550-6000</f>
        <v>10550</v>
      </c>
      <c r="J1044" s="20">
        <v>-5320</v>
      </c>
      <c r="K1044" s="123">
        <f t="shared" si="130"/>
        <v>5230</v>
      </c>
      <c r="L1044" s="356"/>
      <c r="M1044" s="345"/>
      <c r="N1044" s="208"/>
      <c r="O1044" s="87">
        <f t="shared" si="131"/>
        <v>0</v>
      </c>
      <c r="P1044" s="356"/>
      <c r="Q1044" s="345">
        <f t="shared" si="140"/>
        <v>10550</v>
      </c>
      <c r="R1044" s="19">
        <f t="shared" si="141"/>
        <v>-5320</v>
      </c>
      <c r="S1044" s="87">
        <f t="shared" si="142"/>
        <v>5230</v>
      </c>
    </row>
    <row r="1045" spans="2:19" x14ac:dyDescent="0.2">
      <c r="B1045" s="83">
        <f t="shared" si="136"/>
        <v>453</v>
      </c>
      <c r="C1045" s="3"/>
      <c r="D1045" s="3"/>
      <c r="E1045" s="3"/>
      <c r="F1045" s="26" t="s">
        <v>169</v>
      </c>
      <c r="G1045" s="3">
        <v>633</v>
      </c>
      <c r="H1045" s="3" t="s">
        <v>136</v>
      </c>
      <c r="I1045" s="20">
        <v>700</v>
      </c>
      <c r="J1045" s="20"/>
      <c r="K1045" s="123">
        <f t="shared" si="130"/>
        <v>700</v>
      </c>
      <c r="L1045" s="356"/>
      <c r="M1045" s="345"/>
      <c r="N1045" s="208"/>
      <c r="O1045" s="87">
        <f t="shared" si="131"/>
        <v>0</v>
      </c>
      <c r="P1045" s="356"/>
      <c r="Q1045" s="345">
        <f t="shared" si="140"/>
        <v>700</v>
      </c>
      <c r="R1045" s="19">
        <f t="shared" si="141"/>
        <v>0</v>
      </c>
      <c r="S1045" s="87">
        <f t="shared" si="142"/>
        <v>700</v>
      </c>
    </row>
    <row r="1046" spans="2:19" x14ac:dyDescent="0.2">
      <c r="B1046" s="83">
        <f t="shared" si="136"/>
        <v>454</v>
      </c>
      <c r="C1046" s="3"/>
      <c r="D1046" s="3"/>
      <c r="E1046" s="3"/>
      <c r="F1046" s="26" t="s">
        <v>169</v>
      </c>
      <c r="G1046" s="3">
        <v>635</v>
      </c>
      <c r="H1046" s="3" t="s">
        <v>144</v>
      </c>
      <c r="I1046" s="20">
        <f>500+6000</f>
        <v>6500</v>
      </c>
      <c r="J1046" s="20">
        <v>4320</v>
      </c>
      <c r="K1046" s="123">
        <f t="shared" si="130"/>
        <v>10820</v>
      </c>
      <c r="L1046" s="356"/>
      <c r="M1046" s="345"/>
      <c r="N1046" s="208"/>
      <c r="O1046" s="87">
        <f t="shared" si="131"/>
        <v>0</v>
      </c>
      <c r="P1046" s="356"/>
      <c r="Q1046" s="345">
        <f t="shared" si="140"/>
        <v>6500</v>
      </c>
      <c r="R1046" s="19">
        <f t="shared" si="141"/>
        <v>4320</v>
      </c>
      <c r="S1046" s="87">
        <f t="shared" si="142"/>
        <v>10820</v>
      </c>
    </row>
    <row r="1047" spans="2:19" x14ac:dyDescent="0.2">
      <c r="B1047" s="83">
        <f t="shared" si="136"/>
        <v>455</v>
      </c>
      <c r="C1047" s="3"/>
      <c r="D1047" s="3"/>
      <c r="E1047" s="3"/>
      <c r="F1047" s="26" t="s">
        <v>169</v>
      </c>
      <c r="G1047" s="3">
        <v>637</v>
      </c>
      <c r="H1047" s="3" t="s">
        <v>133</v>
      </c>
      <c r="I1047" s="20">
        <v>4400</v>
      </c>
      <c r="J1047" s="20">
        <v>1150</v>
      </c>
      <c r="K1047" s="123">
        <f t="shared" si="130"/>
        <v>5550</v>
      </c>
      <c r="L1047" s="356"/>
      <c r="M1047" s="345"/>
      <c r="N1047" s="208"/>
      <c r="O1047" s="87">
        <f t="shared" si="131"/>
        <v>0</v>
      </c>
      <c r="P1047" s="356"/>
      <c r="Q1047" s="345">
        <f t="shared" si="140"/>
        <v>4400</v>
      </c>
      <c r="R1047" s="19">
        <f t="shared" si="141"/>
        <v>1150</v>
      </c>
      <c r="S1047" s="87">
        <f t="shared" si="142"/>
        <v>5550</v>
      </c>
    </row>
    <row r="1048" spans="2:19" x14ac:dyDescent="0.2">
      <c r="B1048" s="83">
        <f t="shared" si="136"/>
        <v>456</v>
      </c>
      <c r="C1048" s="7"/>
      <c r="D1048" s="7"/>
      <c r="E1048" s="7"/>
      <c r="F1048" s="25" t="s">
        <v>169</v>
      </c>
      <c r="G1048" s="7">
        <v>640</v>
      </c>
      <c r="H1048" s="7" t="s">
        <v>140</v>
      </c>
      <c r="I1048" s="23">
        <v>1000</v>
      </c>
      <c r="J1048" s="23">
        <v>-150</v>
      </c>
      <c r="K1048" s="86">
        <f t="shared" si="130"/>
        <v>850</v>
      </c>
      <c r="L1048" s="355"/>
      <c r="M1048" s="344"/>
      <c r="N1048" s="246"/>
      <c r="O1048" s="86">
        <f t="shared" si="131"/>
        <v>0</v>
      </c>
      <c r="P1048" s="355"/>
      <c r="Q1048" s="344">
        <f t="shared" si="140"/>
        <v>1000</v>
      </c>
      <c r="R1048" s="23">
        <f t="shared" si="141"/>
        <v>-150</v>
      </c>
      <c r="S1048" s="86">
        <f t="shared" si="142"/>
        <v>850</v>
      </c>
    </row>
    <row r="1049" spans="2:19" ht="15" x14ac:dyDescent="0.25">
      <c r="B1049" s="83">
        <f t="shared" si="136"/>
        <v>457</v>
      </c>
      <c r="C1049" s="10"/>
      <c r="D1049" s="10"/>
      <c r="E1049" s="10">
        <v>9</v>
      </c>
      <c r="F1049" s="28"/>
      <c r="G1049" s="10"/>
      <c r="H1049" s="10" t="s">
        <v>8</v>
      </c>
      <c r="I1049" s="38">
        <f>I1050+I1051+I1052+I1058</f>
        <v>86617</v>
      </c>
      <c r="J1049" s="38">
        <f>J1050+J1051+J1052+J1058</f>
        <v>0</v>
      </c>
      <c r="K1049" s="94">
        <f t="shared" si="130"/>
        <v>86617</v>
      </c>
      <c r="L1049" s="365"/>
      <c r="M1049" s="362">
        <v>0</v>
      </c>
      <c r="N1049" s="253"/>
      <c r="O1049" s="94">
        <f t="shared" si="131"/>
        <v>0</v>
      </c>
      <c r="P1049" s="365"/>
      <c r="Q1049" s="362">
        <f t="shared" si="140"/>
        <v>86617</v>
      </c>
      <c r="R1049" s="38">
        <f t="shared" si="141"/>
        <v>0</v>
      </c>
      <c r="S1049" s="94">
        <f t="shared" si="142"/>
        <v>86617</v>
      </c>
    </row>
    <row r="1050" spans="2:19" x14ac:dyDescent="0.2">
      <c r="B1050" s="83">
        <f t="shared" si="136"/>
        <v>458</v>
      </c>
      <c r="C1050" s="7"/>
      <c r="D1050" s="7"/>
      <c r="E1050" s="7"/>
      <c r="F1050" s="25" t="s">
        <v>169</v>
      </c>
      <c r="G1050" s="7">
        <v>610</v>
      </c>
      <c r="H1050" s="7" t="s">
        <v>142</v>
      </c>
      <c r="I1050" s="23">
        <f>52650+4050-20</f>
        <v>56680</v>
      </c>
      <c r="J1050" s="23"/>
      <c r="K1050" s="86">
        <f t="shared" si="130"/>
        <v>56680</v>
      </c>
      <c r="L1050" s="355"/>
      <c r="M1050" s="344"/>
      <c r="N1050" s="246"/>
      <c r="O1050" s="86">
        <f t="shared" si="131"/>
        <v>0</v>
      </c>
      <c r="P1050" s="355"/>
      <c r="Q1050" s="344">
        <f t="shared" si="140"/>
        <v>56680</v>
      </c>
      <c r="R1050" s="23">
        <f t="shared" si="141"/>
        <v>0</v>
      </c>
      <c r="S1050" s="86">
        <f t="shared" si="142"/>
        <v>56680</v>
      </c>
    </row>
    <row r="1051" spans="2:19" x14ac:dyDescent="0.2">
      <c r="B1051" s="83">
        <f t="shared" si="136"/>
        <v>459</v>
      </c>
      <c r="C1051" s="7"/>
      <c r="D1051" s="7"/>
      <c r="E1051" s="7"/>
      <c r="F1051" s="25" t="s">
        <v>169</v>
      </c>
      <c r="G1051" s="7">
        <v>620</v>
      </c>
      <c r="H1051" s="7" t="s">
        <v>135</v>
      </c>
      <c r="I1051" s="23">
        <f>19005+1412</f>
        <v>20417</v>
      </c>
      <c r="J1051" s="23"/>
      <c r="K1051" s="86">
        <f t="shared" si="130"/>
        <v>20417</v>
      </c>
      <c r="L1051" s="355"/>
      <c r="M1051" s="344"/>
      <c r="N1051" s="246"/>
      <c r="O1051" s="86">
        <f t="shared" si="131"/>
        <v>0</v>
      </c>
      <c r="P1051" s="355"/>
      <c r="Q1051" s="344">
        <f t="shared" si="140"/>
        <v>20417</v>
      </c>
      <c r="R1051" s="23">
        <f t="shared" si="141"/>
        <v>0</v>
      </c>
      <c r="S1051" s="86">
        <f t="shared" si="142"/>
        <v>20417</v>
      </c>
    </row>
    <row r="1052" spans="2:19" x14ac:dyDescent="0.2">
      <c r="B1052" s="83">
        <f t="shared" si="136"/>
        <v>460</v>
      </c>
      <c r="C1052" s="7"/>
      <c r="D1052" s="7"/>
      <c r="E1052" s="7"/>
      <c r="F1052" s="25" t="s">
        <v>169</v>
      </c>
      <c r="G1052" s="7">
        <v>630</v>
      </c>
      <c r="H1052" s="7" t="s">
        <v>132</v>
      </c>
      <c r="I1052" s="23">
        <f>SUM(I1053:I1057)</f>
        <v>9500</v>
      </c>
      <c r="J1052" s="23">
        <f>SUM(J1053:J1057)</f>
        <v>0</v>
      </c>
      <c r="K1052" s="86">
        <f t="shared" si="130"/>
        <v>9500</v>
      </c>
      <c r="L1052" s="355"/>
      <c r="M1052" s="344"/>
      <c r="N1052" s="246"/>
      <c r="O1052" s="86">
        <f t="shared" si="131"/>
        <v>0</v>
      </c>
      <c r="P1052" s="355"/>
      <c r="Q1052" s="344">
        <f t="shared" si="140"/>
        <v>9500</v>
      </c>
      <c r="R1052" s="23">
        <f t="shared" si="141"/>
        <v>0</v>
      </c>
      <c r="S1052" s="86">
        <f t="shared" si="142"/>
        <v>9500</v>
      </c>
    </row>
    <row r="1053" spans="2:19" x14ac:dyDescent="0.2">
      <c r="B1053" s="83">
        <f t="shared" si="136"/>
        <v>461</v>
      </c>
      <c r="C1053" s="3"/>
      <c r="D1053" s="3"/>
      <c r="E1053" s="3"/>
      <c r="F1053" s="26" t="s">
        <v>169</v>
      </c>
      <c r="G1053" s="3">
        <v>632</v>
      </c>
      <c r="H1053" s="3" t="s">
        <v>145</v>
      </c>
      <c r="I1053" s="19">
        <v>2220</v>
      </c>
      <c r="J1053" s="19"/>
      <c r="K1053" s="87">
        <f t="shared" si="130"/>
        <v>2220</v>
      </c>
      <c r="L1053" s="356"/>
      <c r="M1053" s="345"/>
      <c r="N1053" s="208"/>
      <c r="O1053" s="87">
        <f t="shared" si="131"/>
        <v>0</v>
      </c>
      <c r="P1053" s="356"/>
      <c r="Q1053" s="345">
        <f t="shared" si="140"/>
        <v>2220</v>
      </c>
      <c r="R1053" s="19">
        <f t="shared" si="141"/>
        <v>0</v>
      </c>
      <c r="S1053" s="87">
        <f t="shared" si="142"/>
        <v>2220</v>
      </c>
    </row>
    <row r="1054" spans="2:19" x14ac:dyDescent="0.2">
      <c r="B1054" s="83">
        <f t="shared" si="136"/>
        <v>462</v>
      </c>
      <c r="C1054" s="3"/>
      <c r="D1054" s="3"/>
      <c r="E1054" s="3"/>
      <c r="F1054" s="26" t="s">
        <v>169</v>
      </c>
      <c r="G1054" s="3">
        <v>633</v>
      </c>
      <c r="H1054" s="3" t="s">
        <v>136</v>
      </c>
      <c r="I1054" s="19">
        <v>1250</v>
      </c>
      <c r="J1054" s="19">
        <v>1634</v>
      </c>
      <c r="K1054" s="87">
        <f t="shared" ref="K1054:K1118" si="143">J1054+I1054</f>
        <v>2884</v>
      </c>
      <c r="L1054" s="356"/>
      <c r="M1054" s="345"/>
      <c r="N1054" s="208"/>
      <c r="O1054" s="87">
        <f t="shared" ref="O1054:O1118" si="144">N1054+M1054</f>
        <v>0</v>
      </c>
      <c r="P1054" s="356"/>
      <c r="Q1054" s="345">
        <f t="shared" si="140"/>
        <v>1250</v>
      </c>
      <c r="R1054" s="19">
        <f t="shared" si="141"/>
        <v>1634</v>
      </c>
      <c r="S1054" s="87">
        <f t="shared" si="142"/>
        <v>2884</v>
      </c>
    </row>
    <row r="1055" spans="2:19" x14ac:dyDescent="0.2">
      <c r="B1055" s="83">
        <f t="shared" si="136"/>
        <v>463</v>
      </c>
      <c r="C1055" s="3"/>
      <c r="D1055" s="3"/>
      <c r="E1055" s="3"/>
      <c r="F1055" s="26" t="s">
        <v>169</v>
      </c>
      <c r="G1055" s="3">
        <v>634</v>
      </c>
      <c r="H1055" s="3" t="s">
        <v>143</v>
      </c>
      <c r="I1055" s="19">
        <v>0</v>
      </c>
      <c r="J1055" s="19">
        <v>384</v>
      </c>
      <c r="K1055" s="87">
        <f t="shared" si="143"/>
        <v>384</v>
      </c>
      <c r="L1055" s="356"/>
      <c r="M1055" s="345"/>
      <c r="N1055" s="208"/>
      <c r="O1055" s="87"/>
      <c r="P1055" s="356"/>
      <c r="Q1055" s="345">
        <f t="shared" ref="Q1055" si="145">I1055+M1055</f>
        <v>0</v>
      </c>
      <c r="R1055" s="19">
        <f t="shared" ref="R1055" si="146">J1055+N1055</f>
        <v>384</v>
      </c>
      <c r="S1055" s="87">
        <f t="shared" ref="S1055" si="147">K1055+O1055</f>
        <v>384</v>
      </c>
    </row>
    <row r="1056" spans="2:19" x14ac:dyDescent="0.2">
      <c r="B1056" s="83">
        <f t="shared" si="136"/>
        <v>464</v>
      </c>
      <c r="C1056" s="3"/>
      <c r="D1056" s="3"/>
      <c r="E1056" s="3"/>
      <c r="F1056" s="26" t="s">
        <v>169</v>
      </c>
      <c r="G1056" s="3">
        <v>635</v>
      </c>
      <c r="H1056" s="3" t="s">
        <v>144</v>
      </c>
      <c r="I1056" s="19">
        <v>4680</v>
      </c>
      <c r="J1056" s="19">
        <v>-2418</v>
      </c>
      <c r="K1056" s="87">
        <f t="shared" si="143"/>
        <v>2262</v>
      </c>
      <c r="L1056" s="356"/>
      <c r="M1056" s="345"/>
      <c r="N1056" s="208"/>
      <c r="O1056" s="87">
        <f t="shared" si="144"/>
        <v>0</v>
      </c>
      <c r="P1056" s="356"/>
      <c r="Q1056" s="345">
        <f t="shared" si="140"/>
        <v>4680</v>
      </c>
      <c r="R1056" s="19">
        <f t="shared" si="141"/>
        <v>-2418</v>
      </c>
      <c r="S1056" s="87">
        <f t="shared" si="142"/>
        <v>2262</v>
      </c>
    </row>
    <row r="1057" spans="2:19" x14ac:dyDescent="0.2">
      <c r="B1057" s="83">
        <f t="shared" si="136"/>
        <v>465</v>
      </c>
      <c r="C1057" s="3"/>
      <c r="D1057" s="3"/>
      <c r="E1057" s="3"/>
      <c r="F1057" s="26" t="s">
        <v>169</v>
      </c>
      <c r="G1057" s="3">
        <v>637</v>
      </c>
      <c r="H1057" s="3" t="s">
        <v>133</v>
      </c>
      <c r="I1057" s="19">
        <v>1350</v>
      </c>
      <c r="J1057" s="19">
        <v>400</v>
      </c>
      <c r="K1057" s="87">
        <f t="shared" si="143"/>
        <v>1750</v>
      </c>
      <c r="L1057" s="356"/>
      <c r="M1057" s="345"/>
      <c r="N1057" s="208"/>
      <c r="O1057" s="87">
        <f t="shared" si="144"/>
        <v>0</v>
      </c>
      <c r="P1057" s="356"/>
      <c r="Q1057" s="345">
        <f t="shared" si="140"/>
        <v>1350</v>
      </c>
      <c r="R1057" s="19">
        <f t="shared" si="141"/>
        <v>400</v>
      </c>
      <c r="S1057" s="87">
        <f t="shared" si="142"/>
        <v>1750</v>
      </c>
    </row>
    <row r="1058" spans="2:19" x14ac:dyDescent="0.2">
      <c r="B1058" s="83">
        <f t="shared" si="136"/>
        <v>466</v>
      </c>
      <c r="C1058" s="3"/>
      <c r="D1058" s="3"/>
      <c r="E1058" s="3"/>
      <c r="F1058" s="25" t="s">
        <v>169</v>
      </c>
      <c r="G1058" s="7">
        <v>640</v>
      </c>
      <c r="H1058" s="7" t="s">
        <v>140</v>
      </c>
      <c r="I1058" s="23">
        <v>20</v>
      </c>
      <c r="J1058" s="23"/>
      <c r="K1058" s="86">
        <f t="shared" si="143"/>
        <v>20</v>
      </c>
      <c r="L1058" s="355"/>
      <c r="M1058" s="344"/>
      <c r="N1058" s="246"/>
      <c r="O1058" s="86">
        <f t="shared" si="144"/>
        <v>0</v>
      </c>
      <c r="P1058" s="355"/>
      <c r="Q1058" s="344">
        <f t="shared" si="140"/>
        <v>20</v>
      </c>
      <c r="R1058" s="23">
        <f t="shared" si="141"/>
        <v>0</v>
      </c>
      <c r="S1058" s="86">
        <f t="shared" si="142"/>
        <v>20</v>
      </c>
    </row>
    <row r="1059" spans="2:19" ht="15" x14ac:dyDescent="0.25">
      <c r="B1059" s="83">
        <f t="shared" si="136"/>
        <v>467</v>
      </c>
      <c r="C1059" s="10"/>
      <c r="D1059" s="10"/>
      <c r="E1059" s="10">
        <v>10</v>
      </c>
      <c r="F1059" s="28"/>
      <c r="G1059" s="10"/>
      <c r="H1059" s="10" t="s">
        <v>2</v>
      </c>
      <c r="I1059" s="38">
        <f>I1060+I1061+I1062+I1066</f>
        <v>85140</v>
      </c>
      <c r="J1059" s="38">
        <f>J1060+J1061+J1062+J1066</f>
        <v>1500</v>
      </c>
      <c r="K1059" s="94">
        <f t="shared" si="143"/>
        <v>86640</v>
      </c>
      <c r="L1059" s="365"/>
      <c r="M1059" s="362">
        <v>0</v>
      </c>
      <c r="N1059" s="253"/>
      <c r="O1059" s="94">
        <f t="shared" si="144"/>
        <v>0</v>
      </c>
      <c r="P1059" s="365"/>
      <c r="Q1059" s="362">
        <f t="shared" si="140"/>
        <v>85140</v>
      </c>
      <c r="R1059" s="38">
        <f t="shared" si="141"/>
        <v>1500</v>
      </c>
      <c r="S1059" s="94">
        <f t="shared" si="142"/>
        <v>86640</v>
      </c>
    </row>
    <row r="1060" spans="2:19" x14ac:dyDescent="0.2">
      <c r="B1060" s="83">
        <f t="shared" si="136"/>
        <v>468</v>
      </c>
      <c r="C1060" s="7"/>
      <c r="D1060" s="7"/>
      <c r="E1060" s="7"/>
      <c r="F1060" s="25" t="s">
        <v>169</v>
      </c>
      <c r="G1060" s="7">
        <v>610</v>
      </c>
      <c r="H1060" s="7" t="s">
        <v>142</v>
      </c>
      <c r="I1060" s="23">
        <f>52100+3630</f>
        <v>55730</v>
      </c>
      <c r="J1060" s="23">
        <v>370</v>
      </c>
      <c r="K1060" s="86">
        <f t="shared" si="143"/>
        <v>56100</v>
      </c>
      <c r="L1060" s="355"/>
      <c r="M1060" s="344"/>
      <c r="N1060" s="246"/>
      <c r="O1060" s="86">
        <f t="shared" si="144"/>
        <v>0</v>
      </c>
      <c r="P1060" s="355"/>
      <c r="Q1060" s="344">
        <f t="shared" si="140"/>
        <v>55730</v>
      </c>
      <c r="R1060" s="23">
        <f t="shared" si="141"/>
        <v>370</v>
      </c>
      <c r="S1060" s="86">
        <f t="shared" si="142"/>
        <v>56100</v>
      </c>
    </row>
    <row r="1061" spans="2:19" x14ac:dyDescent="0.2">
      <c r="B1061" s="83">
        <f t="shared" ref="B1061:B1119" si="148">B1060+1</f>
        <v>469</v>
      </c>
      <c r="C1061" s="7"/>
      <c r="D1061" s="7"/>
      <c r="E1061" s="7"/>
      <c r="F1061" s="25" t="s">
        <v>169</v>
      </c>
      <c r="G1061" s="7">
        <v>620</v>
      </c>
      <c r="H1061" s="7" t="s">
        <v>135</v>
      </c>
      <c r="I1061" s="23">
        <f>18210+1270</f>
        <v>19480</v>
      </c>
      <c r="J1061" s="23">
        <v>130</v>
      </c>
      <c r="K1061" s="86">
        <f t="shared" si="143"/>
        <v>19610</v>
      </c>
      <c r="L1061" s="355"/>
      <c r="M1061" s="344"/>
      <c r="N1061" s="246"/>
      <c r="O1061" s="86">
        <f t="shared" si="144"/>
        <v>0</v>
      </c>
      <c r="P1061" s="355"/>
      <c r="Q1061" s="344">
        <f t="shared" si="140"/>
        <v>19480</v>
      </c>
      <c r="R1061" s="23">
        <f t="shared" si="141"/>
        <v>130</v>
      </c>
      <c r="S1061" s="86">
        <f t="shared" si="142"/>
        <v>19610</v>
      </c>
    </row>
    <row r="1062" spans="2:19" x14ac:dyDescent="0.2">
      <c r="B1062" s="83">
        <f t="shared" si="148"/>
        <v>470</v>
      </c>
      <c r="C1062" s="7"/>
      <c r="D1062" s="7"/>
      <c r="E1062" s="7"/>
      <c r="F1062" s="25" t="s">
        <v>169</v>
      </c>
      <c r="G1062" s="7">
        <v>630</v>
      </c>
      <c r="H1062" s="7" t="s">
        <v>132</v>
      </c>
      <c r="I1062" s="23">
        <f>SUM(I1063:I1065)</f>
        <v>9430</v>
      </c>
      <c r="J1062" s="23">
        <f>SUM(J1063:J1065)</f>
        <v>1500</v>
      </c>
      <c r="K1062" s="86">
        <f t="shared" si="143"/>
        <v>10930</v>
      </c>
      <c r="L1062" s="355"/>
      <c r="M1062" s="344"/>
      <c r="N1062" s="246"/>
      <c r="O1062" s="86">
        <f t="shared" si="144"/>
        <v>0</v>
      </c>
      <c r="P1062" s="355"/>
      <c r="Q1062" s="344">
        <f t="shared" si="140"/>
        <v>9430</v>
      </c>
      <c r="R1062" s="23">
        <f t="shared" si="141"/>
        <v>1500</v>
      </c>
      <c r="S1062" s="86">
        <f t="shared" si="142"/>
        <v>10930</v>
      </c>
    </row>
    <row r="1063" spans="2:19" x14ac:dyDescent="0.2">
      <c r="B1063" s="83">
        <f t="shared" si="148"/>
        <v>471</v>
      </c>
      <c r="C1063" s="3"/>
      <c r="D1063" s="3"/>
      <c r="E1063" s="3"/>
      <c r="F1063" s="26" t="s">
        <v>169</v>
      </c>
      <c r="G1063" s="3">
        <v>632</v>
      </c>
      <c r="H1063" s="3" t="s">
        <v>145</v>
      </c>
      <c r="I1063" s="19">
        <v>2700</v>
      </c>
      <c r="J1063" s="19">
        <v>550</v>
      </c>
      <c r="K1063" s="87">
        <f t="shared" si="143"/>
        <v>3250</v>
      </c>
      <c r="L1063" s="356"/>
      <c r="M1063" s="345"/>
      <c r="N1063" s="208"/>
      <c r="O1063" s="87">
        <f t="shared" si="144"/>
        <v>0</v>
      </c>
      <c r="P1063" s="356"/>
      <c r="Q1063" s="345">
        <f t="shared" si="140"/>
        <v>2700</v>
      </c>
      <c r="R1063" s="19">
        <f t="shared" si="141"/>
        <v>550</v>
      </c>
      <c r="S1063" s="87">
        <f t="shared" si="142"/>
        <v>3250</v>
      </c>
    </row>
    <row r="1064" spans="2:19" x14ac:dyDescent="0.2">
      <c r="B1064" s="83">
        <f t="shared" si="148"/>
        <v>472</v>
      </c>
      <c r="C1064" s="3"/>
      <c r="D1064" s="3"/>
      <c r="E1064" s="3"/>
      <c r="F1064" s="26" t="s">
        <v>169</v>
      </c>
      <c r="G1064" s="3">
        <v>633</v>
      </c>
      <c r="H1064" s="3" t="s">
        <v>136</v>
      </c>
      <c r="I1064" s="19">
        <v>4030</v>
      </c>
      <c r="J1064" s="19">
        <v>550</v>
      </c>
      <c r="K1064" s="87">
        <f t="shared" si="143"/>
        <v>4580</v>
      </c>
      <c r="L1064" s="356"/>
      <c r="M1064" s="345"/>
      <c r="N1064" s="208"/>
      <c r="O1064" s="87">
        <f t="shared" si="144"/>
        <v>0</v>
      </c>
      <c r="P1064" s="356"/>
      <c r="Q1064" s="345">
        <f t="shared" si="140"/>
        <v>4030</v>
      </c>
      <c r="R1064" s="19">
        <f t="shared" si="141"/>
        <v>550</v>
      </c>
      <c r="S1064" s="87">
        <f t="shared" si="142"/>
        <v>4580</v>
      </c>
    </row>
    <row r="1065" spans="2:19" x14ac:dyDescent="0.2">
      <c r="B1065" s="83">
        <f t="shared" si="148"/>
        <v>473</v>
      </c>
      <c r="C1065" s="3"/>
      <c r="D1065" s="3"/>
      <c r="E1065" s="3"/>
      <c r="F1065" s="26" t="s">
        <v>169</v>
      </c>
      <c r="G1065" s="3">
        <v>637</v>
      </c>
      <c r="H1065" s="3" t="s">
        <v>133</v>
      </c>
      <c r="I1065" s="19">
        <v>2700</v>
      </c>
      <c r="J1065" s="19">
        <v>400</v>
      </c>
      <c r="K1065" s="87">
        <f t="shared" si="143"/>
        <v>3100</v>
      </c>
      <c r="L1065" s="356"/>
      <c r="M1065" s="345"/>
      <c r="N1065" s="208"/>
      <c r="O1065" s="87">
        <f t="shared" si="144"/>
        <v>0</v>
      </c>
      <c r="P1065" s="356"/>
      <c r="Q1065" s="345">
        <f t="shared" si="140"/>
        <v>2700</v>
      </c>
      <c r="R1065" s="19">
        <f t="shared" si="141"/>
        <v>400</v>
      </c>
      <c r="S1065" s="87">
        <f t="shared" si="142"/>
        <v>3100</v>
      </c>
    </row>
    <row r="1066" spans="2:19" x14ac:dyDescent="0.2">
      <c r="B1066" s="83">
        <f t="shared" si="148"/>
        <v>474</v>
      </c>
      <c r="C1066" s="7"/>
      <c r="D1066" s="7"/>
      <c r="E1066" s="7"/>
      <c r="F1066" s="25" t="s">
        <v>169</v>
      </c>
      <c r="G1066" s="7">
        <v>640</v>
      </c>
      <c r="H1066" s="7" t="s">
        <v>140</v>
      </c>
      <c r="I1066" s="23">
        <v>500</v>
      </c>
      <c r="J1066" s="23">
        <v>-500</v>
      </c>
      <c r="K1066" s="86">
        <f t="shared" si="143"/>
        <v>0</v>
      </c>
      <c r="L1066" s="355"/>
      <c r="M1066" s="344"/>
      <c r="N1066" s="246"/>
      <c r="O1066" s="86">
        <f t="shared" si="144"/>
        <v>0</v>
      </c>
      <c r="P1066" s="355"/>
      <c r="Q1066" s="344">
        <f t="shared" si="140"/>
        <v>500</v>
      </c>
      <c r="R1066" s="23">
        <f t="shared" si="141"/>
        <v>-500</v>
      </c>
      <c r="S1066" s="86">
        <f t="shared" si="142"/>
        <v>0</v>
      </c>
    </row>
    <row r="1067" spans="2:19" ht="15" x14ac:dyDescent="0.25">
      <c r="B1067" s="83">
        <f t="shared" si="148"/>
        <v>475</v>
      </c>
      <c r="C1067" s="10"/>
      <c r="D1067" s="10"/>
      <c r="E1067" s="10">
        <v>11</v>
      </c>
      <c r="F1067" s="28"/>
      <c r="G1067" s="10"/>
      <c r="H1067" s="10" t="s">
        <v>11</v>
      </c>
      <c r="I1067" s="38">
        <f>I1068+I1069+I1070+I1074</f>
        <v>148269</v>
      </c>
      <c r="J1067" s="38">
        <f>J1068+J1069+J1070+J1074</f>
        <v>-1500</v>
      </c>
      <c r="K1067" s="94">
        <f t="shared" si="143"/>
        <v>146769</v>
      </c>
      <c r="L1067" s="365"/>
      <c r="M1067" s="362">
        <v>0</v>
      </c>
      <c r="N1067" s="253"/>
      <c r="O1067" s="94">
        <f t="shared" si="144"/>
        <v>0</v>
      </c>
      <c r="P1067" s="365"/>
      <c r="Q1067" s="362">
        <f t="shared" si="140"/>
        <v>148269</v>
      </c>
      <c r="R1067" s="38">
        <f t="shared" si="141"/>
        <v>-1500</v>
      </c>
      <c r="S1067" s="94">
        <f t="shared" si="142"/>
        <v>146769</v>
      </c>
    </row>
    <row r="1068" spans="2:19" x14ac:dyDescent="0.2">
      <c r="B1068" s="83">
        <f t="shared" si="148"/>
        <v>476</v>
      </c>
      <c r="C1068" s="7"/>
      <c r="D1068" s="7"/>
      <c r="E1068" s="7"/>
      <c r="F1068" s="25" t="s">
        <v>169</v>
      </c>
      <c r="G1068" s="7">
        <v>610</v>
      </c>
      <c r="H1068" s="7" t="s">
        <v>142</v>
      </c>
      <c r="I1068" s="23">
        <f>83900+11766+4900</f>
        <v>100566</v>
      </c>
      <c r="J1068" s="23">
        <v>740</v>
      </c>
      <c r="K1068" s="86">
        <f t="shared" si="143"/>
        <v>101306</v>
      </c>
      <c r="L1068" s="355"/>
      <c r="M1068" s="344"/>
      <c r="N1068" s="246"/>
      <c r="O1068" s="86">
        <f t="shared" si="144"/>
        <v>0</v>
      </c>
      <c r="P1068" s="355"/>
      <c r="Q1068" s="344">
        <f t="shared" si="140"/>
        <v>100566</v>
      </c>
      <c r="R1068" s="23">
        <f t="shared" si="141"/>
        <v>740</v>
      </c>
      <c r="S1068" s="86">
        <f t="shared" si="142"/>
        <v>101306</v>
      </c>
    </row>
    <row r="1069" spans="2:19" x14ac:dyDescent="0.2">
      <c r="B1069" s="83">
        <f t="shared" si="148"/>
        <v>477</v>
      </c>
      <c r="C1069" s="7"/>
      <c r="D1069" s="7"/>
      <c r="E1069" s="7"/>
      <c r="F1069" s="25" t="s">
        <v>169</v>
      </c>
      <c r="G1069" s="7">
        <v>620</v>
      </c>
      <c r="H1069" s="7" t="s">
        <v>135</v>
      </c>
      <c r="I1069" s="23">
        <f>29360+4118+1725</f>
        <v>35203</v>
      </c>
      <c r="J1069" s="23">
        <v>260</v>
      </c>
      <c r="K1069" s="86">
        <f t="shared" si="143"/>
        <v>35463</v>
      </c>
      <c r="L1069" s="355"/>
      <c r="M1069" s="344"/>
      <c r="N1069" s="246"/>
      <c r="O1069" s="86">
        <f t="shared" si="144"/>
        <v>0</v>
      </c>
      <c r="P1069" s="355"/>
      <c r="Q1069" s="344">
        <f t="shared" si="140"/>
        <v>35203</v>
      </c>
      <c r="R1069" s="23">
        <f t="shared" si="141"/>
        <v>260</v>
      </c>
      <c r="S1069" s="86">
        <f t="shared" si="142"/>
        <v>35463</v>
      </c>
    </row>
    <row r="1070" spans="2:19" x14ac:dyDescent="0.2">
      <c r="B1070" s="83">
        <f t="shared" si="148"/>
        <v>478</v>
      </c>
      <c r="C1070" s="7"/>
      <c r="D1070" s="7"/>
      <c r="E1070" s="7"/>
      <c r="F1070" s="25" t="s">
        <v>169</v>
      </c>
      <c r="G1070" s="7">
        <v>630</v>
      </c>
      <c r="H1070" s="7" t="s">
        <v>132</v>
      </c>
      <c r="I1070" s="23">
        <f>SUM(I1071:I1073)</f>
        <v>11500</v>
      </c>
      <c r="J1070" s="23">
        <f>SUM(J1071:J1073)</f>
        <v>-2291</v>
      </c>
      <c r="K1070" s="86">
        <f t="shared" si="143"/>
        <v>9209</v>
      </c>
      <c r="L1070" s="355"/>
      <c r="M1070" s="344"/>
      <c r="N1070" s="246"/>
      <c r="O1070" s="86">
        <f t="shared" si="144"/>
        <v>0</v>
      </c>
      <c r="P1070" s="355"/>
      <c r="Q1070" s="344">
        <f t="shared" si="140"/>
        <v>11500</v>
      </c>
      <c r="R1070" s="23">
        <f t="shared" si="141"/>
        <v>-2291</v>
      </c>
      <c r="S1070" s="86">
        <f t="shared" si="142"/>
        <v>9209</v>
      </c>
    </row>
    <row r="1071" spans="2:19" x14ac:dyDescent="0.2">
      <c r="B1071" s="83">
        <f t="shared" si="148"/>
        <v>479</v>
      </c>
      <c r="C1071" s="3"/>
      <c r="D1071" s="3"/>
      <c r="E1071" s="3"/>
      <c r="F1071" s="26" t="s">
        <v>169</v>
      </c>
      <c r="G1071" s="3">
        <v>632</v>
      </c>
      <c r="H1071" s="3" t="s">
        <v>145</v>
      </c>
      <c r="I1071" s="19">
        <v>2300</v>
      </c>
      <c r="J1071" s="19"/>
      <c r="K1071" s="87">
        <f t="shared" si="143"/>
        <v>2300</v>
      </c>
      <c r="L1071" s="356"/>
      <c r="M1071" s="345"/>
      <c r="N1071" s="208"/>
      <c r="O1071" s="87">
        <f t="shared" si="144"/>
        <v>0</v>
      </c>
      <c r="P1071" s="356"/>
      <c r="Q1071" s="345">
        <f t="shared" si="140"/>
        <v>2300</v>
      </c>
      <c r="R1071" s="19">
        <f t="shared" si="141"/>
        <v>0</v>
      </c>
      <c r="S1071" s="87">
        <f t="shared" si="142"/>
        <v>2300</v>
      </c>
    </row>
    <row r="1072" spans="2:19" x14ac:dyDescent="0.2">
      <c r="B1072" s="83">
        <f t="shared" si="148"/>
        <v>480</v>
      </c>
      <c r="C1072" s="3"/>
      <c r="D1072" s="3"/>
      <c r="E1072" s="3"/>
      <c r="F1072" s="26" t="s">
        <v>169</v>
      </c>
      <c r="G1072" s="3">
        <v>633</v>
      </c>
      <c r="H1072" s="3" t="s">
        <v>136</v>
      </c>
      <c r="I1072" s="19">
        <f>6300-500</f>
        <v>5800</v>
      </c>
      <c r="J1072" s="19">
        <v>-2746</v>
      </c>
      <c r="K1072" s="87">
        <f t="shared" si="143"/>
        <v>3054</v>
      </c>
      <c r="L1072" s="356"/>
      <c r="M1072" s="345"/>
      <c r="N1072" s="208"/>
      <c r="O1072" s="87">
        <f t="shared" si="144"/>
        <v>0</v>
      </c>
      <c r="P1072" s="356"/>
      <c r="Q1072" s="345">
        <f t="shared" si="140"/>
        <v>5800</v>
      </c>
      <c r="R1072" s="19">
        <f t="shared" si="141"/>
        <v>-2746</v>
      </c>
      <c r="S1072" s="87">
        <f t="shared" si="142"/>
        <v>3054</v>
      </c>
    </row>
    <row r="1073" spans="2:19" x14ac:dyDescent="0.2">
      <c r="B1073" s="83">
        <f t="shared" si="148"/>
        <v>481</v>
      </c>
      <c r="C1073" s="3"/>
      <c r="D1073" s="3"/>
      <c r="E1073" s="3"/>
      <c r="F1073" s="26" t="s">
        <v>169</v>
      </c>
      <c r="G1073" s="3">
        <v>637</v>
      </c>
      <c r="H1073" s="3" t="s">
        <v>133</v>
      </c>
      <c r="I1073" s="19">
        <v>3400</v>
      </c>
      <c r="J1073" s="19">
        <v>455</v>
      </c>
      <c r="K1073" s="87">
        <f t="shared" si="143"/>
        <v>3855</v>
      </c>
      <c r="L1073" s="356"/>
      <c r="M1073" s="345"/>
      <c r="N1073" s="208"/>
      <c r="O1073" s="87">
        <f t="shared" si="144"/>
        <v>0</v>
      </c>
      <c r="P1073" s="356"/>
      <c r="Q1073" s="345">
        <f t="shared" si="140"/>
        <v>3400</v>
      </c>
      <c r="R1073" s="19">
        <f t="shared" si="141"/>
        <v>455</v>
      </c>
      <c r="S1073" s="87">
        <f t="shared" si="142"/>
        <v>3855</v>
      </c>
    </row>
    <row r="1074" spans="2:19" x14ac:dyDescent="0.2">
      <c r="B1074" s="83">
        <f t="shared" si="148"/>
        <v>482</v>
      </c>
      <c r="C1074" s="7"/>
      <c r="D1074" s="7"/>
      <c r="E1074" s="7"/>
      <c r="F1074" s="25" t="s">
        <v>169</v>
      </c>
      <c r="G1074" s="7">
        <v>640</v>
      </c>
      <c r="H1074" s="7" t="s">
        <v>140</v>
      </c>
      <c r="I1074" s="23">
        <v>1000</v>
      </c>
      <c r="J1074" s="23">
        <v>-209</v>
      </c>
      <c r="K1074" s="86">
        <f t="shared" si="143"/>
        <v>791</v>
      </c>
      <c r="L1074" s="355"/>
      <c r="M1074" s="344"/>
      <c r="N1074" s="246"/>
      <c r="O1074" s="86">
        <f t="shared" si="144"/>
        <v>0</v>
      </c>
      <c r="P1074" s="355"/>
      <c r="Q1074" s="344">
        <f t="shared" si="140"/>
        <v>1000</v>
      </c>
      <c r="R1074" s="23">
        <f t="shared" si="141"/>
        <v>-209</v>
      </c>
      <c r="S1074" s="86">
        <f t="shared" si="142"/>
        <v>791</v>
      </c>
    </row>
    <row r="1075" spans="2:19" ht="15" x14ac:dyDescent="0.25">
      <c r="B1075" s="83">
        <f t="shared" si="148"/>
        <v>483</v>
      </c>
      <c r="C1075" s="10"/>
      <c r="D1075" s="10"/>
      <c r="E1075" s="10">
        <v>12</v>
      </c>
      <c r="F1075" s="28"/>
      <c r="G1075" s="10"/>
      <c r="H1075" s="10" t="s">
        <v>9</v>
      </c>
      <c r="I1075" s="38">
        <f>I1076+I1077+I1078+I1082</f>
        <v>138250</v>
      </c>
      <c r="J1075" s="38">
        <f>J1076+J1077+J1078+J1082</f>
        <v>-1800</v>
      </c>
      <c r="K1075" s="94">
        <f t="shared" si="143"/>
        <v>136450</v>
      </c>
      <c r="L1075" s="365"/>
      <c r="M1075" s="362">
        <v>0</v>
      </c>
      <c r="N1075" s="253"/>
      <c r="O1075" s="94">
        <f t="shared" si="144"/>
        <v>0</v>
      </c>
      <c r="P1075" s="365"/>
      <c r="Q1075" s="362">
        <f t="shared" si="140"/>
        <v>138250</v>
      </c>
      <c r="R1075" s="38">
        <f t="shared" si="141"/>
        <v>-1800</v>
      </c>
      <c r="S1075" s="94">
        <f t="shared" si="142"/>
        <v>136450</v>
      </c>
    </row>
    <row r="1076" spans="2:19" x14ac:dyDescent="0.2">
      <c r="B1076" s="83">
        <f t="shared" si="148"/>
        <v>484</v>
      </c>
      <c r="C1076" s="7"/>
      <c r="D1076" s="7"/>
      <c r="E1076" s="7"/>
      <c r="F1076" s="25" t="s">
        <v>169</v>
      </c>
      <c r="G1076" s="7">
        <v>610</v>
      </c>
      <c r="H1076" s="7" t="s">
        <v>142</v>
      </c>
      <c r="I1076" s="23">
        <v>92700</v>
      </c>
      <c r="J1076" s="23"/>
      <c r="K1076" s="86">
        <f t="shared" si="143"/>
        <v>92700</v>
      </c>
      <c r="L1076" s="355"/>
      <c r="M1076" s="344"/>
      <c r="N1076" s="246"/>
      <c r="O1076" s="86">
        <f t="shared" si="144"/>
        <v>0</v>
      </c>
      <c r="P1076" s="355"/>
      <c r="Q1076" s="344">
        <f t="shared" si="140"/>
        <v>92700</v>
      </c>
      <c r="R1076" s="23">
        <f t="shared" si="141"/>
        <v>0</v>
      </c>
      <c r="S1076" s="86">
        <f t="shared" si="142"/>
        <v>92700</v>
      </c>
    </row>
    <row r="1077" spans="2:19" x14ac:dyDescent="0.2">
      <c r="B1077" s="83">
        <f t="shared" si="148"/>
        <v>485</v>
      </c>
      <c r="C1077" s="7"/>
      <c r="D1077" s="7"/>
      <c r="E1077" s="7"/>
      <c r="F1077" s="25" t="s">
        <v>169</v>
      </c>
      <c r="G1077" s="7">
        <v>620</v>
      </c>
      <c r="H1077" s="7" t="s">
        <v>135</v>
      </c>
      <c r="I1077" s="23">
        <v>33450</v>
      </c>
      <c r="J1077" s="23"/>
      <c r="K1077" s="86">
        <f t="shared" si="143"/>
        <v>33450</v>
      </c>
      <c r="L1077" s="355"/>
      <c r="M1077" s="344"/>
      <c r="N1077" s="246"/>
      <c r="O1077" s="86">
        <f t="shared" si="144"/>
        <v>0</v>
      </c>
      <c r="P1077" s="355"/>
      <c r="Q1077" s="344">
        <f t="shared" si="140"/>
        <v>33450</v>
      </c>
      <c r="R1077" s="23">
        <f t="shared" si="141"/>
        <v>0</v>
      </c>
      <c r="S1077" s="86">
        <f t="shared" si="142"/>
        <v>33450</v>
      </c>
    </row>
    <row r="1078" spans="2:19" x14ac:dyDescent="0.2">
      <c r="B1078" s="83">
        <f t="shared" si="148"/>
        <v>486</v>
      </c>
      <c r="C1078" s="7"/>
      <c r="D1078" s="7"/>
      <c r="E1078" s="7"/>
      <c r="F1078" s="25" t="s">
        <v>169</v>
      </c>
      <c r="G1078" s="7">
        <v>630</v>
      </c>
      <c r="H1078" s="7" t="s">
        <v>132</v>
      </c>
      <c r="I1078" s="23">
        <f>SUM(I1079:I1081)</f>
        <v>9300</v>
      </c>
      <c r="J1078" s="23"/>
      <c r="K1078" s="86">
        <f t="shared" si="143"/>
        <v>9300</v>
      </c>
      <c r="L1078" s="355"/>
      <c r="M1078" s="344"/>
      <c r="N1078" s="246"/>
      <c r="O1078" s="86">
        <f t="shared" si="144"/>
        <v>0</v>
      </c>
      <c r="P1078" s="355"/>
      <c r="Q1078" s="344">
        <f t="shared" si="140"/>
        <v>9300</v>
      </c>
      <c r="R1078" s="23">
        <f t="shared" si="141"/>
        <v>0</v>
      </c>
      <c r="S1078" s="86">
        <f t="shared" si="142"/>
        <v>9300</v>
      </c>
    </row>
    <row r="1079" spans="2:19" x14ac:dyDescent="0.2">
      <c r="B1079" s="83">
        <f t="shared" si="148"/>
        <v>487</v>
      </c>
      <c r="C1079" s="3"/>
      <c r="D1079" s="3"/>
      <c r="E1079" s="3"/>
      <c r="F1079" s="26" t="s">
        <v>169</v>
      </c>
      <c r="G1079" s="3">
        <v>632</v>
      </c>
      <c r="H1079" s="3" t="s">
        <v>145</v>
      </c>
      <c r="I1079" s="19">
        <v>400</v>
      </c>
      <c r="J1079" s="19"/>
      <c r="K1079" s="87">
        <f t="shared" si="143"/>
        <v>400</v>
      </c>
      <c r="L1079" s="356"/>
      <c r="M1079" s="345"/>
      <c r="N1079" s="208"/>
      <c r="O1079" s="87">
        <f t="shared" si="144"/>
        <v>0</v>
      </c>
      <c r="P1079" s="356"/>
      <c r="Q1079" s="345">
        <f t="shared" si="140"/>
        <v>400</v>
      </c>
      <c r="R1079" s="19">
        <f t="shared" si="141"/>
        <v>0</v>
      </c>
      <c r="S1079" s="87">
        <f t="shared" si="142"/>
        <v>400</v>
      </c>
    </row>
    <row r="1080" spans="2:19" x14ac:dyDescent="0.2">
      <c r="B1080" s="83">
        <f t="shared" si="148"/>
        <v>488</v>
      </c>
      <c r="C1080" s="3"/>
      <c r="D1080" s="3"/>
      <c r="E1080" s="3"/>
      <c r="F1080" s="26" t="s">
        <v>169</v>
      </c>
      <c r="G1080" s="3">
        <v>633</v>
      </c>
      <c r="H1080" s="3" t="s">
        <v>136</v>
      </c>
      <c r="I1080" s="19">
        <v>8000</v>
      </c>
      <c r="J1080" s="19"/>
      <c r="K1080" s="87">
        <f t="shared" si="143"/>
        <v>8000</v>
      </c>
      <c r="L1080" s="356"/>
      <c r="M1080" s="345"/>
      <c r="N1080" s="208"/>
      <c r="O1080" s="87">
        <f t="shared" si="144"/>
        <v>0</v>
      </c>
      <c r="P1080" s="356"/>
      <c r="Q1080" s="345">
        <f t="shared" si="140"/>
        <v>8000</v>
      </c>
      <c r="R1080" s="19">
        <f t="shared" si="141"/>
        <v>0</v>
      </c>
      <c r="S1080" s="87">
        <f t="shared" si="142"/>
        <v>8000</v>
      </c>
    </row>
    <row r="1081" spans="2:19" x14ac:dyDescent="0.2">
      <c r="B1081" s="83">
        <f t="shared" si="148"/>
        <v>489</v>
      </c>
      <c r="C1081" s="3"/>
      <c r="D1081" s="3"/>
      <c r="E1081" s="3"/>
      <c r="F1081" s="26" t="s">
        <v>169</v>
      </c>
      <c r="G1081" s="3">
        <v>637</v>
      </c>
      <c r="H1081" s="3" t="s">
        <v>133</v>
      </c>
      <c r="I1081" s="19">
        <v>900</v>
      </c>
      <c r="J1081" s="19"/>
      <c r="K1081" s="87">
        <f t="shared" si="143"/>
        <v>900</v>
      </c>
      <c r="L1081" s="356"/>
      <c r="M1081" s="345"/>
      <c r="N1081" s="208"/>
      <c r="O1081" s="87">
        <f t="shared" si="144"/>
        <v>0</v>
      </c>
      <c r="P1081" s="356"/>
      <c r="Q1081" s="345">
        <f t="shared" si="140"/>
        <v>900</v>
      </c>
      <c r="R1081" s="19">
        <f t="shared" si="141"/>
        <v>0</v>
      </c>
      <c r="S1081" s="87">
        <f t="shared" si="142"/>
        <v>900</v>
      </c>
    </row>
    <row r="1082" spans="2:19" x14ac:dyDescent="0.2">
      <c r="B1082" s="83">
        <f t="shared" si="148"/>
        <v>490</v>
      </c>
      <c r="C1082" s="7"/>
      <c r="D1082" s="7"/>
      <c r="E1082" s="7"/>
      <c r="F1082" s="25" t="s">
        <v>169</v>
      </c>
      <c r="G1082" s="7">
        <v>640</v>
      </c>
      <c r="H1082" s="7" t="s">
        <v>140</v>
      </c>
      <c r="I1082" s="23">
        <v>2800</v>
      </c>
      <c r="J1082" s="23">
        <v>-1800</v>
      </c>
      <c r="K1082" s="86">
        <f t="shared" si="143"/>
        <v>1000</v>
      </c>
      <c r="L1082" s="355"/>
      <c r="M1082" s="344"/>
      <c r="N1082" s="246"/>
      <c r="O1082" s="86">
        <f t="shared" si="144"/>
        <v>0</v>
      </c>
      <c r="P1082" s="355"/>
      <c r="Q1082" s="344">
        <f t="shared" si="140"/>
        <v>2800</v>
      </c>
      <c r="R1082" s="23">
        <f t="shared" si="141"/>
        <v>-1800</v>
      </c>
      <c r="S1082" s="86">
        <f t="shared" si="142"/>
        <v>1000</v>
      </c>
    </row>
    <row r="1083" spans="2:19" ht="15" x14ac:dyDescent="0.25">
      <c r="B1083" s="83">
        <f t="shared" si="148"/>
        <v>491</v>
      </c>
      <c r="C1083" s="10"/>
      <c r="D1083" s="10"/>
      <c r="E1083" s="10">
        <v>13</v>
      </c>
      <c r="F1083" s="28"/>
      <c r="G1083" s="10"/>
      <c r="H1083" s="10" t="s">
        <v>19</v>
      </c>
      <c r="I1083" s="38">
        <f>I1084+I1085+I1086+I1090</f>
        <v>44438</v>
      </c>
      <c r="J1083" s="38">
        <f>J1084+J1085+J1086+J1090</f>
        <v>800</v>
      </c>
      <c r="K1083" s="94">
        <f t="shared" si="143"/>
        <v>45238</v>
      </c>
      <c r="L1083" s="365"/>
      <c r="M1083" s="362">
        <v>0</v>
      </c>
      <c r="N1083" s="253"/>
      <c r="O1083" s="94">
        <f t="shared" si="144"/>
        <v>0</v>
      </c>
      <c r="P1083" s="365"/>
      <c r="Q1083" s="362">
        <f t="shared" si="140"/>
        <v>44438</v>
      </c>
      <c r="R1083" s="38">
        <f t="shared" si="141"/>
        <v>800</v>
      </c>
      <c r="S1083" s="94">
        <f t="shared" si="142"/>
        <v>45238</v>
      </c>
    </row>
    <row r="1084" spans="2:19" x14ac:dyDescent="0.2">
      <c r="B1084" s="83">
        <f t="shared" si="148"/>
        <v>492</v>
      </c>
      <c r="C1084" s="7"/>
      <c r="D1084" s="7"/>
      <c r="E1084" s="7"/>
      <c r="F1084" s="25" t="s">
        <v>169</v>
      </c>
      <c r="G1084" s="7">
        <v>610</v>
      </c>
      <c r="H1084" s="7" t="s">
        <v>142</v>
      </c>
      <c r="I1084" s="23">
        <v>28500</v>
      </c>
      <c r="J1084" s="23"/>
      <c r="K1084" s="86">
        <f t="shared" si="143"/>
        <v>28500</v>
      </c>
      <c r="L1084" s="355"/>
      <c r="M1084" s="344"/>
      <c r="N1084" s="246"/>
      <c r="O1084" s="86">
        <f t="shared" si="144"/>
        <v>0</v>
      </c>
      <c r="P1084" s="355"/>
      <c r="Q1084" s="344">
        <f t="shared" si="140"/>
        <v>28500</v>
      </c>
      <c r="R1084" s="23">
        <f t="shared" si="141"/>
        <v>0</v>
      </c>
      <c r="S1084" s="86">
        <f t="shared" si="142"/>
        <v>28500</v>
      </c>
    </row>
    <row r="1085" spans="2:19" x14ac:dyDescent="0.2">
      <c r="B1085" s="83">
        <f t="shared" si="148"/>
        <v>493</v>
      </c>
      <c r="C1085" s="7"/>
      <c r="D1085" s="7"/>
      <c r="E1085" s="7"/>
      <c r="F1085" s="25" t="s">
        <v>169</v>
      </c>
      <c r="G1085" s="7">
        <v>620</v>
      </c>
      <c r="H1085" s="7" t="s">
        <v>135</v>
      </c>
      <c r="I1085" s="23">
        <v>9960</v>
      </c>
      <c r="J1085" s="23"/>
      <c r="K1085" s="86">
        <f t="shared" si="143"/>
        <v>9960</v>
      </c>
      <c r="L1085" s="355"/>
      <c r="M1085" s="344"/>
      <c r="N1085" s="246"/>
      <c r="O1085" s="86">
        <f t="shared" si="144"/>
        <v>0</v>
      </c>
      <c r="P1085" s="355"/>
      <c r="Q1085" s="344">
        <f t="shared" si="140"/>
        <v>9960</v>
      </c>
      <c r="R1085" s="23">
        <f t="shared" si="141"/>
        <v>0</v>
      </c>
      <c r="S1085" s="86">
        <f t="shared" si="142"/>
        <v>9960</v>
      </c>
    </row>
    <row r="1086" spans="2:19" x14ac:dyDescent="0.2">
      <c r="B1086" s="83">
        <f t="shared" si="148"/>
        <v>494</v>
      </c>
      <c r="C1086" s="7"/>
      <c r="D1086" s="7"/>
      <c r="E1086" s="7"/>
      <c r="F1086" s="25" t="s">
        <v>169</v>
      </c>
      <c r="G1086" s="7">
        <v>630</v>
      </c>
      <c r="H1086" s="7" t="s">
        <v>132</v>
      </c>
      <c r="I1086" s="23">
        <f>SUM(I1087:I1089)</f>
        <v>5958</v>
      </c>
      <c r="J1086" s="23">
        <f>SUM(J1087:J1089)</f>
        <v>820</v>
      </c>
      <c r="K1086" s="86">
        <f t="shared" si="143"/>
        <v>6778</v>
      </c>
      <c r="L1086" s="355"/>
      <c r="M1086" s="344"/>
      <c r="N1086" s="246"/>
      <c r="O1086" s="86">
        <f t="shared" si="144"/>
        <v>0</v>
      </c>
      <c r="P1086" s="355"/>
      <c r="Q1086" s="344">
        <f t="shared" si="140"/>
        <v>5958</v>
      </c>
      <c r="R1086" s="23">
        <f t="shared" si="141"/>
        <v>820</v>
      </c>
      <c r="S1086" s="86">
        <f t="shared" si="142"/>
        <v>6778</v>
      </c>
    </row>
    <row r="1087" spans="2:19" x14ac:dyDescent="0.2">
      <c r="B1087" s="83">
        <f t="shared" si="148"/>
        <v>495</v>
      </c>
      <c r="C1087" s="3"/>
      <c r="D1087" s="3"/>
      <c r="E1087" s="3"/>
      <c r="F1087" s="26" t="s">
        <v>169</v>
      </c>
      <c r="G1087" s="3">
        <v>632</v>
      </c>
      <c r="H1087" s="3" t="s">
        <v>145</v>
      </c>
      <c r="I1087" s="19">
        <v>5000</v>
      </c>
      <c r="J1087" s="19">
        <v>820</v>
      </c>
      <c r="K1087" s="87">
        <f t="shared" si="143"/>
        <v>5820</v>
      </c>
      <c r="L1087" s="356"/>
      <c r="M1087" s="345"/>
      <c r="N1087" s="208"/>
      <c r="O1087" s="87">
        <f t="shared" si="144"/>
        <v>0</v>
      </c>
      <c r="P1087" s="356"/>
      <c r="Q1087" s="345">
        <f t="shared" si="140"/>
        <v>5000</v>
      </c>
      <c r="R1087" s="19">
        <f t="shared" si="141"/>
        <v>820</v>
      </c>
      <c r="S1087" s="87">
        <f t="shared" si="142"/>
        <v>5820</v>
      </c>
    </row>
    <row r="1088" spans="2:19" x14ac:dyDescent="0.2">
      <c r="B1088" s="83">
        <f t="shared" si="148"/>
        <v>496</v>
      </c>
      <c r="C1088" s="3"/>
      <c r="D1088" s="3"/>
      <c r="E1088" s="3"/>
      <c r="F1088" s="26" t="s">
        <v>169</v>
      </c>
      <c r="G1088" s="3">
        <v>633</v>
      </c>
      <c r="H1088" s="3" t="s">
        <v>136</v>
      </c>
      <c r="I1088" s="19">
        <v>265</v>
      </c>
      <c r="J1088" s="19"/>
      <c r="K1088" s="87">
        <f t="shared" si="143"/>
        <v>265</v>
      </c>
      <c r="L1088" s="356"/>
      <c r="M1088" s="345"/>
      <c r="N1088" s="208"/>
      <c r="O1088" s="87">
        <f t="shared" si="144"/>
        <v>0</v>
      </c>
      <c r="P1088" s="356"/>
      <c r="Q1088" s="345">
        <f t="shared" si="140"/>
        <v>265</v>
      </c>
      <c r="R1088" s="19">
        <f t="shared" si="141"/>
        <v>0</v>
      </c>
      <c r="S1088" s="87">
        <f t="shared" si="142"/>
        <v>265</v>
      </c>
    </row>
    <row r="1089" spans="2:19" x14ac:dyDescent="0.2">
      <c r="B1089" s="83">
        <f t="shared" si="148"/>
        <v>497</v>
      </c>
      <c r="C1089" s="3"/>
      <c r="D1089" s="3"/>
      <c r="E1089" s="3"/>
      <c r="F1089" s="26" t="s">
        <v>169</v>
      </c>
      <c r="G1089" s="3">
        <v>637</v>
      </c>
      <c r="H1089" s="3" t="s">
        <v>133</v>
      </c>
      <c r="I1089" s="19">
        <v>693</v>
      </c>
      <c r="J1089" s="19"/>
      <c r="K1089" s="87">
        <f t="shared" si="143"/>
        <v>693</v>
      </c>
      <c r="L1089" s="356"/>
      <c r="M1089" s="345"/>
      <c r="N1089" s="208"/>
      <c r="O1089" s="87">
        <f t="shared" si="144"/>
        <v>0</v>
      </c>
      <c r="P1089" s="356"/>
      <c r="Q1089" s="345">
        <f t="shared" si="140"/>
        <v>693</v>
      </c>
      <c r="R1089" s="19">
        <f t="shared" si="141"/>
        <v>0</v>
      </c>
      <c r="S1089" s="87">
        <f t="shared" si="142"/>
        <v>693</v>
      </c>
    </row>
    <row r="1090" spans="2:19" x14ac:dyDescent="0.2">
      <c r="B1090" s="83">
        <f t="shared" si="148"/>
        <v>498</v>
      </c>
      <c r="C1090" s="7"/>
      <c r="D1090" s="7"/>
      <c r="E1090" s="7"/>
      <c r="F1090" s="25" t="s">
        <v>169</v>
      </c>
      <c r="G1090" s="7">
        <v>640</v>
      </c>
      <c r="H1090" s="7" t="s">
        <v>140</v>
      </c>
      <c r="I1090" s="23">
        <v>20</v>
      </c>
      <c r="J1090" s="23">
        <v>-20</v>
      </c>
      <c r="K1090" s="86">
        <f t="shared" si="143"/>
        <v>0</v>
      </c>
      <c r="L1090" s="355"/>
      <c r="M1090" s="344"/>
      <c r="N1090" s="246"/>
      <c r="O1090" s="86">
        <f t="shared" si="144"/>
        <v>0</v>
      </c>
      <c r="P1090" s="355"/>
      <c r="Q1090" s="344">
        <f t="shared" si="140"/>
        <v>20</v>
      </c>
      <c r="R1090" s="23">
        <f t="shared" si="141"/>
        <v>-20</v>
      </c>
      <c r="S1090" s="86">
        <f t="shared" si="142"/>
        <v>0</v>
      </c>
    </row>
    <row r="1091" spans="2:19" ht="15" x14ac:dyDescent="0.25">
      <c r="B1091" s="83">
        <f t="shared" si="148"/>
        <v>499</v>
      </c>
      <c r="C1091" s="10"/>
      <c r="D1091" s="10"/>
      <c r="E1091" s="10">
        <v>14</v>
      </c>
      <c r="F1091" s="28"/>
      <c r="G1091" s="10"/>
      <c r="H1091" s="10" t="s">
        <v>411</v>
      </c>
      <c r="I1091" s="38">
        <f>I1092+I1093+I1094+I1101</f>
        <v>1031340</v>
      </c>
      <c r="J1091" s="38">
        <f>J1092+J1093+J1094+J1101</f>
        <v>3973</v>
      </c>
      <c r="K1091" s="94">
        <f t="shared" si="143"/>
        <v>1035313</v>
      </c>
      <c r="L1091" s="365"/>
      <c r="M1091" s="362">
        <v>0</v>
      </c>
      <c r="N1091" s="253"/>
      <c r="O1091" s="94">
        <f t="shared" si="144"/>
        <v>0</v>
      </c>
      <c r="P1091" s="365"/>
      <c r="Q1091" s="362">
        <f t="shared" si="140"/>
        <v>1031340</v>
      </c>
      <c r="R1091" s="38">
        <f t="shared" si="141"/>
        <v>3973</v>
      </c>
      <c r="S1091" s="94">
        <f t="shared" si="142"/>
        <v>1035313</v>
      </c>
    </row>
    <row r="1092" spans="2:19" x14ac:dyDescent="0.2">
      <c r="B1092" s="83">
        <f t="shared" si="148"/>
        <v>500</v>
      </c>
      <c r="C1092" s="7"/>
      <c r="D1092" s="7"/>
      <c r="E1092" s="7"/>
      <c r="F1092" s="25" t="s">
        <v>169</v>
      </c>
      <c r="G1092" s="7">
        <v>610</v>
      </c>
      <c r="H1092" s="7" t="s">
        <v>142</v>
      </c>
      <c r="I1092" s="23">
        <f>627156+47000+50</f>
        <v>674206</v>
      </c>
      <c r="J1092" s="23">
        <v>6973</v>
      </c>
      <c r="K1092" s="86">
        <f t="shared" si="143"/>
        <v>681179</v>
      </c>
      <c r="L1092" s="355"/>
      <c r="M1092" s="344"/>
      <c r="N1092" s="246"/>
      <c r="O1092" s="86">
        <f t="shared" si="144"/>
        <v>0</v>
      </c>
      <c r="P1092" s="355"/>
      <c r="Q1092" s="344">
        <f t="shared" si="140"/>
        <v>674206</v>
      </c>
      <c r="R1092" s="23">
        <f t="shared" si="141"/>
        <v>6973</v>
      </c>
      <c r="S1092" s="86">
        <f t="shared" si="142"/>
        <v>681179</v>
      </c>
    </row>
    <row r="1093" spans="2:19" x14ac:dyDescent="0.2">
      <c r="B1093" s="83">
        <f t="shared" si="148"/>
        <v>501</v>
      </c>
      <c r="C1093" s="7"/>
      <c r="D1093" s="7"/>
      <c r="E1093" s="7"/>
      <c r="F1093" s="25" t="s">
        <v>169</v>
      </c>
      <c r="G1093" s="7">
        <v>620</v>
      </c>
      <c r="H1093" s="7" t="s">
        <v>135</v>
      </c>
      <c r="I1093" s="23">
        <f>219024+16000+10</f>
        <v>235034</v>
      </c>
      <c r="J1093" s="23">
        <v>-3000</v>
      </c>
      <c r="K1093" s="86">
        <f t="shared" si="143"/>
        <v>232034</v>
      </c>
      <c r="L1093" s="355"/>
      <c r="M1093" s="344"/>
      <c r="N1093" s="246"/>
      <c r="O1093" s="86">
        <f t="shared" si="144"/>
        <v>0</v>
      </c>
      <c r="P1093" s="355"/>
      <c r="Q1093" s="344">
        <f t="shared" si="140"/>
        <v>235034</v>
      </c>
      <c r="R1093" s="23">
        <f t="shared" si="141"/>
        <v>-3000</v>
      </c>
      <c r="S1093" s="86">
        <f t="shared" si="142"/>
        <v>232034</v>
      </c>
    </row>
    <row r="1094" spans="2:19" x14ac:dyDescent="0.2">
      <c r="B1094" s="83">
        <f t="shared" si="148"/>
        <v>502</v>
      </c>
      <c r="C1094" s="7"/>
      <c r="D1094" s="7"/>
      <c r="E1094" s="7"/>
      <c r="F1094" s="25" t="s">
        <v>169</v>
      </c>
      <c r="G1094" s="7">
        <v>630</v>
      </c>
      <c r="H1094" s="7" t="s">
        <v>132</v>
      </c>
      <c r="I1094" s="23">
        <f>SUM(I1095:I1100)</f>
        <v>116600</v>
      </c>
      <c r="J1094" s="23">
        <f>SUM(J1095:J1100)</f>
        <v>1966</v>
      </c>
      <c r="K1094" s="86">
        <f t="shared" si="143"/>
        <v>118566</v>
      </c>
      <c r="L1094" s="355"/>
      <c r="M1094" s="344"/>
      <c r="N1094" s="246"/>
      <c r="O1094" s="86">
        <f t="shared" si="144"/>
        <v>0</v>
      </c>
      <c r="P1094" s="355"/>
      <c r="Q1094" s="344">
        <f t="shared" si="140"/>
        <v>116600</v>
      </c>
      <c r="R1094" s="23">
        <f t="shared" si="141"/>
        <v>1966</v>
      </c>
      <c r="S1094" s="86">
        <f t="shared" si="142"/>
        <v>118566</v>
      </c>
    </row>
    <row r="1095" spans="2:19" x14ac:dyDescent="0.2">
      <c r="B1095" s="83">
        <f t="shared" si="148"/>
        <v>503</v>
      </c>
      <c r="C1095" s="3"/>
      <c r="D1095" s="3"/>
      <c r="E1095" s="3"/>
      <c r="F1095" s="26" t="s">
        <v>169</v>
      </c>
      <c r="G1095" s="3">
        <v>631</v>
      </c>
      <c r="H1095" s="3" t="s">
        <v>138</v>
      </c>
      <c r="I1095" s="19">
        <v>400</v>
      </c>
      <c r="J1095" s="19">
        <v>100</v>
      </c>
      <c r="K1095" s="87">
        <f t="shared" si="143"/>
        <v>500</v>
      </c>
      <c r="L1095" s="356"/>
      <c r="M1095" s="345"/>
      <c r="N1095" s="208"/>
      <c r="O1095" s="87">
        <f t="shared" si="144"/>
        <v>0</v>
      </c>
      <c r="P1095" s="356"/>
      <c r="Q1095" s="345">
        <f t="shared" si="140"/>
        <v>400</v>
      </c>
      <c r="R1095" s="19">
        <f t="shared" si="141"/>
        <v>100</v>
      </c>
      <c r="S1095" s="87">
        <f t="shared" si="142"/>
        <v>500</v>
      </c>
    </row>
    <row r="1096" spans="2:19" x14ac:dyDescent="0.2">
      <c r="B1096" s="83">
        <f t="shared" si="148"/>
        <v>504</v>
      </c>
      <c r="C1096" s="3"/>
      <c r="D1096" s="3"/>
      <c r="E1096" s="3"/>
      <c r="F1096" s="26" t="s">
        <v>169</v>
      </c>
      <c r="G1096" s="3">
        <v>632</v>
      </c>
      <c r="H1096" s="3" t="s">
        <v>145</v>
      </c>
      <c r="I1096" s="19">
        <f>29400-4000-1000</f>
        <v>24400</v>
      </c>
      <c r="J1096" s="19">
        <v>-500</v>
      </c>
      <c r="K1096" s="87">
        <f t="shared" si="143"/>
        <v>23900</v>
      </c>
      <c r="L1096" s="356"/>
      <c r="M1096" s="345"/>
      <c r="N1096" s="208"/>
      <c r="O1096" s="87">
        <f t="shared" si="144"/>
        <v>0</v>
      </c>
      <c r="P1096" s="356"/>
      <c r="Q1096" s="345">
        <f t="shared" si="140"/>
        <v>24400</v>
      </c>
      <c r="R1096" s="19">
        <f t="shared" si="141"/>
        <v>-500</v>
      </c>
      <c r="S1096" s="87">
        <f t="shared" si="142"/>
        <v>23900</v>
      </c>
    </row>
    <row r="1097" spans="2:19" x14ac:dyDescent="0.2">
      <c r="B1097" s="83">
        <f t="shared" si="148"/>
        <v>505</v>
      </c>
      <c r="C1097" s="3"/>
      <c r="D1097" s="3"/>
      <c r="E1097" s="3"/>
      <c r="F1097" s="26" t="s">
        <v>169</v>
      </c>
      <c r="G1097" s="3">
        <v>633</v>
      </c>
      <c r="H1097" s="3" t="s">
        <v>136</v>
      </c>
      <c r="I1097" s="19">
        <f>32930-3300</f>
        <v>29630</v>
      </c>
      <c r="J1097" s="19">
        <v>4000</v>
      </c>
      <c r="K1097" s="87">
        <f t="shared" si="143"/>
        <v>33630</v>
      </c>
      <c r="L1097" s="356"/>
      <c r="M1097" s="345"/>
      <c r="N1097" s="208"/>
      <c r="O1097" s="87">
        <f t="shared" si="144"/>
        <v>0</v>
      </c>
      <c r="P1097" s="356"/>
      <c r="Q1097" s="345">
        <f t="shared" si="140"/>
        <v>29630</v>
      </c>
      <c r="R1097" s="19">
        <f t="shared" si="141"/>
        <v>4000</v>
      </c>
      <c r="S1097" s="87">
        <f t="shared" si="142"/>
        <v>33630</v>
      </c>
    </row>
    <row r="1098" spans="2:19" x14ac:dyDescent="0.2">
      <c r="B1098" s="83">
        <f t="shared" si="148"/>
        <v>506</v>
      </c>
      <c r="C1098" s="3"/>
      <c r="D1098" s="3"/>
      <c r="E1098" s="3"/>
      <c r="F1098" s="26" t="s">
        <v>169</v>
      </c>
      <c r="G1098" s="3">
        <v>635</v>
      </c>
      <c r="H1098" s="3" t="s">
        <v>144</v>
      </c>
      <c r="I1098" s="19">
        <f>5700+11300</f>
        <v>17000</v>
      </c>
      <c r="J1098" s="19">
        <v>100</v>
      </c>
      <c r="K1098" s="87">
        <f t="shared" si="143"/>
        <v>17100</v>
      </c>
      <c r="L1098" s="356"/>
      <c r="M1098" s="345"/>
      <c r="N1098" s="208"/>
      <c r="O1098" s="87">
        <f t="shared" si="144"/>
        <v>0</v>
      </c>
      <c r="P1098" s="356"/>
      <c r="Q1098" s="345">
        <f t="shared" si="140"/>
        <v>17000</v>
      </c>
      <c r="R1098" s="19">
        <f t="shared" si="141"/>
        <v>100</v>
      </c>
      <c r="S1098" s="87">
        <f t="shared" si="142"/>
        <v>17100</v>
      </c>
    </row>
    <row r="1099" spans="2:19" x14ac:dyDescent="0.2">
      <c r="B1099" s="83">
        <f t="shared" si="148"/>
        <v>507</v>
      </c>
      <c r="C1099" s="3"/>
      <c r="D1099" s="3"/>
      <c r="E1099" s="3"/>
      <c r="F1099" s="26" t="s">
        <v>169</v>
      </c>
      <c r="G1099" s="3">
        <v>636</v>
      </c>
      <c r="H1099" s="3" t="s">
        <v>137</v>
      </c>
      <c r="I1099" s="19">
        <v>500</v>
      </c>
      <c r="J1099" s="19">
        <v>-334</v>
      </c>
      <c r="K1099" s="87">
        <f t="shared" si="143"/>
        <v>166</v>
      </c>
      <c r="L1099" s="356"/>
      <c r="M1099" s="345"/>
      <c r="N1099" s="208"/>
      <c r="O1099" s="87">
        <f t="shared" si="144"/>
        <v>0</v>
      </c>
      <c r="P1099" s="356"/>
      <c r="Q1099" s="345">
        <f t="shared" si="140"/>
        <v>500</v>
      </c>
      <c r="R1099" s="19">
        <f t="shared" si="141"/>
        <v>-334</v>
      </c>
      <c r="S1099" s="87">
        <f t="shared" si="142"/>
        <v>166</v>
      </c>
    </row>
    <row r="1100" spans="2:19" x14ac:dyDescent="0.2">
      <c r="B1100" s="83">
        <f t="shared" si="148"/>
        <v>508</v>
      </c>
      <c r="C1100" s="3"/>
      <c r="D1100" s="3"/>
      <c r="E1100" s="3"/>
      <c r="F1100" s="26" t="s">
        <v>169</v>
      </c>
      <c r="G1100" s="3">
        <v>637</v>
      </c>
      <c r="H1100" s="3" t="s">
        <v>133</v>
      </c>
      <c r="I1100" s="19">
        <f>48670-4000</f>
        <v>44670</v>
      </c>
      <c r="J1100" s="19">
        <v>-1400</v>
      </c>
      <c r="K1100" s="87">
        <f t="shared" si="143"/>
        <v>43270</v>
      </c>
      <c r="L1100" s="356"/>
      <c r="M1100" s="345"/>
      <c r="N1100" s="208"/>
      <c r="O1100" s="87">
        <f t="shared" si="144"/>
        <v>0</v>
      </c>
      <c r="P1100" s="356"/>
      <c r="Q1100" s="345">
        <f t="shared" si="140"/>
        <v>44670</v>
      </c>
      <c r="R1100" s="19">
        <f t="shared" si="141"/>
        <v>-1400</v>
      </c>
      <c r="S1100" s="87">
        <f t="shared" si="142"/>
        <v>43270</v>
      </c>
    </row>
    <row r="1101" spans="2:19" x14ac:dyDescent="0.2">
      <c r="B1101" s="83">
        <f t="shared" si="148"/>
        <v>509</v>
      </c>
      <c r="C1101" s="7"/>
      <c r="D1101" s="7"/>
      <c r="E1101" s="7"/>
      <c r="F1101" s="25" t="s">
        <v>169</v>
      </c>
      <c r="G1101" s="7">
        <v>640</v>
      </c>
      <c r="H1101" s="7" t="s">
        <v>140</v>
      </c>
      <c r="I1101" s="23">
        <v>5500</v>
      </c>
      <c r="J1101" s="23">
        <v>-1966</v>
      </c>
      <c r="K1101" s="86">
        <f t="shared" si="143"/>
        <v>3534</v>
      </c>
      <c r="L1101" s="355"/>
      <c r="M1101" s="344"/>
      <c r="N1101" s="246"/>
      <c r="O1101" s="86">
        <f t="shared" si="144"/>
        <v>0</v>
      </c>
      <c r="P1101" s="355"/>
      <c r="Q1101" s="344">
        <f t="shared" ref="Q1101:Q1165" si="149">I1101+M1101</f>
        <v>5500</v>
      </c>
      <c r="R1101" s="23">
        <f t="shared" si="141"/>
        <v>-1966</v>
      </c>
      <c r="S1101" s="86">
        <f t="shared" si="142"/>
        <v>3534</v>
      </c>
    </row>
    <row r="1102" spans="2:19" ht="15" x14ac:dyDescent="0.2">
      <c r="B1102" s="83">
        <f t="shared" si="148"/>
        <v>510</v>
      </c>
      <c r="C1102" s="239">
        <v>4</v>
      </c>
      <c r="D1102" s="444" t="s">
        <v>172</v>
      </c>
      <c r="E1102" s="445"/>
      <c r="F1102" s="445"/>
      <c r="G1102" s="445"/>
      <c r="H1102" s="446"/>
      <c r="I1102" s="36">
        <f>I1103+I1110+I1221+I1238+I1255+I1260+I1280+I1299+I1318+I1339</f>
        <v>2447015</v>
      </c>
      <c r="J1102" s="36">
        <f>J1103+J1110+J1221+J1238+J1255+J1260+J1280+J1299+J1318+J1339</f>
        <v>47358</v>
      </c>
      <c r="K1102" s="84">
        <f t="shared" si="143"/>
        <v>2494373</v>
      </c>
      <c r="L1102" s="353"/>
      <c r="M1102" s="342">
        <f>M1260+M1318+M1209</f>
        <v>47796</v>
      </c>
      <c r="N1102" s="244"/>
      <c r="O1102" s="84">
        <f t="shared" si="144"/>
        <v>47796</v>
      </c>
      <c r="P1102" s="353"/>
      <c r="Q1102" s="342">
        <f t="shared" si="149"/>
        <v>2494811</v>
      </c>
      <c r="R1102" s="36">
        <f t="shared" ref="R1102:R1166" si="150">J1102+N1102</f>
        <v>47358</v>
      </c>
      <c r="S1102" s="84">
        <f t="shared" ref="S1102:S1166" si="151">K1102+O1102</f>
        <v>2542169</v>
      </c>
    </row>
    <row r="1103" spans="2:19" x14ac:dyDescent="0.2">
      <c r="B1103" s="83">
        <f t="shared" si="148"/>
        <v>511</v>
      </c>
      <c r="C1103" s="7"/>
      <c r="D1103" s="7"/>
      <c r="E1103" s="7"/>
      <c r="F1103" s="25" t="s">
        <v>171</v>
      </c>
      <c r="G1103" s="7">
        <v>640</v>
      </c>
      <c r="H1103" s="7" t="s">
        <v>140</v>
      </c>
      <c r="I1103" s="23">
        <f>I1104</f>
        <v>70697</v>
      </c>
      <c r="J1103" s="23"/>
      <c r="K1103" s="86">
        <f t="shared" si="143"/>
        <v>70697</v>
      </c>
      <c r="L1103" s="355"/>
      <c r="M1103" s="344"/>
      <c r="N1103" s="246"/>
      <c r="O1103" s="86">
        <f t="shared" si="144"/>
        <v>0</v>
      </c>
      <c r="P1103" s="355"/>
      <c r="Q1103" s="344">
        <f t="shared" si="149"/>
        <v>70697</v>
      </c>
      <c r="R1103" s="23">
        <f t="shared" si="150"/>
        <v>0</v>
      </c>
      <c r="S1103" s="86">
        <f t="shared" si="151"/>
        <v>70697</v>
      </c>
    </row>
    <row r="1104" spans="2:19" x14ac:dyDescent="0.2">
      <c r="B1104" s="83">
        <f t="shared" si="148"/>
        <v>512</v>
      </c>
      <c r="C1104" s="3"/>
      <c r="D1104" s="3"/>
      <c r="E1104" s="3"/>
      <c r="F1104" s="26" t="s">
        <v>171</v>
      </c>
      <c r="G1104" s="3">
        <v>642</v>
      </c>
      <c r="H1104" s="3" t="s">
        <v>141</v>
      </c>
      <c r="I1104" s="19">
        <f>SUM(I1105:I1109)</f>
        <v>70697</v>
      </c>
      <c r="J1104" s="19"/>
      <c r="K1104" s="87">
        <f t="shared" si="143"/>
        <v>70697</v>
      </c>
      <c r="L1104" s="356"/>
      <c r="M1104" s="345"/>
      <c r="N1104" s="208"/>
      <c r="O1104" s="87">
        <f t="shared" si="144"/>
        <v>0</v>
      </c>
      <c r="P1104" s="356"/>
      <c r="Q1104" s="345">
        <f t="shared" si="149"/>
        <v>70697</v>
      </c>
      <c r="R1104" s="19">
        <f t="shared" si="150"/>
        <v>0</v>
      </c>
      <c r="S1104" s="87">
        <f t="shared" si="151"/>
        <v>70697</v>
      </c>
    </row>
    <row r="1105" spans="2:19" x14ac:dyDescent="0.2">
      <c r="B1105" s="83">
        <f t="shared" si="148"/>
        <v>513</v>
      </c>
      <c r="C1105" s="4"/>
      <c r="D1105" s="4"/>
      <c r="E1105" s="4"/>
      <c r="F1105" s="27"/>
      <c r="G1105" s="4"/>
      <c r="H1105" s="4" t="s">
        <v>548</v>
      </c>
      <c r="I1105" s="21">
        <f>23602+3636</f>
        <v>27238</v>
      </c>
      <c r="J1105" s="21"/>
      <c r="K1105" s="88">
        <f t="shared" si="143"/>
        <v>27238</v>
      </c>
      <c r="L1105" s="357"/>
      <c r="M1105" s="346"/>
      <c r="N1105" s="247"/>
      <c r="O1105" s="88">
        <f t="shared" si="144"/>
        <v>0</v>
      </c>
      <c r="P1105" s="357"/>
      <c r="Q1105" s="346">
        <f t="shared" si="149"/>
        <v>27238</v>
      </c>
      <c r="R1105" s="21">
        <f t="shared" si="150"/>
        <v>0</v>
      </c>
      <c r="S1105" s="88">
        <f t="shared" si="151"/>
        <v>27238</v>
      </c>
    </row>
    <row r="1106" spans="2:19" x14ac:dyDescent="0.2">
      <c r="B1106" s="83">
        <f t="shared" si="148"/>
        <v>514</v>
      </c>
      <c r="C1106" s="4"/>
      <c r="D1106" s="4"/>
      <c r="E1106" s="4"/>
      <c r="F1106" s="27"/>
      <c r="G1106" s="4"/>
      <c r="H1106" s="4" t="s">
        <v>549</v>
      </c>
      <c r="I1106" s="21">
        <f>19756+3044</f>
        <v>22800</v>
      </c>
      <c r="J1106" s="21"/>
      <c r="K1106" s="88">
        <f t="shared" si="143"/>
        <v>22800</v>
      </c>
      <c r="L1106" s="357"/>
      <c r="M1106" s="346"/>
      <c r="N1106" s="247"/>
      <c r="O1106" s="88">
        <f t="shared" si="144"/>
        <v>0</v>
      </c>
      <c r="P1106" s="357"/>
      <c r="Q1106" s="346">
        <f t="shared" si="149"/>
        <v>22800</v>
      </c>
      <c r="R1106" s="21">
        <f t="shared" si="150"/>
        <v>0</v>
      </c>
      <c r="S1106" s="88">
        <f t="shared" si="151"/>
        <v>22800</v>
      </c>
    </row>
    <row r="1107" spans="2:19" x14ac:dyDescent="0.2">
      <c r="B1107" s="83">
        <f t="shared" si="148"/>
        <v>515</v>
      </c>
      <c r="C1107" s="4"/>
      <c r="D1107" s="4"/>
      <c r="E1107" s="4"/>
      <c r="F1107" s="27"/>
      <c r="G1107" s="4"/>
      <c r="H1107" s="4" t="s">
        <v>550</v>
      </c>
      <c r="I1107" s="21">
        <f>12199+1879</f>
        <v>14078</v>
      </c>
      <c r="J1107" s="21"/>
      <c r="K1107" s="88">
        <f t="shared" si="143"/>
        <v>14078</v>
      </c>
      <c r="L1107" s="357"/>
      <c r="M1107" s="346"/>
      <c r="N1107" s="247"/>
      <c r="O1107" s="88">
        <f t="shared" si="144"/>
        <v>0</v>
      </c>
      <c r="P1107" s="357"/>
      <c r="Q1107" s="346">
        <f t="shared" si="149"/>
        <v>14078</v>
      </c>
      <c r="R1107" s="21">
        <f t="shared" si="150"/>
        <v>0</v>
      </c>
      <c r="S1107" s="88">
        <f t="shared" si="151"/>
        <v>14078</v>
      </c>
    </row>
    <row r="1108" spans="2:19" x14ac:dyDescent="0.2">
      <c r="B1108" s="83">
        <f t="shared" si="148"/>
        <v>516</v>
      </c>
      <c r="C1108" s="4"/>
      <c r="D1108" s="4"/>
      <c r="E1108" s="4"/>
      <c r="F1108" s="27"/>
      <c r="G1108" s="4"/>
      <c r="H1108" s="4" t="s">
        <v>551</v>
      </c>
      <c r="I1108" s="21">
        <f>1326+205</f>
        <v>1531</v>
      </c>
      <c r="J1108" s="21"/>
      <c r="K1108" s="88">
        <f t="shared" si="143"/>
        <v>1531</v>
      </c>
      <c r="L1108" s="357"/>
      <c r="M1108" s="346"/>
      <c r="N1108" s="247"/>
      <c r="O1108" s="88">
        <f t="shared" si="144"/>
        <v>0</v>
      </c>
      <c r="P1108" s="357"/>
      <c r="Q1108" s="346">
        <f t="shared" si="149"/>
        <v>1531</v>
      </c>
      <c r="R1108" s="21">
        <f t="shared" si="150"/>
        <v>0</v>
      </c>
      <c r="S1108" s="88">
        <f t="shared" si="151"/>
        <v>1531</v>
      </c>
    </row>
    <row r="1109" spans="2:19" x14ac:dyDescent="0.2">
      <c r="B1109" s="83">
        <f t="shared" si="148"/>
        <v>517</v>
      </c>
      <c r="C1109" s="4"/>
      <c r="D1109" s="4"/>
      <c r="E1109" s="4"/>
      <c r="F1109" s="27"/>
      <c r="G1109" s="4"/>
      <c r="H1109" s="4" t="s">
        <v>552</v>
      </c>
      <c r="I1109" s="21">
        <f>4376+674</f>
        <v>5050</v>
      </c>
      <c r="J1109" s="21"/>
      <c r="K1109" s="88">
        <f t="shared" si="143"/>
        <v>5050</v>
      </c>
      <c r="L1109" s="357"/>
      <c r="M1109" s="346"/>
      <c r="N1109" s="247"/>
      <c r="O1109" s="88">
        <f t="shared" si="144"/>
        <v>0</v>
      </c>
      <c r="P1109" s="357"/>
      <c r="Q1109" s="346">
        <f t="shared" si="149"/>
        <v>5050</v>
      </c>
      <c r="R1109" s="21">
        <f t="shared" si="150"/>
        <v>0</v>
      </c>
      <c r="S1109" s="88">
        <f t="shared" si="151"/>
        <v>5050</v>
      </c>
    </row>
    <row r="1110" spans="2:19" ht="15" x14ac:dyDescent="0.25">
      <c r="B1110" s="83">
        <f t="shared" si="148"/>
        <v>518</v>
      </c>
      <c r="C1110" s="10"/>
      <c r="D1110" s="10"/>
      <c r="E1110" s="10">
        <v>4</v>
      </c>
      <c r="F1110" s="28"/>
      <c r="G1110" s="10"/>
      <c r="H1110" s="10" t="s">
        <v>410</v>
      </c>
      <c r="I1110" s="38">
        <f>I1111+I1119+I1127+I1134+I1142+I1150+I1158+I1165+I1173+I1181+I1188+I1195+I1202+I1209</f>
        <v>769572</v>
      </c>
      <c r="J1110" s="38">
        <f>J1111+J1119+J1127+J1134+J1142+J1150+J1158+J1165+J1173+J1181+J1188+J1195+J1202+J1209</f>
        <v>2165</v>
      </c>
      <c r="K1110" s="94">
        <f t="shared" si="143"/>
        <v>771737</v>
      </c>
      <c r="L1110" s="365"/>
      <c r="M1110" s="362">
        <v>0</v>
      </c>
      <c r="N1110" s="253"/>
      <c r="O1110" s="94">
        <f t="shared" si="144"/>
        <v>0</v>
      </c>
      <c r="P1110" s="365"/>
      <c r="Q1110" s="362">
        <f t="shared" si="149"/>
        <v>769572</v>
      </c>
      <c r="R1110" s="38">
        <f t="shared" si="150"/>
        <v>2165</v>
      </c>
      <c r="S1110" s="94">
        <f t="shared" si="151"/>
        <v>771737</v>
      </c>
    </row>
    <row r="1111" spans="2:19" x14ac:dyDescent="0.2">
      <c r="B1111" s="83">
        <f t="shared" si="148"/>
        <v>519</v>
      </c>
      <c r="C1111" s="6"/>
      <c r="D1111" s="6"/>
      <c r="E1111" s="6" t="s">
        <v>100</v>
      </c>
      <c r="F1111" s="29"/>
      <c r="G1111" s="6"/>
      <c r="H1111" s="6" t="s">
        <v>72</v>
      </c>
      <c r="I1111" s="40">
        <f>I1112+I1113+I1114+I1118</f>
        <v>39110</v>
      </c>
      <c r="J1111" s="40">
        <f>J1112+J1113+J1114+J1118</f>
        <v>0</v>
      </c>
      <c r="K1111" s="100">
        <f t="shared" si="143"/>
        <v>39110</v>
      </c>
      <c r="L1111" s="355"/>
      <c r="M1111" s="398">
        <v>0</v>
      </c>
      <c r="N1111" s="261"/>
      <c r="O1111" s="100">
        <f t="shared" si="144"/>
        <v>0</v>
      </c>
      <c r="P1111" s="355"/>
      <c r="Q1111" s="398">
        <f t="shared" si="149"/>
        <v>39110</v>
      </c>
      <c r="R1111" s="40">
        <f t="shared" si="150"/>
        <v>0</v>
      </c>
      <c r="S1111" s="100">
        <f t="shared" si="151"/>
        <v>39110</v>
      </c>
    </row>
    <row r="1112" spans="2:19" x14ac:dyDescent="0.2">
      <c r="B1112" s="83">
        <f t="shared" si="148"/>
        <v>520</v>
      </c>
      <c r="C1112" s="7"/>
      <c r="D1112" s="7"/>
      <c r="E1112" s="7"/>
      <c r="F1112" s="25" t="s">
        <v>171</v>
      </c>
      <c r="G1112" s="7">
        <v>610</v>
      </c>
      <c r="H1112" s="7" t="s">
        <v>142</v>
      </c>
      <c r="I1112" s="23">
        <v>14524</v>
      </c>
      <c r="J1112" s="23"/>
      <c r="K1112" s="86">
        <f t="shared" si="143"/>
        <v>14524</v>
      </c>
      <c r="L1112" s="355"/>
      <c r="M1112" s="344"/>
      <c r="N1112" s="246"/>
      <c r="O1112" s="86">
        <f t="shared" si="144"/>
        <v>0</v>
      </c>
      <c r="P1112" s="355"/>
      <c r="Q1112" s="344">
        <f t="shared" si="149"/>
        <v>14524</v>
      </c>
      <c r="R1112" s="23">
        <f t="shared" si="150"/>
        <v>0</v>
      </c>
      <c r="S1112" s="86">
        <f t="shared" si="151"/>
        <v>14524</v>
      </c>
    </row>
    <row r="1113" spans="2:19" x14ac:dyDescent="0.2">
      <c r="B1113" s="83">
        <f t="shared" si="148"/>
        <v>521</v>
      </c>
      <c r="C1113" s="7"/>
      <c r="D1113" s="7"/>
      <c r="E1113" s="7"/>
      <c r="F1113" s="25" t="s">
        <v>171</v>
      </c>
      <c r="G1113" s="7">
        <v>620</v>
      </c>
      <c r="H1113" s="7" t="s">
        <v>135</v>
      </c>
      <c r="I1113" s="23">
        <v>5672</v>
      </c>
      <c r="J1113" s="23"/>
      <c r="K1113" s="86">
        <f t="shared" si="143"/>
        <v>5672</v>
      </c>
      <c r="L1113" s="355"/>
      <c r="M1113" s="344"/>
      <c r="N1113" s="246"/>
      <c r="O1113" s="86">
        <f t="shared" si="144"/>
        <v>0</v>
      </c>
      <c r="P1113" s="355"/>
      <c r="Q1113" s="344">
        <f t="shared" si="149"/>
        <v>5672</v>
      </c>
      <c r="R1113" s="23">
        <f t="shared" si="150"/>
        <v>0</v>
      </c>
      <c r="S1113" s="86">
        <f t="shared" si="151"/>
        <v>5672</v>
      </c>
    </row>
    <row r="1114" spans="2:19" x14ac:dyDescent="0.2">
      <c r="B1114" s="83">
        <f t="shared" si="148"/>
        <v>522</v>
      </c>
      <c r="C1114" s="7"/>
      <c r="D1114" s="7"/>
      <c r="E1114" s="7"/>
      <c r="F1114" s="25" t="s">
        <v>171</v>
      </c>
      <c r="G1114" s="7">
        <v>630</v>
      </c>
      <c r="H1114" s="7" t="s">
        <v>132</v>
      </c>
      <c r="I1114" s="23">
        <f>SUM(I1115:I1117)</f>
        <v>17890</v>
      </c>
      <c r="J1114" s="23"/>
      <c r="K1114" s="86">
        <f t="shared" si="143"/>
        <v>17890</v>
      </c>
      <c r="L1114" s="355"/>
      <c r="M1114" s="344"/>
      <c r="N1114" s="246"/>
      <c r="O1114" s="86">
        <f t="shared" si="144"/>
        <v>0</v>
      </c>
      <c r="P1114" s="355"/>
      <c r="Q1114" s="344">
        <f t="shared" si="149"/>
        <v>17890</v>
      </c>
      <c r="R1114" s="23">
        <f t="shared" si="150"/>
        <v>0</v>
      </c>
      <c r="S1114" s="86">
        <f t="shared" si="151"/>
        <v>17890</v>
      </c>
    </row>
    <row r="1115" spans="2:19" x14ac:dyDescent="0.2">
      <c r="B1115" s="83">
        <f t="shared" si="148"/>
        <v>523</v>
      </c>
      <c r="C1115" s="3"/>
      <c r="D1115" s="3"/>
      <c r="E1115" s="3"/>
      <c r="F1115" s="26" t="s">
        <v>171</v>
      </c>
      <c r="G1115" s="3">
        <v>633</v>
      </c>
      <c r="H1115" s="3" t="s">
        <v>136</v>
      </c>
      <c r="I1115" s="19">
        <f>17050-823</f>
        <v>16227</v>
      </c>
      <c r="J1115" s="19"/>
      <c r="K1115" s="87">
        <f t="shared" si="143"/>
        <v>16227</v>
      </c>
      <c r="L1115" s="356"/>
      <c r="M1115" s="345"/>
      <c r="N1115" s="208"/>
      <c r="O1115" s="87">
        <f t="shared" si="144"/>
        <v>0</v>
      </c>
      <c r="P1115" s="356"/>
      <c r="Q1115" s="345">
        <f t="shared" si="149"/>
        <v>16227</v>
      </c>
      <c r="R1115" s="19">
        <f t="shared" si="150"/>
        <v>0</v>
      </c>
      <c r="S1115" s="87">
        <f t="shared" si="151"/>
        <v>16227</v>
      </c>
    </row>
    <row r="1116" spans="2:19" x14ac:dyDescent="0.2">
      <c r="B1116" s="83">
        <f t="shared" si="148"/>
        <v>524</v>
      </c>
      <c r="C1116" s="3"/>
      <c r="D1116" s="3"/>
      <c r="E1116" s="3"/>
      <c r="F1116" s="26" t="s">
        <v>171</v>
      </c>
      <c r="G1116" s="3">
        <v>635</v>
      </c>
      <c r="H1116" s="3" t="s">
        <v>144</v>
      </c>
      <c r="I1116" s="19">
        <f>200+823</f>
        <v>1023</v>
      </c>
      <c r="J1116" s="19"/>
      <c r="K1116" s="87">
        <f t="shared" si="143"/>
        <v>1023</v>
      </c>
      <c r="L1116" s="356"/>
      <c r="M1116" s="345"/>
      <c r="N1116" s="208"/>
      <c r="O1116" s="87">
        <f t="shared" si="144"/>
        <v>0</v>
      </c>
      <c r="P1116" s="356"/>
      <c r="Q1116" s="345">
        <f t="shared" si="149"/>
        <v>1023</v>
      </c>
      <c r="R1116" s="19">
        <f t="shared" si="150"/>
        <v>0</v>
      </c>
      <c r="S1116" s="87">
        <f t="shared" si="151"/>
        <v>1023</v>
      </c>
    </row>
    <row r="1117" spans="2:19" x14ac:dyDescent="0.2">
      <c r="B1117" s="83">
        <f t="shared" si="148"/>
        <v>525</v>
      </c>
      <c r="C1117" s="3"/>
      <c r="D1117" s="3"/>
      <c r="E1117" s="3"/>
      <c r="F1117" s="26" t="s">
        <v>171</v>
      </c>
      <c r="G1117" s="3">
        <v>637</v>
      </c>
      <c r="H1117" s="3" t="s">
        <v>133</v>
      </c>
      <c r="I1117" s="19">
        <v>640</v>
      </c>
      <c r="J1117" s="19"/>
      <c r="K1117" s="87">
        <f t="shared" si="143"/>
        <v>640</v>
      </c>
      <c r="L1117" s="356"/>
      <c r="M1117" s="345"/>
      <c r="N1117" s="208"/>
      <c r="O1117" s="87">
        <f t="shared" si="144"/>
        <v>0</v>
      </c>
      <c r="P1117" s="356"/>
      <c r="Q1117" s="345">
        <f t="shared" si="149"/>
        <v>640</v>
      </c>
      <c r="R1117" s="19">
        <f t="shared" si="150"/>
        <v>0</v>
      </c>
      <c r="S1117" s="87">
        <f t="shared" si="151"/>
        <v>640</v>
      </c>
    </row>
    <row r="1118" spans="2:19" x14ac:dyDescent="0.2">
      <c r="B1118" s="83">
        <f t="shared" si="148"/>
        <v>526</v>
      </c>
      <c r="C1118" s="7"/>
      <c r="D1118" s="7"/>
      <c r="E1118" s="7"/>
      <c r="F1118" s="25" t="s">
        <v>171</v>
      </c>
      <c r="G1118" s="7">
        <v>640</v>
      </c>
      <c r="H1118" s="7" t="s">
        <v>140</v>
      </c>
      <c r="I1118" s="23">
        <v>1024</v>
      </c>
      <c r="J1118" s="23"/>
      <c r="K1118" s="86">
        <f t="shared" si="143"/>
        <v>1024</v>
      </c>
      <c r="L1118" s="355"/>
      <c r="M1118" s="344"/>
      <c r="N1118" s="246"/>
      <c r="O1118" s="86">
        <f t="shared" si="144"/>
        <v>0</v>
      </c>
      <c r="P1118" s="355"/>
      <c r="Q1118" s="344">
        <f t="shared" si="149"/>
        <v>1024</v>
      </c>
      <c r="R1118" s="23">
        <f t="shared" si="150"/>
        <v>0</v>
      </c>
      <c r="S1118" s="86">
        <f t="shared" si="151"/>
        <v>1024</v>
      </c>
    </row>
    <row r="1119" spans="2:19" x14ac:dyDescent="0.2">
      <c r="B1119" s="83">
        <f t="shared" si="148"/>
        <v>527</v>
      </c>
      <c r="C1119" s="6"/>
      <c r="D1119" s="6"/>
      <c r="E1119" s="6" t="s">
        <v>99</v>
      </c>
      <c r="F1119" s="29"/>
      <c r="G1119" s="6"/>
      <c r="H1119" s="6" t="s">
        <v>240</v>
      </c>
      <c r="I1119" s="40">
        <f>I1120+I1121+I1122+I1126</f>
        <v>64421</v>
      </c>
      <c r="J1119" s="40">
        <f>J1120+J1121+J1122+J1126</f>
        <v>0</v>
      </c>
      <c r="K1119" s="100">
        <f t="shared" ref="K1119:K1182" si="152">J1119+I1119</f>
        <v>64421</v>
      </c>
      <c r="L1119" s="355"/>
      <c r="M1119" s="398">
        <v>0</v>
      </c>
      <c r="N1119" s="261"/>
      <c r="O1119" s="100">
        <f t="shared" ref="O1119:O1182" si="153">N1119+M1119</f>
        <v>0</v>
      </c>
      <c r="P1119" s="355"/>
      <c r="Q1119" s="398">
        <f t="shared" si="149"/>
        <v>64421</v>
      </c>
      <c r="R1119" s="40">
        <f t="shared" si="150"/>
        <v>0</v>
      </c>
      <c r="S1119" s="100">
        <f t="shared" si="151"/>
        <v>64421</v>
      </c>
    </row>
    <row r="1120" spans="2:19" x14ac:dyDescent="0.2">
      <c r="B1120" s="83">
        <f t="shared" ref="B1120:B1183" si="154">B1119+1</f>
        <v>528</v>
      </c>
      <c r="C1120" s="7"/>
      <c r="D1120" s="7"/>
      <c r="E1120" s="7"/>
      <c r="F1120" s="25" t="s">
        <v>171</v>
      </c>
      <c r="G1120" s="7">
        <v>610</v>
      </c>
      <c r="H1120" s="7" t="s">
        <v>142</v>
      </c>
      <c r="I1120" s="23">
        <v>26688</v>
      </c>
      <c r="J1120" s="23"/>
      <c r="K1120" s="86">
        <f t="shared" si="152"/>
        <v>26688</v>
      </c>
      <c r="L1120" s="355"/>
      <c r="M1120" s="344"/>
      <c r="N1120" s="246"/>
      <c r="O1120" s="86">
        <f t="shared" si="153"/>
        <v>0</v>
      </c>
      <c r="P1120" s="355"/>
      <c r="Q1120" s="344">
        <f t="shared" si="149"/>
        <v>26688</v>
      </c>
      <c r="R1120" s="23">
        <f t="shared" si="150"/>
        <v>0</v>
      </c>
      <c r="S1120" s="86">
        <f t="shared" si="151"/>
        <v>26688</v>
      </c>
    </row>
    <row r="1121" spans="2:19" x14ac:dyDescent="0.2">
      <c r="B1121" s="83">
        <f t="shared" si="154"/>
        <v>529</v>
      </c>
      <c r="C1121" s="7"/>
      <c r="D1121" s="7"/>
      <c r="E1121" s="7"/>
      <c r="F1121" s="25" t="s">
        <v>171</v>
      </c>
      <c r="G1121" s="7">
        <v>620</v>
      </c>
      <c r="H1121" s="7" t="s">
        <v>135</v>
      </c>
      <c r="I1121" s="23">
        <v>9789</v>
      </c>
      <c r="J1121" s="23"/>
      <c r="K1121" s="86">
        <f t="shared" si="152"/>
        <v>9789</v>
      </c>
      <c r="L1121" s="355"/>
      <c r="M1121" s="344"/>
      <c r="N1121" s="246"/>
      <c r="O1121" s="86">
        <f t="shared" si="153"/>
        <v>0</v>
      </c>
      <c r="P1121" s="355"/>
      <c r="Q1121" s="344">
        <f t="shared" si="149"/>
        <v>9789</v>
      </c>
      <c r="R1121" s="23">
        <f t="shared" si="150"/>
        <v>0</v>
      </c>
      <c r="S1121" s="86">
        <f t="shared" si="151"/>
        <v>9789</v>
      </c>
    </row>
    <row r="1122" spans="2:19" x14ac:dyDescent="0.2">
      <c r="B1122" s="83">
        <f t="shared" si="154"/>
        <v>530</v>
      </c>
      <c r="C1122" s="7"/>
      <c r="D1122" s="7"/>
      <c r="E1122" s="7"/>
      <c r="F1122" s="25" t="s">
        <v>171</v>
      </c>
      <c r="G1122" s="7">
        <v>630</v>
      </c>
      <c r="H1122" s="7" t="s">
        <v>132</v>
      </c>
      <c r="I1122" s="23">
        <f>SUM(I1123:I1125)</f>
        <v>27860</v>
      </c>
      <c r="J1122" s="23">
        <f>SUM(J1123:J1125)</f>
        <v>0</v>
      </c>
      <c r="K1122" s="86">
        <f t="shared" si="152"/>
        <v>27860</v>
      </c>
      <c r="L1122" s="355"/>
      <c r="M1122" s="344"/>
      <c r="N1122" s="246"/>
      <c r="O1122" s="86">
        <f t="shared" si="153"/>
        <v>0</v>
      </c>
      <c r="P1122" s="355"/>
      <c r="Q1122" s="344">
        <f t="shared" si="149"/>
        <v>27860</v>
      </c>
      <c r="R1122" s="23">
        <f t="shared" si="150"/>
        <v>0</v>
      </c>
      <c r="S1122" s="86">
        <f t="shared" si="151"/>
        <v>27860</v>
      </c>
    </row>
    <row r="1123" spans="2:19" x14ac:dyDescent="0.2">
      <c r="B1123" s="83">
        <f t="shared" si="154"/>
        <v>531</v>
      </c>
      <c r="C1123" s="3"/>
      <c r="D1123" s="3"/>
      <c r="E1123" s="3"/>
      <c r="F1123" s="26" t="s">
        <v>171</v>
      </c>
      <c r="G1123" s="3">
        <v>633</v>
      </c>
      <c r="H1123" s="3" t="s">
        <v>136</v>
      </c>
      <c r="I1123" s="19">
        <v>25550</v>
      </c>
      <c r="J1123" s="19">
        <v>1226</v>
      </c>
      <c r="K1123" s="87">
        <f t="shared" si="152"/>
        <v>26776</v>
      </c>
      <c r="L1123" s="356"/>
      <c r="M1123" s="345"/>
      <c r="N1123" s="208"/>
      <c r="O1123" s="87">
        <f t="shared" si="153"/>
        <v>0</v>
      </c>
      <c r="P1123" s="356"/>
      <c r="Q1123" s="345">
        <f t="shared" si="149"/>
        <v>25550</v>
      </c>
      <c r="R1123" s="19">
        <f t="shared" si="150"/>
        <v>1226</v>
      </c>
      <c r="S1123" s="87">
        <f t="shared" si="151"/>
        <v>26776</v>
      </c>
    </row>
    <row r="1124" spans="2:19" x14ac:dyDescent="0.2">
      <c r="B1124" s="83">
        <f t="shared" si="154"/>
        <v>532</v>
      </c>
      <c r="C1124" s="3"/>
      <c r="D1124" s="3"/>
      <c r="E1124" s="3"/>
      <c r="F1124" s="26" t="s">
        <v>171</v>
      </c>
      <c r="G1124" s="3">
        <v>635</v>
      </c>
      <c r="H1124" s="3" t="s">
        <v>144</v>
      </c>
      <c r="I1124" s="19">
        <v>1550</v>
      </c>
      <c r="J1124" s="19">
        <v>-1226</v>
      </c>
      <c r="K1124" s="87">
        <f t="shared" si="152"/>
        <v>324</v>
      </c>
      <c r="L1124" s="356"/>
      <c r="M1124" s="345"/>
      <c r="N1124" s="208"/>
      <c r="O1124" s="87">
        <f t="shared" si="153"/>
        <v>0</v>
      </c>
      <c r="P1124" s="356"/>
      <c r="Q1124" s="345">
        <f t="shared" si="149"/>
        <v>1550</v>
      </c>
      <c r="R1124" s="19">
        <f t="shared" si="150"/>
        <v>-1226</v>
      </c>
      <c r="S1124" s="87">
        <f t="shared" si="151"/>
        <v>324</v>
      </c>
    </row>
    <row r="1125" spans="2:19" x14ac:dyDescent="0.2">
      <c r="B1125" s="83">
        <f t="shared" si="154"/>
        <v>533</v>
      </c>
      <c r="C1125" s="3"/>
      <c r="D1125" s="3"/>
      <c r="E1125" s="3"/>
      <c r="F1125" s="26" t="s">
        <v>171</v>
      </c>
      <c r="G1125" s="3">
        <v>637</v>
      </c>
      <c r="H1125" s="3" t="s">
        <v>133</v>
      </c>
      <c r="I1125" s="19">
        <v>760</v>
      </c>
      <c r="J1125" s="19"/>
      <c r="K1125" s="87">
        <f t="shared" si="152"/>
        <v>760</v>
      </c>
      <c r="L1125" s="356"/>
      <c r="M1125" s="345"/>
      <c r="N1125" s="208"/>
      <c r="O1125" s="87">
        <f t="shared" si="153"/>
        <v>0</v>
      </c>
      <c r="P1125" s="356"/>
      <c r="Q1125" s="345">
        <f t="shared" si="149"/>
        <v>760</v>
      </c>
      <c r="R1125" s="19">
        <f t="shared" si="150"/>
        <v>0</v>
      </c>
      <c r="S1125" s="87">
        <f t="shared" si="151"/>
        <v>760</v>
      </c>
    </row>
    <row r="1126" spans="2:19" x14ac:dyDescent="0.2">
      <c r="B1126" s="83">
        <f t="shared" si="154"/>
        <v>534</v>
      </c>
      <c r="C1126" s="3"/>
      <c r="D1126" s="3"/>
      <c r="E1126" s="3"/>
      <c r="F1126" s="25" t="s">
        <v>171</v>
      </c>
      <c r="G1126" s="7">
        <v>640</v>
      </c>
      <c r="H1126" s="7" t="s">
        <v>140</v>
      </c>
      <c r="I1126" s="23">
        <v>84</v>
      </c>
      <c r="J1126" s="23"/>
      <c r="K1126" s="86">
        <f t="shared" si="152"/>
        <v>84</v>
      </c>
      <c r="L1126" s="355"/>
      <c r="M1126" s="344"/>
      <c r="N1126" s="246"/>
      <c r="O1126" s="86">
        <f t="shared" si="153"/>
        <v>0</v>
      </c>
      <c r="P1126" s="355"/>
      <c r="Q1126" s="344">
        <f t="shared" si="149"/>
        <v>84</v>
      </c>
      <c r="R1126" s="23">
        <f t="shared" si="150"/>
        <v>0</v>
      </c>
      <c r="S1126" s="86">
        <f t="shared" si="151"/>
        <v>84</v>
      </c>
    </row>
    <row r="1127" spans="2:19" x14ac:dyDescent="0.2">
      <c r="B1127" s="83">
        <f t="shared" si="154"/>
        <v>535</v>
      </c>
      <c r="C1127" s="6"/>
      <c r="D1127" s="6"/>
      <c r="E1127" s="6" t="s">
        <v>93</v>
      </c>
      <c r="F1127" s="29"/>
      <c r="G1127" s="6"/>
      <c r="H1127" s="6" t="s">
        <v>71</v>
      </c>
      <c r="I1127" s="40">
        <f>I1128+I1129+I1130</f>
        <v>37165</v>
      </c>
      <c r="J1127" s="40">
        <f>J1128+J1129+J1130</f>
        <v>0</v>
      </c>
      <c r="K1127" s="100">
        <f t="shared" si="152"/>
        <v>37165</v>
      </c>
      <c r="L1127" s="355"/>
      <c r="M1127" s="398">
        <v>0</v>
      </c>
      <c r="N1127" s="261"/>
      <c r="O1127" s="100">
        <f t="shared" si="153"/>
        <v>0</v>
      </c>
      <c r="P1127" s="355"/>
      <c r="Q1127" s="398">
        <f t="shared" si="149"/>
        <v>37165</v>
      </c>
      <c r="R1127" s="40">
        <f t="shared" si="150"/>
        <v>0</v>
      </c>
      <c r="S1127" s="100">
        <f t="shared" si="151"/>
        <v>37165</v>
      </c>
    </row>
    <row r="1128" spans="2:19" x14ac:dyDescent="0.2">
      <c r="B1128" s="83">
        <f t="shared" si="154"/>
        <v>536</v>
      </c>
      <c r="C1128" s="7"/>
      <c r="D1128" s="7"/>
      <c r="E1128" s="7"/>
      <c r="F1128" s="25" t="s">
        <v>171</v>
      </c>
      <c r="G1128" s="7">
        <v>610</v>
      </c>
      <c r="H1128" s="7" t="s">
        <v>142</v>
      </c>
      <c r="I1128" s="23">
        <v>15011</v>
      </c>
      <c r="J1128" s="23"/>
      <c r="K1128" s="86">
        <f t="shared" si="152"/>
        <v>15011</v>
      </c>
      <c r="L1128" s="355"/>
      <c r="M1128" s="344"/>
      <c r="N1128" s="246"/>
      <c r="O1128" s="86">
        <f t="shared" si="153"/>
        <v>0</v>
      </c>
      <c r="P1128" s="355"/>
      <c r="Q1128" s="344">
        <f t="shared" si="149"/>
        <v>15011</v>
      </c>
      <c r="R1128" s="23">
        <f t="shared" si="150"/>
        <v>0</v>
      </c>
      <c r="S1128" s="86">
        <f t="shared" si="151"/>
        <v>15011</v>
      </c>
    </row>
    <row r="1129" spans="2:19" x14ac:dyDescent="0.2">
      <c r="B1129" s="83">
        <f t="shared" si="154"/>
        <v>537</v>
      </c>
      <c r="C1129" s="7"/>
      <c r="D1129" s="7"/>
      <c r="E1129" s="7"/>
      <c r="F1129" s="25" t="s">
        <v>171</v>
      </c>
      <c r="G1129" s="7">
        <v>620</v>
      </c>
      <c r="H1129" s="7" t="s">
        <v>135</v>
      </c>
      <c r="I1129" s="23">
        <v>5474</v>
      </c>
      <c r="J1129" s="23"/>
      <c r="K1129" s="86">
        <f t="shared" si="152"/>
        <v>5474</v>
      </c>
      <c r="L1129" s="355"/>
      <c r="M1129" s="344"/>
      <c r="N1129" s="246"/>
      <c r="O1129" s="86">
        <f t="shared" si="153"/>
        <v>0</v>
      </c>
      <c r="P1129" s="355"/>
      <c r="Q1129" s="344">
        <f t="shared" si="149"/>
        <v>5474</v>
      </c>
      <c r="R1129" s="23">
        <f t="shared" si="150"/>
        <v>0</v>
      </c>
      <c r="S1129" s="86">
        <f t="shared" si="151"/>
        <v>5474</v>
      </c>
    </row>
    <row r="1130" spans="2:19" x14ac:dyDescent="0.2">
      <c r="B1130" s="83">
        <f t="shared" si="154"/>
        <v>538</v>
      </c>
      <c r="C1130" s="7"/>
      <c r="D1130" s="7"/>
      <c r="E1130" s="7"/>
      <c r="F1130" s="25" t="s">
        <v>171</v>
      </c>
      <c r="G1130" s="7">
        <v>630</v>
      </c>
      <c r="H1130" s="7" t="s">
        <v>132</v>
      </c>
      <c r="I1130" s="23">
        <f>SUM(I1131:I1133)</f>
        <v>16680</v>
      </c>
      <c r="J1130" s="23">
        <f>SUM(J1131:J1133)</f>
        <v>0</v>
      </c>
      <c r="K1130" s="86">
        <f t="shared" si="152"/>
        <v>16680</v>
      </c>
      <c r="L1130" s="355"/>
      <c r="M1130" s="344"/>
      <c r="N1130" s="246"/>
      <c r="O1130" s="86">
        <f t="shared" si="153"/>
        <v>0</v>
      </c>
      <c r="P1130" s="355"/>
      <c r="Q1130" s="344">
        <f t="shared" si="149"/>
        <v>16680</v>
      </c>
      <c r="R1130" s="23">
        <f t="shared" si="150"/>
        <v>0</v>
      </c>
      <c r="S1130" s="86">
        <f t="shared" si="151"/>
        <v>16680</v>
      </c>
    </row>
    <row r="1131" spans="2:19" x14ac:dyDescent="0.2">
      <c r="B1131" s="83">
        <f t="shared" si="154"/>
        <v>539</v>
      </c>
      <c r="C1131" s="3"/>
      <c r="D1131" s="3"/>
      <c r="E1131" s="3"/>
      <c r="F1131" s="26" t="s">
        <v>171</v>
      </c>
      <c r="G1131" s="3">
        <v>633</v>
      </c>
      <c r="H1131" s="3" t="s">
        <v>136</v>
      </c>
      <c r="I1131" s="19">
        <v>14910</v>
      </c>
      <c r="J1131" s="19">
        <v>1082</v>
      </c>
      <c r="K1131" s="87">
        <f t="shared" si="152"/>
        <v>15992</v>
      </c>
      <c r="L1131" s="356"/>
      <c r="M1131" s="345"/>
      <c r="N1131" s="208"/>
      <c r="O1131" s="87">
        <f t="shared" si="153"/>
        <v>0</v>
      </c>
      <c r="P1131" s="356"/>
      <c r="Q1131" s="345">
        <f t="shared" si="149"/>
        <v>14910</v>
      </c>
      <c r="R1131" s="19">
        <f t="shared" si="150"/>
        <v>1082</v>
      </c>
      <c r="S1131" s="87">
        <f t="shared" si="151"/>
        <v>15992</v>
      </c>
    </row>
    <row r="1132" spans="2:19" x14ac:dyDescent="0.2">
      <c r="B1132" s="83">
        <f t="shared" si="154"/>
        <v>540</v>
      </c>
      <c r="C1132" s="3"/>
      <c r="D1132" s="3"/>
      <c r="E1132" s="3"/>
      <c r="F1132" s="26" t="s">
        <v>171</v>
      </c>
      <c r="G1132" s="3">
        <v>635</v>
      </c>
      <c r="H1132" s="3" t="s">
        <v>144</v>
      </c>
      <c r="I1132" s="19">
        <v>1100</v>
      </c>
      <c r="J1132" s="19">
        <v>-1082</v>
      </c>
      <c r="K1132" s="87">
        <f t="shared" si="152"/>
        <v>18</v>
      </c>
      <c r="L1132" s="356"/>
      <c r="M1132" s="345"/>
      <c r="N1132" s="208"/>
      <c r="O1132" s="87">
        <f t="shared" si="153"/>
        <v>0</v>
      </c>
      <c r="P1132" s="356"/>
      <c r="Q1132" s="345">
        <f t="shared" si="149"/>
        <v>1100</v>
      </c>
      <c r="R1132" s="19">
        <f t="shared" si="150"/>
        <v>-1082</v>
      </c>
      <c r="S1132" s="87">
        <f t="shared" si="151"/>
        <v>18</v>
      </c>
    </row>
    <row r="1133" spans="2:19" x14ac:dyDescent="0.2">
      <c r="B1133" s="83">
        <f t="shared" si="154"/>
        <v>541</v>
      </c>
      <c r="C1133" s="3"/>
      <c r="D1133" s="3"/>
      <c r="E1133" s="3"/>
      <c r="F1133" s="26" t="s">
        <v>171</v>
      </c>
      <c r="G1133" s="3">
        <v>637</v>
      </c>
      <c r="H1133" s="3" t="s">
        <v>133</v>
      </c>
      <c r="I1133" s="19">
        <v>670</v>
      </c>
      <c r="J1133" s="19"/>
      <c r="K1133" s="87">
        <f t="shared" si="152"/>
        <v>670</v>
      </c>
      <c r="L1133" s="356"/>
      <c r="M1133" s="345"/>
      <c r="N1133" s="208"/>
      <c r="O1133" s="87">
        <f t="shared" si="153"/>
        <v>0</v>
      </c>
      <c r="P1133" s="356"/>
      <c r="Q1133" s="345">
        <f t="shared" si="149"/>
        <v>670</v>
      </c>
      <c r="R1133" s="19">
        <f t="shared" si="150"/>
        <v>0</v>
      </c>
      <c r="S1133" s="87">
        <f t="shared" si="151"/>
        <v>670</v>
      </c>
    </row>
    <row r="1134" spans="2:19" x14ac:dyDescent="0.2">
      <c r="B1134" s="83">
        <f t="shared" si="154"/>
        <v>542</v>
      </c>
      <c r="C1134" s="6"/>
      <c r="D1134" s="6"/>
      <c r="E1134" s="6" t="s">
        <v>103</v>
      </c>
      <c r="F1134" s="29"/>
      <c r="G1134" s="6"/>
      <c r="H1134" s="6" t="s">
        <v>104</v>
      </c>
      <c r="I1134" s="40">
        <f>I1135+I1136+I1137+I1141</f>
        <v>50395</v>
      </c>
      <c r="J1134" s="40">
        <f>J1135+J1136+J1137+J1141</f>
        <v>0</v>
      </c>
      <c r="K1134" s="100">
        <f t="shared" si="152"/>
        <v>50395</v>
      </c>
      <c r="L1134" s="355"/>
      <c r="M1134" s="398">
        <v>0</v>
      </c>
      <c r="N1134" s="261"/>
      <c r="O1134" s="100">
        <f t="shared" si="153"/>
        <v>0</v>
      </c>
      <c r="P1134" s="355"/>
      <c r="Q1134" s="398">
        <f t="shared" si="149"/>
        <v>50395</v>
      </c>
      <c r="R1134" s="40">
        <f t="shared" si="150"/>
        <v>0</v>
      </c>
      <c r="S1134" s="100">
        <f t="shared" si="151"/>
        <v>50395</v>
      </c>
    </row>
    <row r="1135" spans="2:19" x14ac:dyDescent="0.2">
      <c r="B1135" s="83">
        <f t="shared" si="154"/>
        <v>543</v>
      </c>
      <c r="C1135" s="7"/>
      <c r="D1135" s="7"/>
      <c r="E1135" s="7"/>
      <c r="F1135" s="25" t="s">
        <v>171</v>
      </c>
      <c r="G1135" s="7">
        <v>610</v>
      </c>
      <c r="H1135" s="7" t="s">
        <v>142</v>
      </c>
      <c r="I1135" s="23">
        <v>19691</v>
      </c>
      <c r="J1135" s="23"/>
      <c r="K1135" s="86">
        <f t="shared" si="152"/>
        <v>19691</v>
      </c>
      <c r="L1135" s="355"/>
      <c r="M1135" s="344"/>
      <c r="N1135" s="246"/>
      <c r="O1135" s="86">
        <f t="shared" si="153"/>
        <v>0</v>
      </c>
      <c r="P1135" s="355"/>
      <c r="Q1135" s="344">
        <f t="shared" si="149"/>
        <v>19691</v>
      </c>
      <c r="R1135" s="23">
        <f t="shared" si="150"/>
        <v>0</v>
      </c>
      <c r="S1135" s="86">
        <f t="shared" si="151"/>
        <v>19691</v>
      </c>
    </row>
    <row r="1136" spans="2:19" x14ac:dyDescent="0.2">
      <c r="B1136" s="83">
        <f t="shared" si="154"/>
        <v>544</v>
      </c>
      <c r="C1136" s="7"/>
      <c r="D1136" s="7"/>
      <c r="E1136" s="7"/>
      <c r="F1136" s="25" t="s">
        <v>171</v>
      </c>
      <c r="G1136" s="7">
        <v>620</v>
      </c>
      <c r="H1136" s="7" t="s">
        <v>135</v>
      </c>
      <c r="I1136" s="23">
        <v>7204</v>
      </c>
      <c r="J1136" s="23"/>
      <c r="K1136" s="86">
        <f t="shared" si="152"/>
        <v>7204</v>
      </c>
      <c r="L1136" s="355"/>
      <c r="M1136" s="344"/>
      <c r="N1136" s="246"/>
      <c r="O1136" s="86">
        <f t="shared" si="153"/>
        <v>0</v>
      </c>
      <c r="P1136" s="355"/>
      <c r="Q1136" s="344">
        <f t="shared" si="149"/>
        <v>7204</v>
      </c>
      <c r="R1136" s="23">
        <f t="shared" si="150"/>
        <v>0</v>
      </c>
      <c r="S1136" s="86">
        <f t="shared" si="151"/>
        <v>7204</v>
      </c>
    </row>
    <row r="1137" spans="2:19" x14ac:dyDescent="0.2">
      <c r="B1137" s="83">
        <f t="shared" si="154"/>
        <v>545</v>
      </c>
      <c r="C1137" s="7"/>
      <c r="D1137" s="7"/>
      <c r="E1137" s="7"/>
      <c r="F1137" s="25" t="s">
        <v>171</v>
      </c>
      <c r="G1137" s="7">
        <v>630</v>
      </c>
      <c r="H1137" s="7" t="s">
        <v>132</v>
      </c>
      <c r="I1137" s="23">
        <f>SUM(I1138:I1140)</f>
        <v>23410</v>
      </c>
      <c r="J1137" s="23">
        <f>SUM(J1138:J1140)</f>
        <v>0</v>
      </c>
      <c r="K1137" s="86">
        <f t="shared" si="152"/>
        <v>23410</v>
      </c>
      <c r="L1137" s="355"/>
      <c r="M1137" s="344"/>
      <c r="N1137" s="246"/>
      <c r="O1137" s="86">
        <f t="shared" si="153"/>
        <v>0</v>
      </c>
      <c r="P1137" s="355"/>
      <c r="Q1137" s="344">
        <f t="shared" si="149"/>
        <v>23410</v>
      </c>
      <c r="R1137" s="23">
        <f t="shared" si="150"/>
        <v>0</v>
      </c>
      <c r="S1137" s="86">
        <f t="shared" si="151"/>
        <v>23410</v>
      </c>
    </row>
    <row r="1138" spans="2:19" x14ac:dyDescent="0.2">
      <c r="B1138" s="83">
        <f t="shared" si="154"/>
        <v>546</v>
      </c>
      <c r="C1138" s="3"/>
      <c r="D1138" s="3"/>
      <c r="E1138" s="3"/>
      <c r="F1138" s="26" t="s">
        <v>171</v>
      </c>
      <c r="G1138" s="3">
        <v>633</v>
      </c>
      <c r="H1138" s="3" t="s">
        <v>136</v>
      </c>
      <c r="I1138" s="19">
        <v>18275</v>
      </c>
      <c r="J1138" s="19">
        <v>1250</v>
      </c>
      <c r="K1138" s="87">
        <f t="shared" si="152"/>
        <v>19525</v>
      </c>
      <c r="L1138" s="356"/>
      <c r="M1138" s="345"/>
      <c r="N1138" s="208"/>
      <c r="O1138" s="87">
        <f t="shared" si="153"/>
        <v>0</v>
      </c>
      <c r="P1138" s="356"/>
      <c r="Q1138" s="345">
        <f t="shared" si="149"/>
        <v>18275</v>
      </c>
      <c r="R1138" s="19">
        <f t="shared" si="150"/>
        <v>1250</v>
      </c>
      <c r="S1138" s="87">
        <f t="shared" si="151"/>
        <v>19525</v>
      </c>
    </row>
    <row r="1139" spans="2:19" x14ac:dyDescent="0.2">
      <c r="B1139" s="83">
        <f t="shared" si="154"/>
        <v>547</v>
      </c>
      <c r="C1139" s="3"/>
      <c r="D1139" s="3"/>
      <c r="E1139" s="3"/>
      <c r="F1139" s="26" t="s">
        <v>171</v>
      </c>
      <c r="G1139" s="3">
        <v>635</v>
      </c>
      <c r="H1139" s="3" t="s">
        <v>144</v>
      </c>
      <c r="I1139" s="19">
        <v>4600</v>
      </c>
      <c r="J1139" s="19">
        <v>-1250</v>
      </c>
      <c r="K1139" s="87">
        <f t="shared" si="152"/>
        <v>3350</v>
      </c>
      <c r="L1139" s="356"/>
      <c r="M1139" s="345"/>
      <c r="N1139" s="208"/>
      <c r="O1139" s="87">
        <f t="shared" si="153"/>
        <v>0</v>
      </c>
      <c r="P1139" s="356"/>
      <c r="Q1139" s="345">
        <f t="shared" si="149"/>
        <v>4600</v>
      </c>
      <c r="R1139" s="19">
        <f t="shared" si="150"/>
        <v>-1250</v>
      </c>
      <c r="S1139" s="87">
        <f t="shared" si="151"/>
        <v>3350</v>
      </c>
    </row>
    <row r="1140" spans="2:19" x14ac:dyDescent="0.2">
      <c r="B1140" s="83">
        <f t="shared" si="154"/>
        <v>548</v>
      </c>
      <c r="C1140" s="3"/>
      <c r="D1140" s="3"/>
      <c r="E1140" s="3"/>
      <c r="F1140" s="26" t="s">
        <v>171</v>
      </c>
      <c r="G1140" s="3">
        <v>637</v>
      </c>
      <c r="H1140" s="3" t="s">
        <v>133</v>
      </c>
      <c r="I1140" s="19">
        <v>535</v>
      </c>
      <c r="J1140" s="19"/>
      <c r="K1140" s="87">
        <f t="shared" si="152"/>
        <v>535</v>
      </c>
      <c r="L1140" s="356"/>
      <c r="M1140" s="345"/>
      <c r="N1140" s="208"/>
      <c r="O1140" s="87">
        <f t="shared" si="153"/>
        <v>0</v>
      </c>
      <c r="P1140" s="356"/>
      <c r="Q1140" s="345">
        <f t="shared" si="149"/>
        <v>535</v>
      </c>
      <c r="R1140" s="19">
        <f t="shared" si="150"/>
        <v>0</v>
      </c>
      <c r="S1140" s="87">
        <f t="shared" si="151"/>
        <v>535</v>
      </c>
    </row>
    <row r="1141" spans="2:19" x14ac:dyDescent="0.2">
      <c r="B1141" s="83">
        <f t="shared" si="154"/>
        <v>549</v>
      </c>
      <c r="C1141" s="3"/>
      <c r="D1141" s="3"/>
      <c r="E1141" s="3"/>
      <c r="F1141" s="25" t="s">
        <v>171</v>
      </c>
      <c r="G1141" s="7">
        <v>640</v>
      </c>
      <c r="H1141" s="7" t="s">
        <v>140</v>
      </c>
      <c r="I1141" s="23">
        <v>90</v>
      </c>
      <c r="J1141" s="23"/>
      <c r="K1141" s="86">
        <f t="shared" si="152"/>
        <v>90</v>
      </c>
      <c r="L1141" s="355"/>
      <c r="M1141" s="344"/>
      <c r="N1141" s="246"/>
      <c r="O1141" s="86">
        <f t="shared" si="153"/>
        <v>0</v>
      </c>
      <c r="P1141" s="355"/>
      <c r="Q1141" s="344">
        <f t="shared" si="149"/>
        <v>90</v>
      </c>
      <c r="R1141" s="23">
        <f t="shared" si="150"/>
        <v>0</v>
      </c>
      <c r="S1141" s="86">
        <f t="shared" si="151"/>
        <v>90</v>
      </c>
    </row>
    <row r="1142" spans="2:19" x14ac:dyDescent="0.2">
      <c r="B1142" s="83">
        <f t="shared" si="154"/>
        <v>550</v>
      </c>
      <c r="C1142" s="6"/>
      <c r="D1142" s="6"/>
      <c r="E1142" s="6" t="s">
        <v>106</v>
      </c>
      <c r="F1142" s="29"/>
      <c r="G1142" s="6"/>
      <c r="H1142" s="6" t="s">
        <v>107</v>
      </c>
      <c r="I1142" s="40">
        <f>I1143+I1144+I1145+I1149</f>
        <v>49740</v>
      </c>
      <c r="J1142" s="40">
        <f>J1143+J1144+J1145+J1149</f>
        <v>0</v>
      </c>
      <c r="K1142" s="100">
        <f t="shared" si="152"/>
        <v>49740</v>
      </c>
      <c r="L1142" s="355"/>
      <c r="M1142" s="398">
        <v>0</v>
      </c>
      <c r="N1142" s="261"/>
      <c r="O1142" s="100">
        <f t="shared" si="153"/>
        <v>0</v>
      </c>
      <c r="P1142" s="355"/>
      <c r="Q1142" s="398">
        <f t="shared" si="149"/>
        <v>49740</v>
      </c>
      <c r="R1142" s="40">
        <f t="shared" si="150"/>
        <v>0</v>
      </c>
      <c r="S1142" s="100">
        <f t="shared" si="151"/>
        <v>49740</v>
      </c>
    </row>
    <row r="1143" spans="2:19" x14ac:dyDescent="0.2">
      <c r="B1143" s="83">
        <f t="shared" si="154"/>
        <v>551</v>
      </c>
      <c r="C1143" s="7"/>
      <c r="D1143" s="7"/>
      <c r="E1143" s="7"/>
      <c r="F1143" s="25" t="s">
        <v>171</v>
      </c>
      <c r="G1143" s="7">
        <v>610</v>
      </c>
      <c r="H1143" s="7" t="s">
        <v>142</v>
      </c>
      <c r="I1143" s="23">
        <v>20739</v>
      </c>
      <c r="J1143" s="23"/>
      <c r="K1143" s="86">
        <f t="shared" si="152"/>
        <v>20739</v>
      </c>
      <c r="L1143" s="355"/>
      <c r="M1143" s="344"/>
      <c r="N1143" s="246"/>
      <c r="O1143" s="86">
        <f t="shared" si="153"/>
        <v>0</v>
      </c>
      <c r="P1143" s="355"/>
      <c r="Q1143" s="344">
        <f t="shared" si="149"/>
        <v>20739</v>
      </c>
      <c r="R1143" s="23">
        <f t="shared" si="150"/>
        <v>0</v>
      </c>
      <c r="S1143" s="86">
        <f t="shared" si="151"/>
        <v>20739</v>
      </c>
    </row>
    <row r="1144" spans="2:19" x14ac:dyDescent="0.2">
      <c r="B1144" s="83">
        <f t="shared" si="154"/>
        <v>552</v>
      </c>
      <c r="C1144" s="7"/>
      <c r="D1144" s="7"/>
      <c r="E1144" s="7"/>
      <c r="F1144" s="25" t="s">
        <v>171</v>
      </c>
      <c r="G1144" s="7">
        <v>620</v>
      </c>
      <c r="H1144" s="7" t="s">
        <v>135</v>
      </c>
      <c r="I1144" s="23">
        <v>7591</v>
      </c>
      <c r="J1144" s="23"/>
      <c r="K1144" s="86">
        <f t="shared" si="152"/>
        <v>7591</v>
      </c>
      <c r="L1144" s="355"/>
      <c r="M1144" s="344"/>
      <c r="N1144" s="246"/>
      <c r="O1144" s="86">
        <f t="shared" si="153"/>
        <v>0</v>
      </c>
      <c r="P1144" s="355"/>
      <c r="Q1144" s="344">
        <f t="shared" si="149"/>
        <v>7591</v>
      </c>
      <c r="R1144" s="23">
        <f t="shared" si="150"/>
        <v>0</v>
      </c>
      <c r="S1144" s="86">
        <f t="shared" si="151"/>
        <v>7591</v>
      </c>
    </row>
    <row r="1145" spans="2:19" x14ac:dyDescent="0.2">
      <c r="B1145" s="83">
        <f t="shared" si="154"/>
        <v>553</v>
      </c>
      <c r="C1145" s="7"/>
      <c r="D1145" s="7"/>
      <c r="E1145" s="7"/>
      <c r="F1145" s="25" t="s">
        <v>171</v>
      </c>
      <c r="G1145" s="7">
        <v>630</v>
      </c>
      <c r="H1145" s="7" t="s">
        <v>132</v>
      </c>
      <c r="I1145" s="23">
        <f>SUM(I1146:I1148)</f>
        <v>21330</v>
      </c>
      <c r="J1145" s="23">
        <f>SUM(J1146:J1148)</f>
        <v>0</v>
      </c>
      <c r="K1145" s="86">
        <f t="shared" si="152"/>
        <v>21330</v>
      </c>
      <c r="L1145" s="355"/>
      <c r="M1145" s="344"/>
      <c r="N1145" s="246"/>
      <c r="O1145" s="86">
        <f t="shared" si="153"/>
        <v>0</v>
      </c>
      <c r="P1145" s="355"/>
      <c r="Q1145" s="344">
        <f t="shared" si="149"/>
        <v>21330</v>
      </c>
      <c r="R1145" s="23">
        <f t="shared" si="150"/>
        <v>0</v>
      </c>
      <c r="S1145" s="86">
        <f t="shared" si="151"/>
        <v>21330</v>
      </c>
    </row>
    <row r="1146" spans="2:19" x14ac:dyDescent="0.2">
      <c r="B1146" s="83">
        <f t="shared" si="154"/>
        <v>554</v>
      </c>
      <c r="C1146" s="3"/>
      <c r="D1146" s="3"/>
      <c r="E1146" s="3"/>
      <c r="F1146" s="26" t="s">
        <v>171</v>
      </c>
      <c r="G1146" s="3">
        <v>633</v>
      </c>
      <c r="H1146" s="3" t="s">
        <v>136</v>
      </c>
      <c r="I1146" s="19">
        <v>19180</v>
      </c>
      <c r="J1146" s="19">
        <v>1500</v>
      </c>
      <c r="K1146" s="87">
        <f t="shared" si="152"/>
        <v>20680</v>
      </c>
      <c r="L1146" s="356"/>
      <c r="M1146" s="345"/>
      <c r="N1146" s="208"/>
      <c r="O1146" s="87">
        <f t="shared" si="153"/>
        <v>0</v>
      </c>
      <c r="P1146" s="356"/>
      <c r="Q1146" s="345">
        <f t="shared" si="149"/>
        <v>19180</v>
      </c>
      <c r="R1146" s="19">
        <f t="shared" si="150"/>
        <v>1500</v>
      </c>
      <c r="S1146" s="87">
        <f t="shared" si="151"/>
        <v>20680</v>
      </c>
    </row>
    <row r="1147" spans="2:19" x14ac:dyDescent="0.2">
      <c r="B1147" s="83">
        <f t="shared" si="154"/>
        <v>555</v>
      </c>
      <c r="C1147" s="3"/>
      <c r="D1147" s="3"/>
      <c r="E1147" s="3"/>
      <c r="F1147" s="26" t="s">
        <v>171</v>
      </c>
      <c r="G1147" s="3">
        <v>635</v>
      </c>
      <c r="H1147" s="3" t="s">
        <v>144</v>
      </c>
      <c r="I1147" s="19">
        <v>1600</v>
      </c>
      <c r="J1147" s="19">
        <v>-1500</v>
      </c>
      <c r="K1147" s="87">
        <f t="shared" si="152"/>
        <v>100</v>
      </c>
      <c r="L1147" s="356"/>
      <c r="M1147" s="345"/>
      <c r="N1147" s="208"/>
      <c r="O1147" s="87">
        <f t="shared" si="153"/>
        <v>0</v>
      </c>
      <c r="P1147" s="356"/>
      <c r="Q1147" s="345">
        <f t="shared" si="149"/>
        <v>1600</v>
      </c>
      <c r="R1147" s="19">
        <f t="shared" si="150"/>
        <v>-1500</v>
      </c>
      <c r="S1147" s="87">
        <f t="shared" si="151"/>
        <v>100</v>
      </c>
    </row>
    <row r="1148" spans="2:19" x14ac:dyDescent="0.2">
      <c r="B1148" s="83">
        <f t="shared" si="154"/>
        <v>556</v>
      </c>
      <c r="C1148" s="3"/>
      <c r="D1148" s="3"/>
      <c r="E1148" s="3"/>
      <c r="F1148" s="26" t="s">
        <v>171</v>
      </c>
      <c r="G1148" s="3">
        <v>637</v>
      </c>
      <c r="H1148" s="3" t="s">
        <v>133</v>
      </c>
      <c r="I1148" s="19">
        <v>550</v>
      </c>
      <c r="J1148" s="19"/>
      <c r="K1148" s="87">
        <f t="shared" si="152"/>
        <v>550</v>
      </c>
      <c r="L1148" s="356"/>
      <c r="M1148" s="345"/>
      <c r="N1148" s="208"/>
      <c r="O1148" s="87">
        <f t="shared" si="153"/>
        <v>0</v>
      </c>
      <c r="P1148" s="356"/>
      <c r="Q1148" s="345">
        <f t="shared" si="149"/>
        <v>550</v>
      </c>
      <c r="R1148" s="19">
        <f t="shared" si="150"/>
        <v>0</v>
      </c>
      <c r="S1148" s="87">
        <f t="shared" si="151"/>
        <v>550</v>
      </c>
    </row>
    <row r="1149" spans="2:19" x14ac:dyDescent="0.2">
      <c r="B1149" s="83">
        <f t="shared" si="154"/>
        <v>557</v>
      </c>
      <c r="C1149" s="3"/>
      <c r="D1149" s="3"/>
      <c r="E1149" s="3"/>
      <c r="F1149" s="25" t="s">
        <v>171</v>
      </c>
      <c r="G1149" s="7">
        <v>640</v>
      </c>
      <c r="H1149" s="7" t="s">
        <v>140</v>
      </c>
      <c r="I1149" s="23">
        <v>80</v>
      </c>
      <c r="J1149" s="23"/>
      <c r="K1149" s="86">
        <f t="shared" si="152"/>
        <v>80</v>
      </c>
      <c r="L1149" s="355"/>
      <c r="M1149" s="344"/>
      <c r="N1149" s="246"/>
      <c r="O1149" s="86">
        <f t="shared" si="153"/>
        <v>0</v>
      </c>
      <c r="P1149" s="355"/>
      <c r="Q1149" s="344">
        <f t="shared" si="149"/>
        <v>80</v>
      </c>
      <c r="R1149" s="23">
        <f t="shared" si="150"/>
        <v>0</v>
      </c>
      <c r="S1149" s="86">
        <f t="shared" si="151"/>
        <v>80</v>
      </c>
    </row>
    <row r="1150" spans="2:19" x14ac:dyDescent="0.2">
      <c r="B1150" s="83">
        <f t="shared" si="154"/>
        <v>558</v>
      </c>
      <c r="C1150" s="6"/>
      <c r="D1150" s="6"/>
      <c r="E1150" s="6" t="s">
        <v>91</v>
      </c>
      <c r="F1150" s="29"/>
      <c r="G1150" s="6"/>
      <c r="H1150" s="6" t="s">
        <v>92</v>
      </c>
      <c r="I1150" s="40">
        <f>I1151+I1152+I1153+I1157</f>
        <v>76862</v>
      </c>
      <c r="J1150" s="40">
        <f>J1151+J1152+J1153+J1157</f>
        <v>0</v>
      </c>
      <c r="K1150" s="100">
        <f t="shared" si="152"/>
        <v>76862</v>
      </c>
      <c r="L1150" s="355"/>
      <c r="M1150" s="398">
        <v>0</v>
      </c>
      <c r="N1150" s="261"/>
      <c r="O1150" s="100">
        <f t="shared" si="153"/>
        <v>0</v>
      </c>
      <c r="P1150" s="355"/>
      <c r="Q1150" s="398">
        <f t="shared" si="149"/>
        <v>76862</v>
      </c>
      <c r="R1150" s="40">
        <f t="shared" si="150"/>
        <v>0</v>
      </c>
      <c r="S1150" s="100">
        <f t="shared" si="151"/>
        <v>76862</v>
      </c>
    </row>
    <row r="1151" spans="2:19" x14ac:dyDescent="0.2">
      <c r="B1151" s="83">
        <f t="shared" si="154"/>
        <v>559</v>
      </c>
      <c r="C1151" s="7"/>
      <c r="D1151" s="7"/>
      <c r="E1151" s="7"/>
      <c r="F1151" s="25" t="s">
        <v>171</v>
      </c>
      <c r="G1151" s="7">
        <v>610</v>
      </c>
      <c r="H1151" s="7" t="s">
        <v>142</v>
      </c>
      <c r="I1151" s="23">
        <v>31163</v>
      </c>
      <c r="J1151" s="23"/>
      <c r="K1151" s="86">
        <f t="shared" si="152"/>
        <v>31163</v>
      </c>
      <c r="L1151" s="355"/>
      <c r="M1151" s="344"/>
      <c r="N1151" s="246"/>
      <c r="O1151" s="86">
        <f t="shared" si="153"/>
        <v>0</v>
      </c>
      <c r="P1151" s="355"/>
      <c r="Q1151" s="344">
        <f t="shared" si="149"/>
        <v>31163</v>
      </c>
      <c r="R1151" s="23">
        <f t="shared" si="150"/>
        <v>0</v>
      </c>
      <c r="S1151" s="86">
        <f t="shared" si="151"/>
        <v>31163</v>
      </c>
    </row>
    <row r="1152" spans="2:19" x14ac:dyDescent="0.2">
      <c r="B1152" s="83">
        <f t="shared" si="154"/>
        <v>560</v>
      </c>
      <c r="C1152" s="7"/>
      <c r="D1152" s="7"/>
      <c r="E1152" s="7"/>
      <c r="F1152" s="25" t="s">
        <v>171</v>
      </c>
      <c r="G1152" s="7">
        <v>620</v>
      </c>
      <c r="H1152" s="7" t="s">
        <v>135</v>
      </c>
      <c r="I1152" s="23">
        <v>11624</v>
      </c>
      <c r="J1152" s="23"/>
      <c r="K1152" s="86">
        <f t="shared" si="152"/>
        <v>11624</v>
      </c>
      <c r="L1152" s="355"/>
      <c r="M1152" s="344"/>
      <c r="N1152" s="246"/>
      <c r="O1152" s="86">
        <f t="shared" si="153"/>
        <v>0</v>
      </c>
      <c r="P1152" s="355"/>
      <c r="Q1152" s="344">
        <f t="shared" si="149"/>
        <v>11624</v>
      </c>
      <c r="R1152" s="23">
        <f t="shared" si="150"/>
        <v>0</v>
      </c>
      <c r="S1152" s="86">
        <f t="shared" si="151"/>
        <v>11624</v>
      </c>
    </row>
    <row r="1153" spans="2:19" x14ac:dyDescent="0.2">
      <c r="B1153" s="83">
        <f t="shared" si="154"/>
        <v>561</v>
      </c>
      <c r="C1153" s="7"/>
      <c r="D1153" s="7"/>
      <c r="E1153" s="7"/>
      <c r="F1153" s="25" t="s">
        <v>171</v>
      </c>
      <c r="G1153" s="7">
        <v>630</v>
      </c>
      <c r="H1153" s="7" t="s">
        <v>132</v>
      </c>
      <c r="I1153" s="23">
        <f>SUM(I1154:I1156)</f>
        <v>33583</v>
      </c>
      <c r="J1153" s="23"/>
      <c r="K1153" s="86">
        <f t="shared" si="152"/>
        <v>33583</v>
      </c>
      <c r="L1153" s="355"/>
      <c r="M1153" s="344"/>
      <c r="N1153" s="246"/>
      <c r="O1153" s="86">
        <f t="shared" si="153"/>
        <v>0</v>
      </c>
      <c r="P1153" s="355"/>
      <c r="Q1153" s="344">
        <f t="shared" si="149"/>
        <v>33583</v>
      </c>
      <c r="R1153" s="23">
        <f t="shared" si="150"/>
        <v>0</v>
      </c>
      <c r="S1153" s="86">
        <f t="shared" si="151"/>
        <v>33583</v>
      </c>
    </row>
    <row r="1154" spans="2:19" x14ac:dyDescent="0.2">
      <c r="B1154" s="83">
        <f t="shared" si="154"/>
        <v>562</v>
      </c>
      <c r="C1154" s="3"/>
      <c r="D1154" s="3"/>
      <c r="E1154" s="3"/>
      <c r="F1154" s="26" t="s">
        <v>171</v>
      </c>
      <c r="G1154" s="3">
        <v>633</v>
      </c>
      <c r="H1154" s="3" t="s">
        <v>136</v>
      </c>
      <c r="I1154" s="19">
        <f>30940+627</f>
        <v>31567</v>
      </c>
      <c r="J1154" s="19"/>
      <c r="K1154" s="87">
        <f t="shared" si="152"/>
        <v>31567</v>
      </c>
      <c r="L1154" s="356"/>
      <c r="M1154" s="345"/>
      <c r="N1154" s="208"/>
      <c r="O1154" s="87">
        <f t="shared" si="153"/>
        <v>0</v>
      </c>
      <c r="P1154" s="356"/>
      <c r="Q1154" s="345">
        <f t="shared" si="149"/>
        <v>31567</v>
      </c>
      <c r="R1154" s="19">
        <f t="shared" si="150"/>
        <v>0</v>
      </c>
      <c r="S1154" s="87">
        <f t="shared" si="151"/>
        <v>31567</v>
      </c>
    </row>
    <row r="1155" spans="2:19" x14ac:dyDescent="0.2">
      <c r="B1155" s="83">
        <f t="shared" si="154"/>
        <v>563</v>
      </c>
      <c r="C1155" s="3"/>
      <c r="D1155" s="3"/>
      <c r="E1155" s="3"/>
      <c r="F1155" s="26" t="s">
        <v>171</v>
      </c>
      <c r="G1155" s="3">
        <v>635</v>
      </c>
      <c r="H1155" s="3" t="s">
        <v>144</v>
      </c>
      <c r="I1155" s="19">
        <f>1350-54</f>
        <v>1296</v>
      </c>
      <c r="J1155" s="19"/>
      <c r="K1155" s="87">
        <f t="shared" si="152"/>
        <v>1296</v>
      </c>
      <c r="L1155" s="356"/>
      <c r="M1155" s="345"/>
      <c r="N1155" s="208"/>
      <c r="O1155" s="87">
        <f t="shared" si="153"/>
        <v>0</v>
      </c>
      <c r="P1155" s="356"/>
      <c r="Q1155" s="345">
        <f t="shared" si="149"/>
        <v>1296</v>
      </c>
      <c r="R1155" s="19">
        <f t="shared" si="150"/>
        <v>0</v>
      </c>
      <c r="S1155" s="87">
        <f t="shared" si="151"/>
        <v>1296</v>
      </c>
    </row>
    <row r="1156" spans="2:19" x14ac:dyDescent="0.2">
      <c r="B1156" s="83">
        <f t="shared" si="154"/>
        <v>564</v>
      </c>
      <c r="C1156" s="3"/>
      <c r="D1156" s="3"/>
      <c r="E1156" s="3"/>
      <c r="F1156" s="26" t="s">
        <v>171</v>
      </c>
      <c r="G1156" s="3">
        <v>637</v>
      </c>
      <c r="H1156" s="3" t="s">
        <v>133</v>
      </c>
      <c r="I1156" s="19">
        <v>720</v>
      </c>
      <c r="J1156" s="19"/>
      <c r="K1156" s="87">
        <f t="shared" si="152"/>
        <v>720</v>
      </c>
      <c r="L1156" s="356"/>
      <c r="M1156" s="345"/>
      <c r="N1156" s="208"/>
      <c r="O1156" s="87">
        <f t="shared" si="153"/>
        <v>0</v>
      </c>
      <c r="P1156" s="356"/>
      <c r="Q1156" s="345">
        <f t="shared" si="149"/>
        <v>720</v>
      </c>
      <c r="R1156" s="19">
        <f t="shared" si="150"/>
        <v>0</v>
      </c>
      <c r="S1156" s="87">
        <f t="shared" si="151"/>
        <v>720</v>
      </c>
    </row>
    <row r="1157" spans="2:19" x14ac:dyDescent="0.2">
      <c r="B1157" s="83">
        <f t="shared" si="154"/>
        <v>565</v>
      </c>
      <c r="C1157" s="7"/>
      <c r="D1157" s="7"/>
      <c r="E1157" s="7"/>
      <c r="F1157" s="25" t="s">
        <v>171</v>
      </c>
      <c r="G1157" s="7">
        <v>640</v>
      </c>
      <c r="H1157" s="7" t="s">
        <v>140</v>
      </c>
      <c r="I1157" s="23">
        <v>492</v>
      </c>
      <c r="J1157" s="23"/>
      <c r="K1157" s="86">
        <f t="shared" si="152"/>
        <v>492</v>
      </c>
      <c r="L1157" s="355"/>
      <c r="M1157" s="344"/>
      <c r="N1157" s="246"/>
      <c r="O1157" s="86">
        <f t="shared" si="153"/>
        <v>0</v>
      </c>
      <c r="P1157" s="355"/>
      <c r="Q1157" s="344">
        <f t="shared" si="149"/>
        <v>492</v>
      </c>
      <c r="R1157" s="23">
        <f t="shared" si="150"/>
        <v>0</v>
      </c>
      <c r="S1157" s="86">
        <f t="shared" si="151"/>
        <v>492</v>
      </c>
    </row>
    <row r="1158" spans="2:19" x14ac:dyDescent="0.2">
      <c r="B1158" s="83">
        <f t="shared" si="154"/>
        <v>566</v>
      </c>
      <c r="C1158" s="6"/>
      <c r="D1158" s="6"/>
      <c r="E1158" s="6" t="s">
        <v>88</v>
      </c>
      <c r="F1158" s="29"/>
      <c r="G1158" s="6"/>
      <c r="H1158" s="6" t="s">
        <v>89</v>
      </c>
      <c r="I1158" s="40">
        <f>I1159+I1160+I1161</f>
        <v>79204</v>
      </c>
      <c r="J1158" s="40">
        <f>J1159+J1160+J1161</f>
        <v>365</v>
      </c>
      <c r="K1158" s="100">
        <f t="shared" si="152"/>
        <v>79569</v>
      </c>
      <c r="L1158" s="355"/>
      <c r="M1158" s="398">
        <v>0</v>
      </c>
      <c r="N1158" s="261"/>
      <c r="O1158" s="100">
        <f t="shared" si="153"/>
        <v>0</v>
      </c>
      <c r="P1158" s="355"/>
      <c r="Q1158" s="398">
        <f t="shared" si="149"/>
        <v>79204</v>
      </c>
      <c r="R1158" s="40">
        <f t="shared" si="150"/>
        <v>365</v>
      </c>
      <c r="S1158" s="100">
        <f t="shared" si="151"/>
        <v>79569</v>
      </c>
    </row>
    <row r="1159" spans="2:19" x14ac:dyDescent="0.2">
      <c r="B1159" s="83">
        <f t="shared" si="154"/>
        <v>567</v>
      </c>
      <c r="C1159" s="7"/>
      <c r="D1159" s="7"/>
      <c r="E1159" s="7"/>
      <c r="F1159" s="25" t="s">
        <v>171</v>
      </c>
      <c r="G1159" s="7">
        <v>610</v>
      </c>
      <c r="H1159" s="7" t="s">
        <v>142</v>
      </c>
      <c r="I1159" s="23">
        <v>34488</v>
      </c>
      <c r="J1159" s="23"/>
      <c r="K1159" s="86">
        <f t="shared" si="152"/>
        <v>34488</v>
      </c>
      <c r="L1159" s="355"/>
      <c r="M1159" s="344"/>
      <c r="N1159" s="246"/>
      <c r="O1159" s="86">
        <f t="shared" si="153"/>
        <v>0</v>
      </c>
      <c r="P1159" s="355"/>
      <c r="Q1159" s="344">
        <f t="shared" si="149"/>
        <v>34488</v>
      </c>
      <c r="R1159" s="23">
        <f t="shared" si="150"/>
        <v>0</v>
      </c>
      <c r="S1159" s="86">
        <f t="shared" si="151"/>
        <v>34488</v>
      </c>
    </row>
    <row r="1160" spans="2:19" x14ac:dyDescent="0.2">
      <c r="B1160" s="83">
        <f t="shared" si="154"/>
        <v>568</v>
      </c>
      <c r="C1160" s="7"/>
      <c r="D1160" s="7"/>
      <c r="E1160" s="7"/>
      <c r="F1160" s="25" t="s">
        <v>171</v>
      </c>
      <c r="G1160" s="7">
        <v>620</v>
      </c>
      <c r="H1160" s="7" t="s">
        <v>135</v>
      </c>
      <c r="I1160" s="23">
        <v>12671</v>
      </c>
      <c r="J1160" s="23"/>
      <c r="K1160" s="86">
        <f t="shared" si="152"/>
        <v>12671</v>
      </c>
      <c r="L1160" s="355"/>
      <c r="M1160" s="344"/>
      <c r="N1160" s="246"/>
      <c r="O1160" s="86">
        <f t="shared" si="153"/>
        <v>0</v>
      </c>
      <c r="P1160" s="355"/>
      <c r="Q1160" s="344">
        <f t="shared" si="149"/>
        <v>12671</v>
      </c>
      <c r="R1160" s="23">
        <f t="shared" si="150"/>
        <v>0</v>
      </c>
      <c r="S1160" s="86">
        <f t="shared" si="151"/>
        <v>12671</v>
      </c>
    </row>
    <row r="1161" spans="2:19" x14ac:dyDescent="0.2">
      <c r="B1161" s="83">
        <f t="shared" si="154"/>
        <v>569</v>
      </c>
      <c r="C1161" s="7"/>
      <c r="D1161" s="7"/>
      <c r="E1161" s="7"/>
      <c r="F1161" s="25" t="s">
        <v>171</v>
      </c>
      <c r="G1161" s="7">
        <v>630</v>
      </c>
      <c r="H1161" s="7" t="s">
        <v>132</v>
      </c>
      <c r="I1161" s="23">
        <f>SUM(I1162:I1164)</f>
        <v>32045</v>
      </c>
      <c r="J1161" s="23">
        <f>SUM(J1162:J1164)</f>
        <v>365</v>
      </c>
      <c r="K1161" s="86">
        <f t="shared" si="152"/>
        <v>32410</v>
      </c>
      <c r="L1161" s="355"/>
      <c r="M1161" s="344"/>
      <c r="N1161" s="246"/>
      <c r="O1161" s="86">
        <f t="shared" si="153"/>
        <v>0</v>
      </c>
      <c r="P1161" s="355"/>
      <c r="Q1161" s="344">
        <f t="shared" si="149"/>
        <v>32045</v>
      </c>
      <c r="R1161" s="23">
        <f t="shared" si="150"/>
        <v>365</v>
      </c>
      <c r="S1161" s="86">
        <f t="shared" si="151"/>
        <v>32410</v>
      </c>
    </row>
    <row r="1162" spans="2:19" x14ac:dyDescent="0.2">
      <c r="B1162" s="83">
        <f t="shared" si="154"/>
        <v>570</v>
      </c>
      <c r="C1162" s="3"/>
      <c r="D1162" s="3"/>
      <c r="E1162" s="3"/>
      <c r="F1162" s="26" t="s">
        <v>171</v>
      </c>
      <c r="G1162" s="3">
        <v>633</v>
      </c>
      <c r="H1162" s="3" t="s">
        <v>136</v>
      </c>
      <c r="I1162" s="19">
        <f>29645+1000</f>
        <v>30645</v>
      </c>
      <c r="J1162" s="19"/>
      <c r="K1162" s="87">
        <f t="shared" si="152"/>
        <v>30645</v>
      </c>
      <c r="L1162" s="356"/>
      <c r="M1162" s="345"/>
      <c r="N1162" s="208"/>
      <c r="O1162" s="87">
        <f t="shared" si="153"/>
        <v>0</v>
      </c>
      <c r="P1162" s="356"/>
      <c r="Q1162" s="345">
        <f t="shared" si="149"/>
        <v>30645</v>
      </c>
      <c r="R1162" s="19">
        <f t="shared" si="150"/>
        <v>0</v>
      </c>
      <c r="S1162" s="87">
        <f t="shared" si="151"/>
        <v>30645</v>
      </c>
    </row>
    <row r="1163" spans="2:19" x14ac:dyDescent="0.2">
      <c r="B1163" s="83">
        <f t="shared" si="154"/>
        <v>571</v>
      </c>
      <c r="C1163" s="3"/>
      <c r="D1163" s="3"/>
      <c r="E1163" s="3"/>
      <c r="F1163" s="26" t="s">
        <v>171</v>
      </c>
      <c r="G1163" s="3">
        <v>635</v>
      </c>
      <c r="H1163" s="3" t="s">
        <v>144</v>
      </c>
      <c r="I1163" s="19">
        <f>1500-1000</f>
        <v>500</v>
      </c>
      <c r="J1163" s="19"/>
      <c r="K1163" s="87">
        <f t="shared" si="152"/>
        <v>500</v>
      </c>
      <c r="L1163" s="356"/>
      <c r="M1163" s="345"/>
      <c r="N1163" s="208"/>
      <c r="O1163" s="87">
        <f t="shared" si="153"/>
        <v>0</v>
      </c>
      <c r="P1163" s="356"/>
      <c r="Q1163" s="345">
        <f t="shared" si="149"/>
        <v>500</v>
      </c>
      <c r="R1163" s="19">
        <f t="shared" si="150"/>
        <v>0</v>
      </c>
      <c r="S1163" s="87">
        <f t="shared" si="151"/>
        <v>500</v>
      </c>
    </row>
    <row r="1164" spans="2:19" x14ac:dyDescent="0.2">
      <c r="B1164" s="83">
        <f t="shared" si="154"/>
        <v>572</v>
      </c>
      <c r="C1164" s="3"/>
      <c r="D1164" s="3"/>
      <c r="E1164" s="3"/>
      <c r="F1164" s="26" t="s">
        <v>171</v>
      </c>
      <c r="G1164" s="3">
        <v>637</v>
      </c>
      <c r="H1164" s="3" t="s">
        <v>133</v>
      </c>
      <c r="I1164" s="19">
        <v>900</v>
      </c>
      <c r="J1164" s="19">
        <v>365</v>
      </c>
      <c r="K1164" s="87">
        <f t="shared" si="152"/>
        <v>1265</v>
      </c>
      <c r="L1164" s="356"/>
      <c r="M1164" s="345"/>
      <c r="N1164" s="208"/>
      <c r="O1164" s="87">
        <f t="shared" si="153"/>
        <v>0</v>
      </c>
      <c r="P1164" s="356"/>
      <c r="Q1164" s="345">
        <f t="shared" si="149"/>
        <v>900</v>
      </c>
      <c r="R1164" s="19">
        <f t="shared" si="150"/>
        <v>365</v>
      </c>
      <c r="S1164" s="87">
        <f t="shared" si="151"/>
        <v>1265</v>
      </c>
    </row>
    <row r="1165" spans="2:19" x14ac:dyDescent="0.2">
      <c r="B1165" s="83">
        <f t="shared" si="154"/>
        <v>573</v>
      </c>
      <c r="C1165" s="6"/>
      <c r="D1165" s="6"/>
      <c r="E1165" s="6" t="s">
        <v>110</v>
      </c>
      <c r="F1165" s="29"/>
      <c r="G1165" s="6"/>
      <c r="H1165" s="6" t="s">
        <v>111</v>
      </c>
      <c r="I1165" s="40">
        <f>I1166+I1167+I1168+I1172</f>
        <v>46220</v>
      </c>
      <c r="J1165" s="40">
        <f>J1166+J1167+J1168+J1172</f>
        <v>0</v>
      </c>
      <c r="K1165" s="100">
        <f t="shared" si="152"/>
        <v>46220</v>
      </c>
      <c r="L1165" s="355"/>
      <c r="M1165" s="398">
        <v>0</v>
      </c>
      <c r="N1165" s="261"/>
      <c r="O1165" s="100">
        <f t="shared" si="153"/>
        <v>0</v>
      </c>
      <c r="P1165" s="355"/>
      <c r="Q1165" s="398">
        <f t="shared" si="149"/>
        <v>46220</v>
      </c>
      <c r="R1165" s="40">
        <f t="shared" si="150"/>
        <v>0</v>
      </c>
      <c r="S1165" s="100">
        <f t="shared" si="151"/>
        <v>46220</v>
      </c>
    </row>
    <row r="1166" spans="2:19" x14ac:dyDescent="0.2">
      <c r="B1166" s="83">
        <f t="shared" si="154"/>
        <v>574</v>
      </c>
      <c r="C1166" s="7"/>
      <c r="D1166" s="7"/>
      <c r="E1166" s="7"/>
      <c r="F1166" s="25" t="s">
        <v>171</v>
      </c>
      <c r="G1166" s="7">
        <v>610</v>
      </c>
      <c r="H1166" s="7" t="s">
        <v>142</v>
      </c>
      <c r="I1166" s="23">
        <v>19722</v>
      </c>
      <c r="J1166" s="23"/>
      <c r="K1166" s="86">
        <f t="shared" si="152"/>
        <v>19722</v>
      </c>
      <c r="L1166" s="355"/>
      <c r="M1166" s="344"/>
      <c r="N1166" s="246"/>
      <c r="O1166" s="86">
        <f t="shared" si="153"/>
        <v>0</v>
      </c>
      <c r="P1166" s="355"/>
      <c r="Q1166" s="344">
        <f t="shared" ref="Q1166:Q1232" si="155">I1166+M1166</f>
        <v>19722</v>
      </c>
      <c r="R1166" s="23">
        <f t="shared" si="150"/>
        <v>0</v>
      </c>
      <c r="S1166" s="86">
        <f t="shared" si="151"/>
        <v>19722</v>
      </c>
    </row>
    <row r="1167" spans="2:19" x14ac:dyDescent="0.2">
      <c r="B1167" s="83">
        <f t="shared" si="154"/>
        <v>575</v>
      </c>
      <c r="C1167" s="7"/>
      <c r="D1167" s="7"/>
      <c r="E1167" s="7"/>
      <c r="F1167" s="25" t="s">
        <v>171</v>
      </c>
      <c r="G1167" s="7">
        <v>620</v>
      </c>
      <c r="H1167" s="7" t="s">
        <v>135</v>
      </c>
      <c r="I1167" s="23">
        <v>7215</v>
      </c>
      <c r="J1167" s="23"/>
      <c r="K1167" s="86">
        <f t="shared" si="152"/>
        <v>7215</v>
      </c>
      <c r="L1167" s="355"/>
      <c r="M1167" s="344"/>
      <c r="N1167" s="246"/>
      <c r="O1167" s="86">
        <f t="shared" si="153"/>
        <v>0</v>
      </c>
      <c r="P1167" s="355"/>
      <c r="Q1167" s="344">
        <f t="shared" si="155"/>
        <v>7215</v>
      </c>
      <c r="R1167" s="23">
        <f t="shared" ref="R1167:R1233" si="156">J1167+N1167</f>
        <v>0</v>
      </c>
      <c r="S1167" s="86">
        <f t="shared" ref="S1167:S1233" si="157">K1167+O1167</f>
        <v>7215</v>
      </c>
    </row>
    <row r="1168" spans="2:19" x14ac:dyDescent="0.2">
      <c r="B1168" s="83">
        <f t="shared" si="154"/>
        <v>576</v>
      </c>
      <c r="C1168" s="7"/>
      <c r="D1168" s="7"/>
      <c r="E1168" s="7"/>
      <c r="F1168" s="25" t="s">
        <v>171</v>
      </c>
      <c r="G1168" s="7">
        <v>630</v>
      </c>
      <c r="H1168" s="7" t="s">
        <v>132</v>
      </c>
      <c r="I1168" s="23">
        <f>SUM(I1169:I1171)</f>
        <v>19135</v>
      </c>
      <c r="J1168" s="23">
        <f>SUM(J1169:J1171)</f>
        <v>0</v>
      </c>
      <c r="K1168" s="86">
        <f t="shared" si="152"/>
        <v>19135</v>
      </c>
      <c r="L1168" s="355"/>
      <c r="M1168" s="344"/>
      <c r="N1168" s="246"/>
      <c r="O1168" s="86">
        <f t="shared" si="153"/>
        <v>0</v>
      </c>
      <c r="P1168" s="355"/>
      <c r="Q1168" s="344">
        <f t="shared" si="155"/>
        <v>19135</v>
      </c>
      <c r="R1168" s="23">
        <f t="shared" si="156"/>
        <v>0</v>
      </c>
      <c r="S1168" s="86">
        <f t="shared" si="157"/>
        <v>19135</v>
      </c>
    </row>
    <row r="1169" spans="2:19" x14ac:dyDescent="0.2">
      <c r="B1169" s="83">
        <f t="shared" si="154"/>
        <v>577</v>
      </c>
      <c r="C1169" s="3"/>
      <c r="D1169" s="3"/>
      <c r="E1169" s="3"/>
      <c r="F1169" s="26" t="s">
        <v>171</v>
      </c>
      <c r="G1169" s="3">
        <v>633</v>
      </c>
      <c r="H1169" s="3" t="s">
        <v>136</v>
      </c>
      <c r="I1169" s="19">
        <v>17055</v>
      </c>
      <c r="J1169" s="19">
        <v>1100</v>
      </c>
      <c r="K1169" s="87">
        <f t="shared" si="152"/>
        <v>18155</v>
      </c>
      <c r="L1169" s="356"/>
      <c r="M1169" s="345"/>
      <c r="N1169" s="208"/>
      <c r="O1169" s="87">
        <f t="shared" si="153"/>
        <v>0</v>
      </c>
      <c r="P1169" s="356"/>
      <c r="Q1169" s="345">
        <f t="shared" si="155"/>
        <v>17055</v>
      </c>
      <c r="R1169" s="19">
        <f t="shared" si="156"/>
        <v>1100</v>
      </c>
      <c r="S1169" s="87">
        <f t="shared" si="157"/>
        <v>18155</v>
      </c>
    </row>
    <row r="1170" spans="2:19" x14ac:dyDescent="0.2">
      <c r="B1170" s="83">
        <f t="shared" si="154"/>
        <v>578</v>
      </c>
      <c r="C1170" s="3"/>
      <c r="D1170" s="3"/>
      <c r="E1170" s="3"/>
      <c r="F1170" s="26" t="s">
        <v>171</v>
      </c>
      <c r="G1170" s="3">
        <v>635</v>
      </c>
      <c r="H1170" s="3" t="s">
        <v>144</v>
      </c>
      <c r="I1170" s="19">
        <v>1300</v>
      </c>
      <c r="J1170" s="19">
        <v>-1100</v>
      </c>
      <c r="K1170" s="87">
        <f t="shared" si="152"/>
        <v>200</v>
      </c>
      <c r="L1170" s="356"/>
      <c r="M1170" s="345"/>
      <c r="N1170" s="208"/>
      <c r="O1170" s="87">
        <f t="shared" si="153"/>
        <v>0</v>
      </c>
      <c r="P1170" s="356"/>
      <c r="Q1170" s="345">
        <f t="shared" si="155"/>
        <v>1300</v>
      </c>
      <c r="R1170" s="19">
        <f t="shared" si="156"/>
        <v>-1100</v>
      </c>
      <c r="S1170" s="87">
        <f t="shared" si="157"/>
        <v>200</v>
      </c>
    </row>
    <row r="1171" spans="2:19" x14ac:dyDescent="0.2">
      <c r="B1171" s="83">
        <f t="shared" si="154"/>
        <v>579</v>
      </c>
      <c r="C1171" s="3"/>
      <c r="D1171" s="3"/>
      <c r="E1171" s="3"/>
      <c r="F1171" s="26" t="s">
        <v>171</v>
      </c>
      <c r="G1171" s="3">
        <v>637</v>
      </c>
      <c r="H1171" s="3" t="s">
        <v>133</v>
      </c>
      <c r="I1171" s="19">
        <v>780</v>
      </c>
      <c r="J1171" s="19"/>
      <c r="K1171" s="87">
        <f t="shared" si="152"/>
        <v>780</v>
      </c>
      <c r="L1171" s="356"/>
      <c r="M1171" s="345"/>
      <c r="N1171" s="208"/>
      <c r="O1171" s="87">
        <f t="shared" si="153"/>
        <v>0</v>
      </c>
      <c r="P1171" s="356"/>
      <c r="Q1171" s="345">
        <f t="shared" si="155"/>
        <v>780</v>
      </c>
      <c r="R1171" s="19">
        <f t="shared" si="156"/>
        <v>0</v>
      </c>
      <c r="S1171" s="87">
        <f t="shared" si="157"/>
        <v>780</v>
      </c>
    </row>
    <row r="1172" spans="2:19" x14ac:dyDescent="0.2">
      <c r="B1172" s="83">
        <f t="shared" si="154"/>
        <v>580</v>
      </c>
      <c r="C1172" s="3"/>
      <c r="D1172" s="3"/>
      <c r="E1172" s="3"/>
      <c r="F1172" s="25" t="s">
        <v>171</v>
      </c>
      <c r="G1172" s="7">
        <v>640</v>
      </c>
      <c r="H1172" s="7" t="s">
        <v>140</v>
      </c>
      <c r="I1172" s="23">
        <v>148</v>
      </c>
      <c r="J1172" s="23"/>
      <c r="K1172" s="86">
        <f t="shared" si="152"/>
        <v>148</v>
      </c>
      <c r="L1172" s="355"/>
      <c r="M1172" s="344"/>
      <c r="N1172" s="246"/>
      <c r="O1172" s="86">
        <f t="shared" si="153"/>
        <v>0</v>
      </c>
      <c r="P1172" s="355"/>
      <c r="Q1172" s="344">
        <f t="shared" si="155"/>
        <v>148</v>
      </c>
      <c r="R1172" s="23">
        <f t="shared" si="156"/>
        <v>0</v>
      </c>
      <c r="S1172" s="86">
        <f t="shared" si="157"/>
        <v>148</v>
      </c>
    </row>
    <row r="1173" spans="2:19" x14ac:dyDescent="0.2">
      <c r="B1173" s="83">
        <f t="shared" si="154"/>
        <v>581</v>
      </c>
      <c r="C1173" s="6"/>
      <c r="D1173" s="6"/>
      <c r="E1173" s="6" t="s">
        <v>109</v>
      </c>
      <c r="F1173" s="29"/>
      <c r="G1173" s="6"/>
      <c r="H1173" s="6" t="s">
        <v>67</v>
      </c>
      <c r="I1173" s="40">
        <f>I1174+I1175+I1176+I1180</f>
        <v>55778</v>
      </c>
      <c r="J1173" s="40">
        <f>J1174+J1175+J1176+J1180</f>
        <v>0</v>
      </c>
      <c r="K1173" s="100">
        <f t="shared" si="152"/>
        <v>55778</v>
      </c>
      <c r="L1173" s="355"/>
      <c r="M1173" s="398">
        <v>0</v>
      </c>
      <c r="N1173" s="261"/>
      <c r="O1173" s="100">
        <f t="shared" si="153"/>
        <v>0</v>
      </c>
      <c r="P1173" s="355"/>
      <c r="Q1173" s="398">
        <f t="shared" si="155"/>
        <v>55778</v>
      </c>
      <c r="R1173" s="40">
        <f t="shared" si="156"/>
        <v>0</v>
      </c>
      <c r="S1173" s="100">
        <f t="shared" si="157"/>
        <v>55778</v>
      </c>
    </row>
    <row r="1174" spans="2:19" x14ac:dyDescent="0.2">
      <c r="B1174" s="83">
        <f t="shared" si="154"/>
        <v>582</v>
      </c>
      <c r="C1174" s="7"/>
      <c r="D1174" s="7"/>
      <c r="E1174" s="7"/>
      <c r="F1174" s="25" t="s">
        <v>171</v>
      </c>
      <c r="G1174" s="7">
        <v>610</v>
      </c>
      <c r="H1174" s="7" t="s">
        <v>142</v>
      </c>
      <c r="I1174" s="23">
        <v>22080</v>
      </c>
      <c r="J1174" s="23"/>
      <c r="K1174" s="86">
        <f t="shared" si="152"/>
        <v>22080</v>
      </c>
      <c r="L1174" s="355"/>
      <c r="M1174" s="344"/>
      <c r="N1174" s="246"/>
      <c r="O1174" s="86">
        <f t="shared" si="153"/>
        <v>0</v>
      </c>
      <c r="P1174" s="355"/>
      <c r="Q1174" s="344">
        <f t="shared" si="155"/>
        <v>22080</v>
      </c>
      <c r="R1174" s="23">
        <f t="shared" si="156"/>
        <v>0</v>
      </c>
      <c r="S1174" s="86">
        <f t="shared" si="157"/>
        <v>22080</v>
      </c>
    </row>
    <row r="1175" spans="2:19" x14ac:dyDescent="0.2">
      <c r="B1175" s="83">
        <f t="shared" si="154"/>
        <v>583</v>
      </c>
      <c r="C1175" s="7"/>
      <c r="D1175" s="7"/>
      <c r="E1175" s="7"/>
      <c r="F1175" s="25" t="s">
        <v>171</v>
      </c>
      <c r="G1175" s="7">
        <v>620</v>
      </c>
      <c r="H1175" s="7" t="s">
        <v>135</v>
      </c>
      <c r="I1175" s="23">
        <v>8266</v>
      </c>
      <c r="J1175" s="23"/>
      <c r="K1175" s="86">
        <f t="shared" si="152"/>
        <v>8266</v>
      </c>
      <c r="L1175" s="355"/>
      <c r="M1175" s="344"/>
      <c r="N1175" s="246"/>
      <c r="O1175" s="86">
        <f t="shared" si="153"/>
        <v>0</v>
      </c>
      <c r="P1175" s="355"/>
      <c r="Q1175" s="344">
        <f t="shared" si="155"/>
        <v>8266</v>
      </c>
      <c r="R1175" s="23">
        <f t="shared" si="156"/>
        <v>0</v>
      </c>
      <c r="S1175" s="86">
        <f t="shared" si="157"/>
        <v>8266</v>
      </c>
    </row>
    <row r="1176" spans="2:19" x14ac:dyDescent="0.2">
      <c r="B1176" s="83">
        <f t="shared" si="154"/>
        <v>584</v>
      </c>
      <c r="C1176" s="7"/>
      <c r="D1176" s="7"/>
      <c r="E1176" s="7"/>
      <c r="F1176" s="25" t="s">
        <v>171</v>
      </c>
      <c r="G1176" s="7">
        <v>630</v>
      </c>
      <c r="H1176" s="7" t="s">
        <v>132</v>
      </c>
      <c r="I1176" s="23">
        <f>SUM(I1177:I1179)</f>
        <v>24940</v>
      </c>
      <c r="J1176" s="23">
        <f>SUM(J1177:J1179)</f>
        <v>0</v>
      </c>
      <c r="K1176" s="86">
        <f t="shared" si="152"/>
        <v>24940</v>
      </c>
      <c r="L1176" s="355"/>
      <c r="M1176" s="344"/>
      <c r="N1176" s="246"/>
      <c r="O1176" s="86">
        <f t="shared" si="153"/>
        <v>0</v>
      </c>
      <c r="P1176" s="355"/>
      <c r="Q1176" s="344">
        <f t="shared" si="155"/>
        <v>24940</v>
      </c>
      <c r="R1176" s="23">
        <f t="shared" si="156"/>
        <v>0</v>
      </c>
      <c r="S1176" s="86">
        <f t="shared" si="157"/>
        <v>24940</v>
      </c>
    </row>
    <row r="1177" spans="2:19" x14ac:dyDescent="0.2">
      <c r="B1177" s="83">
        <f t="shared" si="154"/>
        <v>585</v>
      </c>
      <c r="C1177" s="3"/>
      <c r="D1177" s="3"/>
      <c r="E1177" s="3"/>
      <c r="F1177" s="26" t="s">
        <v>171</v>
      </c>
      <c r="G1177" s="3">
        <v>633</v>
      </c>
      <c r="H1177" s="3" t="s">
        <v>136</v>
      </c>
      <c r="I1177" s="19">
        <f>22405+385</f>
        <v>22790</v>
      </c>
      <c r="J1177" s="19">
        <v>1208</v>
      </c>
      <c r="K1177" s="87">
        <f t="shared" si="152"/>
        <v>23998</v>
      </c>
      <c r="L1177" s="356"/>
      <c r="M1177" s="345"/>
      <c r="N1177" s="208"/>
      <c r="O1177" s="87">
        <f t="shared" si="153"/>
        <v>0</v>
      </c>
      <c r="P1177" s="356"/>
      <c r="Q1177" s="345">
        <f t="shared" si="155"/>
        <v>22790</v>
      </c>
      <c r="R1177" s="19">
        <f t="shared" si="156"/>
        <v>1208</v>
      </c>
      <c r="S1177" s="87">
        <f t="shared" si="157"/>
        <v>23998</v>
      </c>
    </row>
    <row r="1178" spans="2:19" x14ac:dyDescent="0.2">
      <c r="B1178" s="83">
        <f t="shared" si="154"/>
        <v>586</v>
      </c>
      <c r="C1178" s="3"/>
      <c r="D1178" s="3"/>
      <c r="E1178" s="3"/>
      <c r="F1178" s="26" t="s">
        <v>171</v>
      </c>
      <c r="G1178" s="3">
        <v>635</v>
      </c>
      <c r="H1178" s="3" t="s">
        <v>144</v>
      </c>
      <c r="I1178" s="19">
        <v>1400</v>
      </c>
      <c r="J1178" s="19">
        <v>-1208</v>
      </c>
      <c r="K1178" s="87">
        <f t="shared" si="152"/>
        <v>192</v>
      </c>
      <c r="L1178" s="356"/>
      <c r="M1178" s="345"/>
      <c r="N1178" s="208"/>
      <c r="O1178" s="87">
        <f t="shared" si="153"/>
        <v>0</v>
      </c>
      <c r="P1178" s="356"/>
      <c r="Q1178" s="345">
        <f t="shared" si="155"/>
        <v>1400</v>
      </c>
      <c r="R1178" s="19">
        <f t="shared" si="156"/>
        <v>-1208</v>
      </c>
      <c r="S1178" s="87">
        <f t="shared" si="157"/>
        <v>192</v>
      </c>
    </row>
    <row r="1179" spans="2:19" x14ac:dyDescent="0.2">
      <c r="B1179" s="83">
        <f t="shared" si="154"/>
        <v>587</v>
      </c>
      <c r="C1179" s="3"/>
      <c r="D1179" s="3"/>
      <c r="E1179" s="3"/>
      <c r="F1179" s="26" t="s">
        <v>171</v>
      </c>
      <c r="G1179" s="3">
        <v>637</v>
      </c>
      <c r="H1179" s="3" t="s">
        <v>133</v>
      </c>
      <c r="I1179" s="19">
        <v>750</v>
      </c>
      <c r="J1179" s="19"/>
      <c r="K1179" s="87">
        <f t="shared" si="152"/>
        <v>750</v>
      </c>
      <c r="L1179" s="356"/>
      <c r="M1179" s="345"/>
      <c r="N1179" s="208"/>
      <c r="O1179" s="87">
        <f t="shared" si="153"/>
        <v>0</v>
      </c>
      <c r="P1179" s="356"/>
      <c r="Q1179" s="345">
        <f t="shared" si="155"/>
        <v>750</v>
      </c>
      <c r="R1179" s="19">
        <f t="shared" si="156"/>
        <v>0</v>
      </c>
      <c r="S1179" s="87">
        <f t="shared" si="157"/>
        <v>750</v>
      </c>
    </row>
    <row r="1180" spans="2:19" x14ac:dyDescent="0.2">
      <c r="B1180" s="83">
        <f t="shared" si="154"/>
        <v>588</v>
      </c>
      <c r="C1180" s="7"/>
      <c r="D1180" s="7"/>
      <c r="E1180" s="7"/>
      <c r="F1180" s="25" t="s">
        <v>171</v>
      </c>
      <c r="G1180" s="7">
        <v>640</v>
      </c>
      <c r="H1180" s="7" t="s">
        <v>140</v>
      </c>
      <c r="I1180" s="23">
        <v>492</v>
      </c>
      <c r="J1180" s="23"/>
      <c r="K1180" s="86">
        <f t="shared" si="152"/>
        <v>492</v>
      </c>
      <c r="L1180" s="355"/>
      <c r="M1180" s="344"/>
      <c r="N1180" s="246"/>
      <c r="O1180" s="86">
        <f t="shared" si="153"/>
        <v>0</v>
      </c>
      <c r="P1180" s="355"/>
      <c r="Q1180" s="344">
        <f t="shared" si="155"/>
        <v>492</v>
      </c>
      <c r="R1180" s="23">
        <f t="shared" si="156"/>
        <v>0</v>
      </c>
      <c r="S1180" s="86">
        <f t="shared" si="157"/>
        <v>492</v>
      </c>
    </row>
    <row r="1181" spans="2:19" x14ac:dyDescent="0.2">
      <c r="B1181" s="83">
        <f t="shared" si="154"/>
        <v>589</v>
      </c>
      <c r="C1181" s="6"/>
      <c r="D1181" s="6"/>
      <c r="E1181" s="6" t="s">
        <v>105</v>
      </c>
      <c r="F1181" s="29"/>
      <c r="G1181" s="6"/>
      <c r="H1181" s="6" t="s">
        <v>73</v>
      </c>
      <c r="I1181" s="40">
        <f>I1182+I1183+I1184</f>
        <v>66164</v>
      </c>
      <c r="J1181" s="40">
        <f>J1182+J1183+J1184</f>
        <v>0</v>
      </c>
      <c r="K1181" s="100">
        <f t="shared" si="152"/>
        <v>66164</v>
      </c>
      <c r="L1181" s="355"/>
      <c r="M1181" s="398">
        <v>0</v>
      </c>
      <c r="N1181" s="261"/>
      <c r="O1181" s="100">
        <f t="shared" si="153"/>
        <v>0</v>
      </c>
      <c r="P1181" s="355"/>
      <c r="Q1181" s="398">
        <f t="shared" si="155"/>
        <v>66164</v>
      </c>
      <c r="R1181" s="40">
        <f t="shared" si="156"/>
        <v>0</v>
      </c>
      <c r="S1181" s="100">
        <f t="shared" si="157"/>
        <v>66164</v>
      </c>
    </row>
    <row r="1182" spans="2:19" x14ac:dyDescent="0.2">
      <c r="B1182" s="83">
        <f t="shared" si="154"/>
        <v>590</v>
      </c>
      <c r="C1182" s="7"/>
      <c r="D1182" s="7"/>
      <c r="E1182" s="7"/>
      <c r="F1182" s="25" t="s">
        <v>171</v>
      </c>
      <c r="G1182" s="7">
        <v>610</v>
      </c>
      <c r="H1182" s="7" t="s">
        <v>142</v>
      </c>
      <c r="I1182" s="23">
        <v>25835</v>
      </c>
      <c r="J1182" s="23"/>
      <c r="K1182" s="86">
        <f t="shared" si="152"/>
        <v>25835</v>
      </c>
      <c r="L1182" s="355"/>
      <c r="M1182" s="344"/>
      <c r="N1182" s="246"/>
      <c r="O1182" s="86">
        <f t="shared" si="153"/>
        <v>0</v>
      </c>
      <c r="P1182" s="355"/>
      <c r="Q1182" s="344">
        <f t="shared" si="155"/>
        <v>25835</v>
      </c>
      <c r="R1182" s="23">
        <f t="shared" si="156"/>
        <v>0</v>
      </c>
      <c r="S1182" s="86">
        <f t="shared" si="157"/>
        <v>25835</v>
      </c>
    </row>
    <row r="1183" spans="2:19" x14ac:dyDescent="0.2">
      <c r="B1183" s="83">
        <f t="shared" si="154"/>
        <v>591</v>
      </c>
      <c r="C1183" s="7"/>
      <c r="D1183" s="7"/>
      <c r="E1183" s="7"/>
      <c r="F1183" s="25" t="s">
        <v>171</v>
      </c>
      <c r="G1183" s="7">
        <v>620</v>
      </c>
      <c r="H1183" s="7" t="s">
        <v>135</v>
      </c>
      <c r="I1183" s="23">
        <v>9474</v>
      </c>
      <c r="J1183" s="23"/>
      <c r="K1183" s="86">
        <f t="shared" ref="K1183:K1246" si="158">J1183+I1183</f>
        <v>9474</v>
      </c>
      <c r="L1183" s="355"/>
      <c r="M1183" s="344"/>
      <c r="N1183" s="246"/>
      <c r="O1183" s="86">
        <f t="shared" ref="O1183:O1246" si="159">N1183+M1183</f>
        <v>0</v>
      </c>
      <c r="P1183" s="355"/>
      <c r="Q1183" s="344">
        <f t="shared" si="155"/>
        <v>9474</v>
      </c>
      <c r="R1183" s="23">
        <f t="shared" si="156"/>
        <v>0</v>
      </c>
      <c r="S1183" s="86">
        <f t="shared" si="157"/>
        <v>9474</v>
      </c>
    </row>
    <row r="1184" spans="2:19" x14ac:dyDescent="0.2">
      <c r="B1184" s="83">
        <f t="shared" ref="B1184:B1247" si="160">B1183+1</f>
        <v>592</v>
      </c>
      <c r="C1184" s="7"/>
      <c r="D1184" s="7"/>
      <c r="E1184" s="7"/>
      <c r="F1184" s="25" t="s">
        <v>171</v>
      </c>
      <c r="G1184" s="7">
        <v>630</v>
      </c>
      <c r="H1184" s="7" t="s">
        <v>132</v>
      </c>
      <c r="I1184" s="23">
        <f>SUM(I1185:I1187)</f>
        <v>30855</v>
      </c>
      <c r="J1184" s="23">
        <f>SUM(J1185:J1187)</f>
        <v>0</v>
      </c>
      <c r="K1184" s="86">
        <f t="shared" si="158"/>
        <v>30855</v>
      </c>
      <c r="L1184" s="355"/>
      <c r="M1184" s="344"/>
      <c r="N1184" s="246"/>
      <c r="O1184" s="86">
        <f t="shared" si="159"/>
        <v>0</v>
      </c>
      <c r="P1184" s="355"/>
      <c r="Q1184" s="344">
        <f t="shared" si="155"/>
        <v>30855</v>
      </c>
      <c r="R1184" s="23">
        <f t="shared" si="156"/>
        <v>0</v>
      </c>
      <c r="S1184" s="86">
        <f t="shared" si="157"/>
        <v>30855</v>
      </c>
    </row>
    <row r="1185" spans="2:19" x14ac:dyDescent="0.2">
      <c r="B1185" s="83">
        <f t="shared" si="160"/>
        <v>593</v>
      </c>
      <c r="C1185" s="3"/>
      <c r="D1185" s="3"/>
      <c r="E1185" s="3"/>
      <c r="F1185" s="26" t="s">
        <v>171</v>
      </c>
      <c r="G1185" s="3">
        <v>633</v>
      </c>
      <c r="H1185" s="3" t="s">
        <v>136</v>
      </c>
      <c r="I1185" s="19">
        <f>27560+89</f>
        <v>27649</v>
      </c>
      <c r="J1185" s="19">
        <v>2211</v>
      </c>
      <c r="K1185" s="87">
        <f t="shared" si="158"/>
        <v>29860</v>
      </c>
      <c r="L1185" s="356"/>
      <c r="M1185" s="345"/>
      <c r="N1185" s="208"/>
      <c r="O1185" s="87">
        <f t="shared" si="159"/>
        <v>0</v>
      </c>
      <c r="P1185" s="356"/>
      <c r="Q1185" s="345">
        <f t="shared" si="155"/>
        <v>27649</v>
      </c>
      <c r="R1185" s="19">
        <f t="shared" si="156"/>
        <v>2211</v>
      </c>
      <c r="S1185" s="87">
        <f t="shared" si="157"/>
        <v>29860</v>
      </c>
    </row>
    <row r="1186" spans="2:19" x14ac:dyDescent="0.2">
      <c r="B1186" s="83">
        <f t="shared" si="160"/>
        <v>594</v>
      </c>
      <c r="C1186" s="3"/>
      <c r="D1186" s="3"/>
      <c r="E1186" s="3"/>
      <c r="F1186" s="26" t="s">
        <v>171</v>
      </c>
      <c r="G1186" s="3">
        <v>635</v>
      </c>
      <c r="H1186" s="3" t="s">
        <v>144</v>
      </c>
      <c r="I1186" s="19">
        <f>2300-89</f>
        <v>2211</v>
      </c>
      <c r="J1186" s="19">
        <v>-2211</v>
      </c>
      <c r="K1186" s="87">
        <f t="shared" si="158"/>
        <v>0</v>
      </c>
      <c r="L1186" s="356"/>
      <c r="M1186" s="345"/>
      <c r="N1186" s="208"/>
      <c r="O1186" s="87">
        <f t="shared" si="159"/>
        <v>0</v>
      </c>
      <c r="P1186" s="356"/>
      <c r="Q1186" s="345">
        <f t="shared" si="155"/>
        <v>2211</v>
      </c>
      <c r="R1186" s="19">
        <f t="shared" si="156"/>
        <v>-2211</v>
      </c>
      <c r="S1186" s="87">
        <f t="shared" si="157"/>
        <v>0</v>
      </c>
    </row>
    <row r="1187" spans="2:19" x14ac:dyDescent="0.2">
      <c r="B1187" s="83">
        <f t="shared" si="160"/>
        <v>595</v>
      </c>
      <c r="C1187" s="3"/>
      <c r="D1187" s="3"/>
      <c r="E1187" s="3"/>
      <c r="F1187" s="26" t="s">
        <v>171</v>
      </c>
      <c r="G1187" s="3">
        <v>637</v>
      </c>
      <c r="H1187" s="3" t="s">
        <v>133</v>
      </c>
      <c r="I1187" s="19">
        <v>995</v>
      </c>
      <c r="J1187" s="19"/>
      <c r="K1187" s="87">
        <f t="shared" si="158"/>
        <v>995</v>
      </c>
      <c r="L1187" s="356"/>
      <c r="M1187" s="345"/>
      <c r="N1187" s="208"/>
      <c r="O1187" s="87">
        <f t="shared" si="159"/>
        <v>0</v>
      </c>
      <c r="P1187" s="356"/>
      <c r="Q1187" s="345">
        <f t="shared" si="155"/>
        <v>995</v>
      </c>
      <c r="R1187" s="19">
        <f t="shared" si="156"/>
        <v>0</v>
      </c>
      <c r="S1187" s="87">
        <f t="shared" si="157"/>
        <v>995</v>
      </c>
    </row>
    <row r="1188" spans="2:19" x14ac:dyDescent="0.2">
      <c r="B1188" s="83">
        <f t="shared" si="160"/>
        <v>596</v>
      </c>
      <c r="C1188" s="6"/>
      <c r="D1188" s="6"/>
      <c r="E1188" s="6" t="s">
        <v>108</v>
      </c>
      <c r="F1188" s="29"/>
      <c r="G1188" s="6"/>
      <c r="H1188" s="6" t="s">
        <v>74</v>
      </c>
      <c r="I1188" s="40">
        <f>I1189+I1190+I1191</f>
        <v>44928</v>
      </c>
      <c r="J1188" s="40">
        <f>J1189+J1190+J1191</f>
        <v>0</v>
      </c>
      <c r="K1188" s="100">
        <f t="shared" si="158"/>
        <v>44928</v>
      </c>
      <c r="L1188" s="355"/>
      <c r="M1188" s="398">
        <v>0</v>
      </c>
      <c r="N1188" s="261"/>
      <c r="O1188" s="100">
        <f t="shared" si="159"/>
        <v>0</v>
      </c>
      <c r="P1188" s="355"/>
      <c r="Q1188" s="398">
        <f t="shared" si="155"/>
        <v>44928</v>
      </c>
      <c r="R1188" s="40">
        <f t="shared" si="156"/>
        <v>0</v>
      </c>
      <c r="S1188" s="100">
        <f t="shared" si="157"/>
        <v>44928</v>
      </c>
    </row>
    <row r="1189" spans="2:19" x14ac:dyDescent="0.2">
      <c r="B1189" s="83">
        <f t="shared" si="160"/>
        <v>597</v>
      </c>
      <c r="C1189" s="7"/>
      <c r="D1189" s="7"/>
      <c r="E1189" s="7"/>
      <c r="F1189" s="25" t="s">
        <v>171</v>
      </c>
      <c r="G1189" s="7">
        <v>610</v>
      </c>
      <c r="H1189" s="7" t="s">
        <v>142</v>
      </c>
      <c r="I1189" s="23">
        <v>19942</v>
      </c>
      <c r="J1189" s="23"/>
      <c r="K1189" s="86">
        <f t="shared" si="158"/>
        <v>19942</v>
      </c>
      <c r="L1189" s="355"/>
      <c r="M1189" s="344"/>
      <c r="N1189" s="246"/>
      <c r="O1189" s="86">
        <f t="shared" si="159"/>
        <v>0</v>
      </c>
      <c r="P1189" s="355"/>
      <c r="Q1189" s="344">
        <f t="shared" si="155"/>
        <v>19942</v>
      </c>
      <c r="R1189" s="23">
        <f t="shared" si="156"/>
        <v>0</v>
      </c>
      <c r="S1189" s="86">
        <f t="shared" si="157"/>
        <v>19942</v>
      </c>
    </row>
    <row r="1190" spans="2:19" x14ac:dyDescent="0.2">
      <c r="B1190" s="83">
        <f t="shared" si="160"/>
        <v>598</v>
      </c>
      <c r="C1190" s="7"/>
      <c r="D1190" s="7"/>
      <c r="E1190" s="7"/>
      <c r="F1190" s="25" t="s">
        <v>171</v>
      </c>
      <c r="G1190" s="7">
        <v>620</v>
      </c>
      <c r="H1190" s="7" t="s">
        <v>135</v>
      </c>
      <c r="I1190" s="23">
        <v>7296</v>
      </c>
      <c r="J1190" s="23"/>
      <c r="K1190" s="86">
        <f t="shared" si="158"/>
        <v>7296</v>
      </c>
      <c r="L1190" s="355"/>
      <c r="M1190" s="344"/>
      <c r="N1190" s="246"/>
      <c r="O1190" s="86">
        <f t="shared" si="159"/>
        <v>0</v>
      </c>
      <c r="P1190" s="355"/>
      <c r="Q1190" s="344">
        <f t="shared" si="155"/>
        <v>7296</v>
      </c>
      <c r="R1190" s="23">
        <f t="shared" si="156"/>
        <v>0</v>
      </c>
      <c r="S1190" s="86">
        <f t="shared" si="157"/>
        <v>7296</v>
      </c>
    </row>
    <row r="1191" spans="2:19" x14ac:dyDescent="0.2">
      <c r="B1191" s="83">
        <f t="shared" si="160"/>
        <v>599</v>
      </c>
      <c r="C1191" s="7"/>
      <c r="D1191" s="7"/>
      <c r="E1191" s="7"/>
      <c r="F1191" s="25" t="s">
        <v>171</v>
      </c>
      <c r="G1191" s="7">
        <v>630</v>
      </c>
      <c r="H1191" s="7" t="s">
        <v>132</v>
      </c>
      <c r="I1191" s="23">
        <f>SUM(I1192:I1194)</f>
        <v>17690</v>
      </c>
      <c r="J1191" s="23">
        <f>SUM(J1192:J1194)</f>
        <v>0</v>
      </c>
      <c r="K1191" s="86">
        <f t="shared" si="158"/>
        <v>17690</v>
      </c>
      <c r="L1191" s="355"/>
      <c r="M1191" s="344"/>
      <c r="N1191" s="246"/>
      <c r="O1191" s="86">
        <f t="shared" si="159"/>
        <v>0</v>
      </c>
      <c r="P1191" s="355"/>
      <c r="Q1191" s="344">
        <f t="shared" si="155"/>
        <v>17690</v>
      </c>
      <c r="R1191" s="23">
        <f t="shared" si="156"/>
        <v>0</v>
      </c>
      <c r="S1191" s="86">
        <f t="shared" si="157"/>
        <v>17690</v>
      </c>
    </row>
    <row r="1192" spans="2:19" x14ac:dyDescent="0.2">
      <c r="B1192" s="83">
        <f t="shared" si="160"/>
        <v>600</v>
      </c>
      <c r="C1192" s="3"/>
      <c r="D1192" s="3"/>
      <c r="E1192" s="3"/>
      <c r="F1192" s="26" t="s">
        <v>171</v>
      </c>
      <c r="G1192" s="3">
        <v>633</v>
      </c>
      <c r="H1192" s="3" t="s">
        <v>136</v>
      </c>
      <c r="I1192" s="19">
        <v>15750</v>
      </c>
      <c r="J1192" s="19">
        <v>1400</v>
      </c>
      <c r="K1192" s="87">
        <f t="shared" si="158"/>
        <v>17150</v>
      </c>
      <c r="L1192" s="356"/>
      <c r="M1192" s="345"/>
      <c r="N1192" s="208"/>
      <c r="O1192" s="87">
        <f t="shared" si="159"/>
        <v>0</v>
      </c>
      <c r="P1192" s="356"/>
      <c r="Q1192" s="345">
        <f t="shared" si="155"/>
        <v>15750</v>
      </c>
      <c r="R1192" s="19">
        <f t="shared" si="156"/>
        <v>1400</v>
      </c>
      <c r="S1192" s="87">
        <f t="shared" si="157"/>
        <v>17150</v>
      </c>
    </row>
    <row r="1193" spans="2:19" x14ac:dyDescent="0.2">
      <c r="B1193" s="83">
        <f t="shared" si="160"/>
        <v>601</v>
      </c>
      <c r="C1193" s="3"/>
      <c r="D1193" s="3"/>
      <c r="E1193" s="3"/>
      <c r="F1193" s="26" t="s">
        <v>171</v>
      </c>
      <c r="G1193" s="3">
        <v>635</v>
      </c>
      <c r="H1193" s="3" t="s">
        <v>144</v>
      </c>
      <c r="I1193" s="19">
        <v>1400</v>
      </c>
      <c r="J1193" s="19">
        <v>-1400</v>
      </c>
      <c r="K1193" s="87">
        <f t="shared" si="158"/>
        <v>0</v>
      </c>
      <c r="L1193" s="356"/>
      <c r="M1193" s="345"/>
      <c r="N1193" s="208"/>
      <c r="O1193" s="87">
        <f t="shared" si="159"/>
        <v>0</v>
      </c>
      <c r="P1193" s="356"/>
      <c r="Q1193" s="345">
        <f t="shared" si="155"/>
        <v>1400</v>
      </c>
      <c r="R1193" s="19">
        <f t="shared" si="156"/>
        <v>-1400</v>
      </c>
      <c r="S1193" s="87">
        <f t="shared" si="157"/>
        <v>0</v>
      </c>
    </row>
    <row r="1194" spans="2:19" x14ac:dyDescent="0.2">
      <c r="B1194" s="83">
        <f t="shared" si="160"/>
        <v>602</v>
      </c>
      <c r="C1194" s="3"/>
      <c r="D1194" s="3"/>
      <c r="E1194" s="3"/>
      <c r="F1194" s="26" t="s">
        <v>171</v>
      </c>
      <c r="G1194" s="3">
        <v>637</v>
      </c>
      <c r="H1194" s="3" t="s">
        <v>133</v>
      </c>
      <c r="I1194" s="19">
        <v>540</v>
      </c>
      <c r="J1194" s="19"/>
      <c r="K1194" s="87">
        <f t="shared" si="158"/>
        <v>540</v>
      </c>
      <c r="L1194" s="356"/>
      <c r="M1194" s="345"/>
      <c r="N1194" s="208"/>
      <c r="O1194" s="87">
        <f t="shared" si="159"/>
        <v>0</v>
      </c>
      <c r="P1194" s="356"/>
      <c r="Q1194" s="345">
        <f t="shared" si="155"/>
        <v>540</v>
      </c>
      <c r="R1194" s="19">
        <f t="shared" si="156"/>
        <v>0</v>
      </c>
      <c r="S1194" s="87">
        <f t="shared" si="157"/>
        <v>540</v>
      </c>
    </row>
    <row r="1195" spans="2:19" x14ac:dyDescent="0.2">
      <c r="B1195" s="83">
        <f t="shared" si="160"/>
        <v>603</v>
      </c>
      <c r="C1195" s="6"/>
      <c r="D1195" s="6"/>
      <c r="E1195" s="6" t="s">
        <v>101</v>
      </c>
      <c r="F1195" s="29"/>
      <c r="G1195" s="6"/>
      <c r="H1195" s="6" t="s">
        <v>102</v>
      </c>
      <c r="I1195" s="40">
        <f>I1196+I1197+I1198</f>
        <v>29255</v>
      </c>
      <c r="J1195" s="40">
        <f>J1196+J1197+J1198</f>
        <v>0</v>
      </c>
      <c r="K1195" s="100">
        <f t="shared" si="158"/>
        <v>29255</v>
      </c>
      <c r="L1195" s="355"/>
      <c r="M1195" s="398">
        <v>0</v>
      </c>
      <c r="N1195" s="261"/>
      <c r="O1195" s="100">
        <f t="shared" si="159"/>
        <v>0</v>
      </c>
      <c r="P1195" s="355"/>
      <c r="Q1195" s="398">
        <f t="shared" si="155"/>
        <v>29255</v>
      </c>
      <c r="R1195" s="40">
        <f t="shared" si="156"/>
        <v>0</v>
      </c>
      <c r="S1195" s="100">
        <f t="shared" si="157"/>
        <v>29255</v>
      </c>
    </row>
    <row r="1196" spans="2:19" x14ac:dyDescent="0.2">
      <c r="B1196" s="83">
        <f t="shared" si="160"/>
        <v>604</v>
      </c>
      <c r="C1196" s="7"/>
      <c r="D1196" s="7"/>
      <c r="E1196" s="7"/>
      <c r="F1196" s="25" t="s">
        <v>171</v>
      </c>
      <c r="G1196" s="7">
        <v>610</v>
      </c>
      <c r="H1196" s="7" t="s">
        <v>142</v>
      </c>
      <c r="I1196" s="23">
        <v>10987</v>
      </c>
      <c r="J1196" s="23"/>
      <c r="K1196" s="86">
        <f t="shared" si="158"/>
        <v>10987</v>
      </c>
      <c r="L1196" s="355"/>
      <c r="M1196" s="344"/>
      <c r="N1196" s="246"/>
      <c r="O1196" s="86">
        <f t="shared" si="159"/>
        <v>0</v>
      </c>
      <c r="P1196" s="355"/>
      <c r="Q1196" s="344">
        <f t="shared" si="155"/>
        <v>10987</v>
      </c>
      <c r="R1196" s="23">
        <f t="shared" si="156"/>
        <v>0</v>
      </c>
      <c r="S1196" s="86">
        <f t="shared" si="157"/>
        <v>10987</v>
      </c>
    </row>
    <row r="1197" spans="2:19" x14ac:dyDescent="0.2">
      <c r="B1197" s="83">
        <f t="shared" si="160"/>
        <v>605</v>
      </c>
      <c r="C1197" s="7"/>
      <c r="D1197" s="7"/>
      <c r="E1197" s="7"/>
      <c r="F1197" s="25" t="s">
        <v>171</v>
      </c>
      <c r="G1197" s="7">
        <v>620</v>
      </c>
      <c r="H1197" s="7" t="s">
        <v>135</v>
      </c>
      <c r="I1197" s="23">
        <v>3973</v>
      </c>
      <c r="J1197" s="23"/>
      <c r="K1197" s="86">
        <f t="shared" si="158"/>
        <v>3973</v>
      </c>
      <c r="L1197" s="355"/>
      <c r="M1197" s="344"/>
      <c r="N1197" s="246"/>
      <c r="O1197" s="86">
        <f t="shared" si="159"/>
        <v>0</v>
      </c>
      <c r="P1197" s="355"/>
      <c r="Q1197" s="344">
        <f t="shared" si="155"/>
        <v>3973</v>
      </c>
      <c r="R1197" s="23">
        <f t="shared" si="156"/>
        <v>0</v>
      </c>
      <c r="S1197" s="86">
        <f t="shared" si="157"/>
        <v>3973</v>
      </c>
    </row>
    <row r="1198" spans="2:19" x14ac:dyDescent="0.2">
      <c r="B1198" s="83">
        <f t="shared" si="160"/>
        <v>606</v>
      </c>
      <c r="C1198" s="7"/>
      <c r="D1198" s="7"/>
      <c r="E1198" s="7"/>
      <c r="F1198" s="25" t="s">
        <v>171</v>
      </c>
      <c r="G1198" s="7">
        <v>630</v>
      </c>
      <c r="H1198" s="7" t="s">
        <v>132</v>
      </c>
      <c r="I1198" s="23">
        <f>SUM(I1199:I1201)</f>
        <v>14295</v>
      </c>
      <c r="J1198" s="23"/>
      <c r="K1198" s="86">
        <f t="shared" si="158"/>
        <v>14295</v>
      </c>
      <c r="L1198" s="355"/>
      <c r="M1198" s="344"/>
      <c r="N1198" s="246"/>
      <c r="O1198" s="86">
        <f t="shared" si="159"/>
        <v>0</v>
      </c>
      <c r="P1198" s="355"/>
      <c r="Q1198" s="344">
        <f t="shared" si="155"/>
        <v>14295</v>
      </c>
      <c r="R1198" s="23">
        <f t="shared" si="156"/>
        <v>0</v>
      </c>
      <c r="S1198" s="86">
        <f t="shared" si="157"/>
        <v>14295</v>
      </c>
    </row>
    <row r="1199" spans="2:19" x14ac:dyDescent="0.2">
      <c r="B1199" s="83">
        <f t="shared" si="160"/>
        <v>607</v>
      </c>
      <c r="C1199" s="3"/>
      <c r="D1199" s="3"/>
      <c r="E1199" s="3"/>
      <c r="F1199" s="26" t="s">
        <v>171</v>
      </c>
      <c r="G1199" s="3">
        <v>633</v>
      </c>
      <c r="H1199" s="3" t="s">
        <v>136</v>
      </c>
      <c r="I1199" s="19">
        <v>12250</v>
      </c>
      <c r="J1199" s="19"/>
      <c r="K1199" s="87">
        <f t="shared" si="158"/>
        <v>12250</v>
      </c>
      <c r="L1199" s="356"/>
      <c r="M1199" s="345"/>
      <c r="N1199" s="208"/>
      <c r="O1199" s="87">
        <f t="shared" si="159"/>
        <v>0</v>
      </c>
      <c r="P1199" s="356"/>
      <c r="Q1199" s="345">
        <f t="shared" si="155"/>
        <v>12250</v>
      </c>
      <c r="R1199" s="19">
        <f t="shared" si="156"/>
        <v>0</v>
      </c>
      <c r="S1199" s="87">
        <f t="shared" si="157"/>
        <v>12250</v>
      </c>
    </row>
    <row r="1200" spans="2:19" x14ac:dyDescent="0.2">
      <c r="B1200" s="83">
        <f t="shared" si="160"/>
        <v>608</v>
      </c>
      <c r="C1200" s="3"/>
      <c r="D1200" s="3"/>
      <c r="E1200" s="3"/>
      <c r="F1200" s="26" t="s">
        <v>171</v>
      </c>
      <c r="G1200" s="3">
        <v>635</v>
      </c>
      <c r="H1200" s="3" t="s">
        <v>144</v>
      </c>
      <c r="I1200" s="19">
        <v>1500</v>
      </c>
      <c r="J1200" s="19"/>
      <c r="K1200" s="87">
        <f t="shared" si="158"/>
        <v>1500</v>
      </c>
      <c r="L1200" s="356"/>
      <c r="M1200" s="345"/>
      <c r="N1200" s="208"/>
      <c r="O1200" s="87">
        <f t="shared" si="159"/>
        <v>0</v>
      </c>
      <c r="P1200" s="356"/>
      <c r="Q1200" s="345">
        <f t="shared" si="155"/>
        <v>1500</v>
      </c>
      <c r="R1200" s="19">
        <f t="shared" si="156"/>
        <v>0</v>
      </c>
      <c r="S1200" s="87">
        <f t="shared" si="157"/>
        <v>1500</v>
      </c>
    </row>
    <row r="1201" spans="2:19" x14ac:dyDescent="0.2">
      <c r="B1201" s="83">
        <f t="shared" si="160"/>
        <v>609</v>
      </c>
      <c r="C1201" s="3"/>
      <c r="D1201" s="3"/>
      <c r="E1201" s="3"/>
      <c r="F1201" s="26" t="s">
        <v>171</v>
      </c>
      <c r="G1201" s="3">
        <v>637</v>
      </c>
      <c r="H1201" s="3" t="s">
        <v>133</v>
      </c>
      <c r="I1201" s="19">
        <v>545</v>
      </c>
      <c r="J1201" s="19"/>
      <c r="K1201" s="87">
        <f t="shared" si="158"/>
        <v>545</v>
      </c>
      <c r="L1201" s="356"/>
      <c r="M1201" s="345"/>
      <c r="N1201" s="208"/>
      <c r="O1201" s="87">
        <f t="shared" si="159"/>
        <v>0</v>
      </c>
      <c r="P1201" s="356"/>
      <c r="Q1201" s="345">
        <f t="shared" si="155"/>
        <v>545</v>
      </c>
      <c r="R1201" s="19">
        <f t="shared" si="156"/>
        <v>0</v>
      </c>
      <c r="S1201" s="87">
        <f t="shared" si="157"/>
        <v>545</v>
      </c>
    </row>
    <row r="1202" spans="2:19" x14ac:dyDescent="0.2">
      <c r="B1202" s="83">
        <f t="shared" si="160"/>
        <v>610</v>
      </c>
      <c r="C1202" s="6"/>
      <c r="D1202" s="6"/>
      <c r="E1202" s="6" t="s">
        <v>94</v>
      </c>
      <c r="F1202" s="29"/>
      <c r="G1202" s="6"/>
      <c r="H1202" s="6" t="s">
        <v>211</v>
      </c>
      <c r="I1202" s="40">
        <f>I1203+I1204+I1205</f>
        <v>45888</v>
      </c>
      <c r="J1202" s="40">
        <f>J1203+J1204+J1205</f>
        <v>0</v>
      </c>
      <c r="K1202" s="100">
        <f t="shared" si="158"/>
        <v>45888</v>
      </c>
      <c r="L1202" s="355"/>
      <c r="M1202" s="398">
        <v>0</v>
      </c>
      <c r="N1202" s="261"/>
      <c r="O1202" s="100">
        <f t="shared" si="159"/>
        <v>0</v>
      </c>
      <c r="P1202" s="355"/>
      <c r="Q1202" s="398">
        <f t="shared" si="155"/>
        <v>45888</v>
      </c>
      <c r="R1202" s="40">
        <f t="shared" si="156"/>
        <v>0</v>
      </c>
      <c r="S1202" s="100">
        <f t="shared" si="157"/>
        <v>45888</v>
      </c>
    </row>
    <row r="1203" spans="2:19" x14ac:dyDescent="0.2">
      <c r="B1203" s="83">
        <f t="shared" si="160"/>
        <v>611</v>
      </c>
      <c r="C1203" s="7"/>
      <c r="D1203" s="7"/>
      <c r="E1203" s="7"/>
      <c r="F1203" s="25" t="s">
        <v>171</v>
      </c>
      <c r="G1203" s="7">
        <v>610</v>
      </c>
      <c r="H1203" s="7" t="s">
        <v>142</v>
      </c>
      <c r="I1203" s="23">
        <v>16846</v>
      </c>
      <c r="J1203" s="23"/>
      <c r="K1203" s="86">
        <f t="shared" si="158"/>
        <v>16846</v>
      </c>
      <c r="L1203" s="355"/>
      <c r="M1203" s="344"/>
      <c r="N1203" s="246"/>
      <c r="O1203" s="86">
        <f t="shared" si="159"/>
        <v>0</v>
      </c>
      <c r="P1203" s="355"/>
      <c r="Q1203" s="344">
        <f t="shared" si="155"/>
        <v>16846</v>
      </c>
      <c r="R1203" s="23">
        <f t="shared" si="156"/>
        <v>0</v>
      </c>
      <c r="S1203" s="86">
        <f t="shared" si="157"/>
        <v>16846</v>
      </c>
    </row>
    <row r="1204" spans="2:19" x14ac:dyDescent="0.2">
      <c r="B1204" s="83">
        <f t="shared" si="160"/>
        <v>612</v>
      </c>
      <c r="C1204" s="7"/>
      <c r="D1204" s="7"/>
      <c r="E1204" s="7"/>
      <c r="F1204" s="25" t="s">
        <v>171</v>
      </c>
      <c r="G1204" s="7">
        <v>620</v>
      </c>
      <c r="H1204" s="7" t="s">
        <v>135</v>
      </c>
      <c r="I1204" s="23">
        <v>6152</v>
      </c>
      <c r="J1204" s="23"/>
      <c r="K1204" s="86">
        <f t="shared" si="158"/>
        <v>6152</v>
      </c>
      <c r="L1204" s="355"/>
      <c r="M1204" s="344"/>
      <c r="N1204" s="246"/>
      <c r="O1204" s="86">
        <f t="shared" si="159"/>
        <v>0</v>
      </c>
      <c r="P1204" s="355"/>
      <c r="Q1204" s="344">
        <f t="shared" si="155"/>
        <v>6152</v>
      </c>
      <c r="R1204" s="23">
        <f t="shared" si="156"/>
        <v>0</v>
      </c>
      <c r="S1204" s="86">
        <f t="shared" si="157"/>
        <v>6152</v>
      </c>
    </row>
    <row r="1205" spans="2:19" x14ac:dyDescent="0.2">
      <c r="B1205" s="83">
        <f t="shared" si="160"/>
        <v>613</v>
      </c>
      <c r="C1205" s="7"/>
      <c r="D1205" s="7"/>
      <c r="E1205" s="7"/>
      <c r="F1205" s="25" t="s">
        <v>171</v>
      </c>
      <c r="G1205" s="7">
        <v>630</v>
      </c>
      <c r="H1205" s="7" t="s">
        <v>132</v>
      </c>
      <c r="I1205" s="23">
        <f>SUM(I1206:I1208)</f>
        <v>22890</v>
      </c>
      <c r="J1205" s="23">
        <f>SUM(J1206:J1208)</f>
        <v>0</v>
      </c>
      <c r="K1205" s="86">
        <f t="shared" si="158"/>
        <v>22890</v>
      </c>
      <c r="L1205" s="355"/>
      <c r="M1205" s="344"/>
      <c r="N1205" s="246"/>
      <c r="O1205" s="86">
        <f t="shared" si="159"/>
        <v>0</v>
      </c>
      <c r="P1205" s="355"/>
      <c r="Q1205" s="344">
        <f t="shared" si="155"/>
        <v>22890</v>
      </c>
      <c r="R1205" s="23">
        <f t="shared" si="156"/>
        <v>0</v>
      </c>
      <c r="S1205" s="86">
        <f t="shared" si="157"/>
        <v>22890</v>
      </c>
    </row>
    <row r="1206" spans="2:19" x14ac:dyDescent="0.2">
      <c r="B1206" s="83">
        <f t="shared" si="160"/>
        <v>614</v>
      </c>
      <c r="C1206" s="3"/>
      <c r="D1206" s="3"/>
      <c r="E1206" s="3"/>
      <c r="F1206" s="26" t="s">
        <v>171</v>
      </c>
      <c r="G1206" s="3">
        <v>633</v>
      </c>
      <c r="H1206" s="3" t="s">
        <v>136</v>
      </c>
      <c r="I1206" s="19">
        <v>21140</v>
      </c>
      <c r="J1206" s="19">
        <v>1150</v>
      </c>
      <c r="K1206" s="87">
        <f t="shared" si="158"/>
        <v>22290</v>
      </c>
      <c r="L1206" s="356"/>
      <c r="M1206" s="345"/>
      <c r="N1206" s="208"/>
      <c r="O1206" s="87">
        <f t="shared" si="159"/>
        <v>0</v>
      </c>
      <c r="P1206" s="356"/>
      <c r="Q1206" s="345">
        <f t="shared" si="155"/>
        <v>21140</v>
      </c>
      <c r="R1206" s="19">
        <f t="shared" si="156"/>
        <v>1150</v>
      </c>
      <c r="S1206" s="87">
        <f t="shared" si="157"/>
        <v>22290</v>
      </c>
    </row>
    <row r="1207" spans="2:19" x14ac:dyDescent="0.2">
      <c r="B1207" s="83">
        <f t="shared" si="160"/>
        <v>615</v>
      </c>
      <c r="C1207" s="3"/>
      <c r="D1207" s="3"/>
      <c r="E1207" s="3"/>
      <c r="F1207" s="26" t="s">
        <v>171</v>
      </c>
      <c r="G1207" s="3">
        <v>635</v>
      </c>
      <c r="H1207" s="3" t="s">
        <v>144</v>
      </c>
      <c r="I1207" s="19">
        <v>1300</v>
      </c>
      <c r="J1207" s="19">
        <v>-1150</v>
      </c>
      <c r="K1207" s="87">
        <f t="shared" si="158"/>
        <v>150</v>
      </c>
      <c r="L1207" s="356"/>
      <c r="M1207" s="345"/>
      <c r="N1207" s="208"/>
      <c r="O1207" s="87">
        <f t="shared" si="159"/>
        <v>0</v>
      </c>
      <c r="P1207" s="356"/>
      <c r="Q1207" s="345">
        <f t="shared" si="155"/>
        <v>1300</v>
      </c>
      <c r="R1207" s="19">
        <f t="shared" si="156"/>
        <v>-1150</v>
      </c>
      <c r="S1207" s="87">
        <f t="shared" si="157"/>
        <v>150</v>
      </c>
    </row>
    <row r="1208" spans="2:19" x14ac:dyDescent="0.2">
      <c r="B1208" s="83">
        <f t="shared" si="160"/>
        <v>616</v>
      </c>
      <c r="C1208" s="3"/>
      <c r="D1208" s="3"/>
      <c r="E1208" s="3"/>
      <c r="F1208" s="26" t="s">
        <v>171</v>
      </c>
      <c r="G1208" s="3">
        <v>637</v>
      </c>
      <c r="H1208" s="3" t="s">
        <v>133</v>
      </c>
      <c r="I1208" s="19">
        <v>450</v>
      </c>
      <c r="J1208" s="19"/>
      <c r="K1208" s="87">
        <f t="shared" si="158"/>
        <v>450</v>
      </c>
      <c r="L1208" s="356"/>
      <c r="M1208" s="345"/>
      <c r="N1208" s="208"/>
      <c r="O1208" s="87">
        <f t="shared" si="159"/>
        <v>0</v>
      </c>
      <c r="P1208" s="356"/>
      <c r="Q1208" s="345">
        <f t="shared" si="155"/>
        <v>450</v>
      </c>
      <c r="R1208" s="19">
        <f t="shared" si="156"/>
        <v>0</v>
      </c>
      <c r="S1208" s="87">
        <f t="shared" si="157"/>
        <v>450</v>
      </c>
    </row>
    <row r="1209" spans="2:19" x14ac:dyDescent="0.2">
      <c r="B1209" s="83">
        <f t="shared" si="160"/>
        <v>617</v>
      </c>
      <c r="C1209" s="6"/>
      <c r="D1209" s="6"/>
      <c r="E1209" s="6" t="s">
        <v>95</v>
      </c>
      <c r="F1209" s="29"/>
      <c r="G1209" s="6"/>
      <c r="H1209" s="6" t="s">
        <v>96</v>
      </c>
      <c r="I1209" s="40">
        <f>I1210+I1211+I1212+I1217</f>
        <v>84442</v>
      </c>
      <c r="J1209" s="40">
        <f>J1210+J1211+J1212+J1217</f>
        <v>1800</v>
      </c>
      <c r="K1209" s="100">
        <f t="shared" si="158"/>
        <v>86242</v>
      </c>
      <c r="L1209" s="355"/>
      <c r="M1209" s="398">
        <f>M1218</f>
        <v>37230</v>
      </c>
      <c r="N1209" s="261"/>
      <c r="O1209" s="100">
        <f t="shared" si="159"/>
        <v>37230</v>
      </c>
      <c r="P1209" s="355"/>
      <c r="Q1209" s="398">
        <f t="shared" si="155"/>
        <v>121672</v>
      </c>
      <c r="R1209" s="40">
        <f t="shared" si="156"/>
        <v>1800</v>
      </c>
      <c r="S1209" s="100">
        <f t="shared" si="157"/>
        <v>123472</v>
      </c>
    </row>
    <row r="1210" spans="2:19" x14ac:dyDescent="0.2">
      <c r="B1210" s="83">
        <f t="shared" si="160"/>
        <v>618</v>
      </c>
      <c r="C1210" s="7"/>
      <c r="D1210" s="7"/>
      <c r="E1210" s="7"/>
      <c r="F1210" s="25" t="s">
        <v>171</v>
      </c>
      <c r="G1210" s="7">
        <v>610</v>
      </c>
      <c r="H1210" s="7" t="s">
        <v>142</v>
      </c>
      <c r="I1210" s="23">
        <f>33493+740</f>
        <v>34233</v>
      </c>
      <c r="J1210" s="23"/>
      <c r="K1210" s="86">
        <f t="shared" si="158"/>
        <v>34233</v>
      </c>
      <c r="L1210" s="355"/>
      <c r="M1210" s="344"/>
      <c r="N1210" s="246"/>
      <c r="O1210" s="86">
        <f t="shared" si="159"/>
        <v>0</v>
      </c>
      <c r="P1210" s="355"/>
      <c r="Q1210" s="344">
        <f t="shared" si="155"/>
        <v>34233</v>
      </c>
      <c r="R1210" s="23">
        <f t="shared" si="156"/>
        <v>0</v>
      </c>
      <c r="S1210" s="86">
        <f t="shared" si="157"/>
        <v>34233</v>
      </c>
    </row>
    <row r="1211" spans="2:19" x14ac:dyDescent="0.2">
      <c r="B1211" s="83">
        <f t="shared" si="160"/>
        <v>619</v>
      </c>
      <c r="C1211" s="7"/>
      <c r="D1211" s="7"/>
      <c r="E1211" s="7"/>
      <c r="F1211" s="25" t="s">
        <v>171</v>
      </c>
      <c r="G1211" s="7">
        <v>620</v>
      </c>
      <c r="H1211" s="7" t="s">
        <v>135</v>
      </c>
      <c r="I1211" s="23">
        <f>12272+260</f>
        <v>12532</v>
      </c>
      <c r="J1211" s="23"/>
      <c r="K1211" s="86">
        <f t="shared" si="158"/>
        <v>12532</v>
      </c>
      <c r="L1211" s="355"/>
      <c r="M1211" s="344"/>
      <c r="N1211" s="246"/>
      <c r="O1211" s="86">
        <f t="shared" si="159"/>
        <v>0</v>
      </c>
      <c r="P1211" s="355"/>
      <c r="Q1211" s="344">
        <f t="shared" si="155"/>
        <v>12532</v>
      </c>
      <c r="R1211" s="23">
        <f t="shared" si="156"/>
        <v>0</v>
      </c>
      <c r="S1211" s="86">
        <f t="shared" si="157"/>
        <v>12532</v>
      </c>
    </row>
    <row r="1212" spans="2:19" x14ac:dyDescent="0.2">
      <c r="B1212" s="83">
        <f t="shared" si="160"/>
        <v>620</v>
      </c>
      <c r="C1212" s="7"/>
      <c r="D1212" s="7"/>
      <c r="E1212" s="7"/>
      <c r="F1212" s="25" t="s">
        <v>171</v>
      </c>
      <c r="G1212" s="7">
        <v>630</v>
      </c>
      <c r="H1212" s="7" t="s">
        <v>132</v>
      </c>
      <c r="I1212" s="23">
        <f>SUM(I1213:I1216)</f>
        <v>37519</v>
      </c>
      <c r="J1212" s="23">
        <f>SUM(J1213:J1216)</f>
        <v>1800</v>
      </c>
      <c r="K1212" s="86">
        <f t="shared" si="158"/>
        <v>39319</v>
      </c>
      <c r="L1212" s="355"/>
      <c r="M1212" s="344"/>
      <c r="N1212" s="246"/>
      <c r="O1212" s="86">
        <f t="shared" si="159"/>
        <v>0</v>
      </c>
      <c r="P1212" s="355"/>
      <c r="Q1212" s="344">
        <f t="shared" si="155"/>
        <v>37519</v>
      </c>
      <c r="R1212" s="23">
        <f t="shared" si="156"/>
        <v>1800</v>
      </c>
      <c r="S1212" s="86">
        <f t="shared" si="157"/>
        <v>39319</v>
      </c>
    </row>
    <row r="1213" spans="2:19" x14ac:dyDescent="0.2">
      <c r="B1213" s="83">
        <f t="shared" si="160"/>
        <v>621</v>
      </c>
      <c r="C1213" s="3"/>
      <c r="D1213" s="3"/>
      <c r="E1213" s="3"/>
      <c r="F1213" s="26" t="s">
        <v>171</v>
      </c>
      <c r="G1213" s="3">
        <v>632</v>
      </c>
      <c r="H1213" s="3" t="s">
        <v>145</v>
      </c>
      <c r="I1213" s="19">
        <v>600</v>
      </c>
      <c r="J1213" s="19"/>
      <c r="K1213" s="87">
        <f t="shared" si="158"/>
        <v>600</v>
      </c>
      <c r="L1213" s="356"/>
      <c r="M1213" s="345"/>
      <c r="N1213" s="208"/>
      <c r="O1213" s="87">
        <f t="shared" si="159"/>
        <v>0</v>
      </c>
      <c r="P1213" s="356"/>
      <c r="Q1213" s="345">
        <f t="shared" si="155"/>
        <v>600</v>
      </c>
      <c r="R1213" s="19">
        <f t="shared" si="156"/>
        <v>0</v>
      </c>
      <c r="S1213" s="87">
        <f t="shared" si="157"/>
        <v>600</v>
      </c>
    </row>
    <row r="1214" spans="2:19" x14ac:dyDescent="0.2">
      <c r="B1214" s="83">
        <f t="shared" si="160"/>
        <v>622</v>
      </c>
      <c r="C1214" s="3"/>
      <c r="D1214" s="3"/>
      <c r="E1214" s="3"/>
      <c r="F1214" s="26" t="s">
        <v>171</v>
      </c>
      <c r="G1214" s="3">
        <v>633</v>
      </c>
      <c r="H1214" s="3" t="s">
        <v>136</v>
      </c>
      <c r="I1214" s="19">
        <f>33190+342</f>
        <v>33532</v>
      </c>
      <c r="J1214" s="19">
        <v>2181</v>
      </c>
      <c r="K1214" s="87">
        <f t="shared" si="158"/>
        <v>35713</v>
      </c>
      <c r="L1214" s="356"/>
      <c r="M1214" s="345"/>
      <c r="N1214" s="208"/>
      <c r="O1214" s="87">
        <f t="shared" si="159"/>
        <v>0</v>
      </c>
      <c r="P1214" s="356"/>
      <c r="Q1214" s="345">
        <f t="shared" si="155"/>
        <v>33532</v>
      </c>
      <c r="R1214" s="19">
        <f t="shared" si="156"/>
        <v>2181</v>
      </c>
      <c r="S1214" s="87">
        <f t="shared" si="157"/>
        <v>35713</v>
      </c>
    </row>
    <row r="1215" spans="2:19" x14ac:dyDescent="0.2">
      <c r="B1215" s="83">
        <f t="shared" si="160"/>
        <v>623</v>
      </c>
      <c r="C1215" s="3"/>
      <c r="D1215" s="3"/>
      <c r="E1215" s="3"/>
      <c r="F1215" s="26" t="s">
        <v>171</v>
      </c>
      <c r="G1215" s="3">
        <v>635</v>
      </c>
      <c r="H1215" s="3" t="s">
        <v>144</v>
      </c>
      <c r="I1215" s="19">
        <f>1200-573</f>
        <v>627</v>
      </c>
      <c r="J1215" s="19">
        <v>-381</v>
      </c>
      <c r="K1215" s="87">
        <f t="shared" si="158"/>
        <v>246</v>
      </c>
      <c r="L1215" s="356"/>
      <c r="M1215" s="345"/>
      <c r="N1215" s="208"/>
      <c r="O1215" s="87">
        <f t="shared" si="159"/>
        <v>0</v>
      </c>
      <c r="P1215" s="356"/>
      <c r="Q1215" s="345">
        <f t="shared" si="155"/>
        <v>627</v>
      </c>
      <c r="R1215" s="19">
        <f t="shared" si="156"/>
        <v>-381</v>
      </c>
      <c r="S1215" s="87">
        <f t="shared" si="157"/>
        <v>246</v>
      </c>
    </row>
    <row r="1216" spans="2:19" x14ac:dyDescent="0.2">
      <c r="B1216" s="83">
        <f t="shared" si="160"/>
        <v>624</v>
      </c>
      <c r="C1216" s="3"/>
      <c r="D1216" s="3"/>
      <c r="E1216" s="3"/>
      <c r="F1216" s="26" t="s">
        <v>171</v>
      </c>
      <c r="G1216" s="3">
        <v>637</v>
      </c>
      <c r="H1216" s="3" t="s">
        <v>133</v>
      </c>
      <c r="I1216" s="19">
        <v>2760</v>
      </c>
      <c r="J1216" s="19"/>
      <c r="K1216" s="87">
        <f t="shared" si="158"/>
        <v>2760</v>
      </c>
      <c r="L1216" s="356"/>
      <c r="M1216" s="345"/>
      <c r="N1216" s="208"/>
      <c r="O1216" s="87">
        <f t="shared" si="159"/>
        <v>0</v>
      </c>
      <c r="P1216" s="356"/>
      <c r="Q1216" s="345">
        <f t="shared" si="155"/>
        <v>2760</v>
      </c>
      <c r="R1216" s="19">
        <f t="shared" si="156"/>
        <v>0</v>
      </c>
      <c r="S1216" s="87">
        <f t="shared" si="157"/>
        <v>2760</v>
      </c>
    </row>
    <row r="1217" spans="2:19" x14ac:dyDescent="0.2">
      <c r="B1217" s="83">
        <f t="shared" si="160"/>
        <v>625</v>
      </c>
      <c r="C1217" s="3"/>
      <c r="D1217" s="3"/>
      <c r="E1217" s="3"/>
      <c r="F1217" s="25" t="s">
        <v>171</v>
      </c>
      <c r="G1217" s="7">
        <v>640</v>
      </c>
      <c r="H1217" s="7" t="s">
        <v>140</v>
      </c>
      <c r="I1217" s="23">
        <v>158</v>
      </c>
      <c r="J1217" s="23"/>
      <c r="K1217" s="86">
        <f t="shared" si="158"/>
        <v>158</v>
      </c>
      <c r="L1217" s="355"/>
      <c r="M1217" s="344"/>
      <c r="N1217" s="246"/>
      <c r="O1217" s="86">
        <f t="shared" si="159"/>
        <v>0</v>
      </c>
      <c r="P1217" s="355"/>
      <c r="Q1217" s="344">
        <f t="shared" si="155"/>
        <v>158</v>
      </c>
      <c r="R1217" s="23">
        <f t="shared" si="156"/>
        <v>0</v>
      </c>
      <c r="S1217" s="86">
        <f t="shared" si="157"/>
        <v>158</v>
      </c>
    </row>
    <row r="1218" spans="2:19" x14ac:dyDescent="0.2">
      <c r="B1218" s="83">
        <f t="shared" si="160"/>
        <v>626</v>
      </c>
      <c r="C1218" s="3"/>
      <c r="D1218" s="3"/>
      <c r="E1218" s="3"/>
      <c r="F1218" s="25" t="s">
        <v>171</v>
      </c>
      <c r="G1218" s="7">
        <v>710</v>
      </c>
      <c r="H1218" s="7" t="s">
        <v>187</v>
      </c>
      <c r="I1218" s="23"/>
      <c r="J1218" s="23"/>
      <c r="K1218" s="86">
        <f t="shared" si="158"/>
        <v>0</v>
      </c>
      <c r="L1218" s="355"/>
      <c r="M1218" s="344">
        <f>M1219</f>
        <v>37230</v>
      </c>
      <c r="N1218" s="246"/>
      <c r="O1218" s="86">
        <f t="shared" si="159"/>
        <v>37230</v>
      </c>
      <c r="P1218" s="355"/>
      <c r="Q1218" s="344">
        <f t="shared" si="155"/>
        <v>37230</v>
      </c>
      <c r="R1218" s="23">
        <f t="shared" si="156"/>
        <v>0</v>
      </c>
      <c r="S1218" s="86">
        <f t="shared" si="157"/>
        <v>37230</v>
      </c>
    </row>
    <row r="1219" spans="2:19" x14ac:dyDescent="0.2">
      <c r="B1219" s="83">
        <f t="shared" si="160"/>
        <v>627</v>
      </c>
      <c r="C1219" s="3"/>
      <c r="D1219" s="3"/>
      <c r="E1219" s="3"/>
      <c r="F1219" s="26" t="s">
        <v>171</v>
      </c>
      <c r="G1219" s="3">
        <v>717</v>
      </c>
      <c r="H1219" s="3" t="s">
        <v>197</v>
      </c>
      <c r="I1219" s="19"/>
      <c r="J1219" s="19"/>
      <c r="K1219" s="87">
        <f t="shared" si="158"/>
        <v>0</v>
      </c>
      <c r="L1219" s="356"/>
      <c r="M1219" s="345">
        <f>SUM(M1220:M1220)</f>
        <v>37230</v>
      </c>
      <c r="N1219" s="208"/>
      <c r="O1219" s="87">
        <f t="shared" si="159"/>
        <v>37230</v>
      </c>
      <c r="P1219" s="356"/>
      <c r="Q1219" s="345">
        <f t="shared" si="155"/>
        <v>37230</v>
      </c>
      <c r="R1219" s="19">
        <f t="shared" si="156"/>
        <v>0</v>
      </c>
      <c r="S1219" s="87">
        <f t="shared" si="157"/>
        <v>37230</v>
      </c>
    </row>
    <row r="1220" spans="2:19" x14ac:dyDescent="0.2">
      <c r="B1220" s="83">
        <f t="shared" si="160"/>
        <v>628</v>
      </c>
      <c r="C1220" s="3"/>
      <c r="D1220" s="3"/>
      <c r="E1220" s="3"/>
      <c r="F1220" s="27"/>
      <c r="G1220" s="4"/>
      <c r="H1220" s="4" t="s">
        <v>621</v>
      </c>
      <c r="I1220" s="21"/>
      <c r="J1220" s="21"/>
      <c r="K1220" s="88">
        <f t="shared" si="158"/>
        <v>0</v>
      </c>
      <c r="L1220" s="357"/>
      <c r="M1220" s="388">
        <v>37230</v>
      </c>
      <c r="N1220" s="259"/>
      <c r="O1220" s="389">
        <f t="shared" si="159"/>
        <v>37230</v>
      </c>
      <c r="P1220" s="357"/>
      <c r="Q1220" s="346">
        <f t="shared" si="155"/>
        <v>37230</v>
      </c>
      <c r="R1220" s="21">
        <f t="shared" si="156"/>
        <v>0</v>
      </c>
      <c r="S1220" s="88">
        <f t="shared" si="157"/>
        <v>37230</v>
      </c>
    </row>
    <row r="1221" spans="2:19" ht="15" x14ac:dyDescent="0.25">
      <c r="B1221" s="83">
        <f t="shared" si="160"/>
        <v>629</v>
      </c>
      <c r="C1221" s="10"/>
      <c r="D1221" s="10"/>
      <c r="E1221" s="10">
        <v>6</v>
      </c>
      <c r="F1221" s="28"/>
      <c r="G1221" s="10"/>
      <c r="H1221" s="10" t="s">
        <v>12</v>
      </c>
      <c r="I1221" s="38">
        <f>I1222+I1223+I1224+I1229+I1230+I1231+I1232+I1237</f>
        <v>172191</v>
      </c>
      <c r="J1221" s="38">
        <f>J1222+J1223+J1224+J1229+J1230+J1231+J1232+J1237</f>
        <v>3300</v>
      </c>
      <c r="K1221" s="94">
        <f t="shared" si="158"/>
        <v>175491</v>
      </c>
      <c r="L1221" s="365"/>
      <c r="M1221" s="362">
        <v>0</v>
      </c>
      <c r="N1221" s="253"/>
      <c r="O1221" s="94">
        <f t="shared" si="159"/>
        <v>0</v>
      </c>
      <c r="P1221" s="365"/>
      <c r="Q1221" s="362">
        <f t="shared" si="155"/>
        <v>172191</v>
      </c>
      <c r="R1221" s="38">
        <f t="shared" si="156"/>
        <v>3300</v>
      </c>
      <c r="S1221" s="94">
        <f t="shared" si="157"/>
        <v>175491</v>
      </c>
    </row>
    <row r="1222" spans="2:19" x14ac:dyDescent="0.2">
      <c r="B1222" s="83">
        <f t="shared" si="160"/>
        <v>630</v>
      </c>
      <c r="C1222" s="7"/>
      <c r="D1222" s="7"/>
      <c r="E1222" s="7"/>
      <c r="F1222" s="25" t="s">
        <v>87</v>
      </c>
      <c r="G1222" s="7">
        <v>610</v>
      </c>
      <c r="H1222" s="7" t="s">
        <v>142</v>
      </c>
      <c r="I1222" s="23">
        <v>27947</v>
      </c>
      <c r="J1222" s="23">
        <v>699</v>
      </c>
      <c r="K1222" s="86">
        <f t="shared" si="158"/>
        <v>28646</v>
      </c>
      <c r="L1222" s="355"/>
      <c r="M1222" s="344"/>
      <c r="N1222" s="246"/>
      <c r="O1222" s="86">
        <f t="shared" si="159"/>
        <v>0</v>
      </c>
      <c r="P1222" s="355"/>
      <c r="Q1222" s="344">
        <f t="shared" si="155"/>
        <v>27947</v>
      </c>
      <c r="R1222" s="23">
        <f t="shared" si="156"/>
        <v>699</v>
      </c>
      <c r="S1222" s="86">
        <f t="shared" si="157"/>
        <v>28646</v>
      </c>
    </row>
    <row r="1223" spans="2:19" x14ac:dyDescent="0.2">
      <c r="B1223" s="83">
        <f t="shared" si="160"/>
        <v>631</v>
      </c>
      <c r="C1223" s="7"/>
      <c r="D1223" s="7"/>
      <c r="E1223" s="7"/>
      <c r="F1223" s="25" t="s">
        <v>87</v>
      </c>
      <c r="G1223" s="7">
        <v>620</v>
      </c>
      <c r="H1223" s="7" t="s">
        <v>135</v>
      </c>
      <c r="I1223" s="23">
        <v>10397</v>
      </c>
      <c r="J1223" s="23">
        <v>-586</v>
      </c>
      <c r="K1223" s="86">
        <f t="shared" si="158"/>
        <v>9811</v>
      </c>
      <c r="L1223" s="355"/>
      <c r="M1223" s="344"/>
      <c r="N1223" s="246"/>
      <c r="O1223" s="86">
        <f t="shared" si="159"/>
        <v>0</v>
      </c>
      <c r="P1223" s="355"/>
      <c r="Q1223" s="344">
        <f t="shared" si="155"/>
        <v>10397</v>
      </c>
      <c r="R1223" s="23">
        <f t="shared" si="156"/>
        <v>-586</v>
      </c>
      <c r="S1223" s="86">
        <f t="shared" si="157"/>
        <v>9811</v>
      </c>
    </row>
    <row r="1224" spans="2:19" x14ac:dyDescent="0.2">
      <c r="B1224" s="83">
        <f t="shared" si="160"/>
        <v>632</v>
      </c>
      <c r="C1224" s="7"/>
      <c r="D1224" s="7"/>
      <c r="E1224" s="7"/>
      <c r="F1224" s="25" t="s">
        <v>87</v>
      </c>
      <c r="G1224" s="7">
        <v>630</v>
      </c>
      <c r="H1224" s="7" t="s">
        <v>132</v>
      </c>
      <c r="I1224" s="23">
        <f>SUM(I1225:I1228)</f>
        <v>47303</v>
      </c>
      <c r="J1224" s="23">
        <f>SUM(J1225:J1228)</f>
        <v>1650</v>
      </c>
      <c r="K1224" s="86">
        <f t="shared" si="158"/>
        <v>48953</v>
      </c>
      <c r="L1224" s="355"/>
      <c r="M1224" s="344"/>
      <c r="N1224" s="246"/>
      <c r="O1224" s="86">
        <f t="shared" si="159"/>
        <v>0</v>
      </c>
      <c r="P1224" s="355"/>
      <c r="Q1224" s="344">
        <f t="shared" si="155"/>
        <v>47303</v>
      </c>
      <c r="R1224" s="23">
        <f t="shared" si="156"/>
        <v>1650</v>
      </c>
      <c r="S1224" s="86">
        <f t="shared" si="157"/>
        <v>48953</v>
      </c>
    </row>
    <row r="1225" spans="2:19" x14ac:dyDescent="0.2">
      <c r="B1225" s="83">
        <f t="shared" si="160"/>
        <v>633</v>
      </c>
      <c r="C1225" s="3"/>
      <c r="D1225" s="3"/>
      <c r="E1225" s="3"/>
      <c r="F1225" s="26" t="s">
        <v>87</v>
      </c>
      <c r="G1225" s="3">
        <v>632</v>
      </c>
      <c r="H1225" s="3" t="s">
        <v>145</v>
      </c>
      <c r="I1225" s="19">
        <f>5046-186</f>
        <v>4860</v>
      </c>
      <c r="J1225" s="19">
        <v>950</v>
      </c>
      <c r="K1225" s="87">
        <f t="shared" si="158"/>
        <v>5810</v>
      </c>
      <c r="L1225" s="356"/>
      <c r="M1225" s="345"/>
      <c r="N1225" s="208"/>
      <c r="O1225" s="87">
        <f t="shared" si="159"/>
        <v>0</v>
      </c>
      <c r="P1225" s="356"/>
      <c r="Q1225" s="345">
        <f t="shared" si="155"/>
        <v>4860</v>
      </c>
      <c r="R1225" s="19">
        <f t="shared" si="156"/>
        <v>950</v>
      </c>
      <c r="S1225" s="87">
        <f t="shared" si="157"/>
        <v>5810</v>
      </c>
    </row>
    <row r="1226" spans="2:19" x14ac:dyDescent="0.2">
      <c r="B1226" s="83">
        <f t="shared" si="160"/>
        <v>634</v>
      </c>
      <c r="C1226" s="3"/>
      <c r="D1226" s="3"/>
      <c r="E1226" s="3"/>
      <c r="F1226" s="26" t="s">
        <v>87</v>
      </c>
      <c r="G1226" s="3">
        <v>633</v>
      </c>
      <c r="H1226" s="3" t="s">
        <v>136</v>
      </c>
      <c r="I1226" s="19">
        <v>40841</v>
      </c>
      <c r="J1226" s="19">
        <f>1459-1459</f>
        <v>0</v>
      </c>
      <c r="K1226" s="87">
        <f t="shared" si="158"/>
        <v>40841</v>
      </c>
      <c r="L1226" s="356"/>
      <c r="M1226" s="345"/>
      <c r="N1226" s="208"/>
      <c r="O1226" s="87">
        <f t="shared" si="159"/>
        <v>0</v>
      </c>
      <c r="P1226" s="356"/>
      <c r="Q1226" s="345">
        <f t="shared" si="155"/>
        <v>40841</v>
      </c>
      <c r="R1226" s="19">
        <f t="shared" si="156"/>
        <v>0</v>
      </c>
      <c r="S1226" s="87">
        <f t="shared" si="157"/>
        <v>40841</v>
      </c>
    </row>
    <row r="1227" spans="2:19" x14ac:dyDescent="0.2">
      <c r="B1227" s="83">
        <f t="shared" si="160"/>
        <v>635</v>
      </c>
      <c r="C1227" s="3"/>
      <c r="D1227" s="3"/>
      <c r="E1227" s="3"/>
      <c r="F1227" s="26" t="s">
        <v>87</v>
      </c>
      <c r="G1227" s="3">
        <v>635</v>
      </c>
      <c r="H1227" s="3" t="s">
        <v>144</v>
      </c>
      <c r="I1227" s="19">
        <f>216+186</f>
        <v>402</v>
      </c>
      <c r="J1227" s="19"/>
      <c r="K1227" s="87">
        <f t="shared" si="158"/>
        <v>402</v>
      </c>
      <c r="L1227" s="356"/>
      <c r="M1227" s="345"/>
      <c r="N1227" s="208"/>
      <c r="O1227" s="87">
        <f t="shared" si="159"/>
        <v>0</v>
      </c>
      <c r="P1227" s="356"/>
      <c r="Q1227" s="345">
        <f t="shared" si="155"/>
        <v>402</v>
      </c>
      <c r="R1227" s="19">
        <f t="shared" si="156"/>
        <v>0</v>
      </c>
      <c r="S1227" s="87">
        <f t="shared" si="157"/>
        <v>402</v>
      </c>
    </row>
    <row r="1228" spans="2:19" x14ac:dyDescent="0.2">
      <c r="B1228" s="83">
        <f t="shared" si="160"/>
        <v>636</v>
      </c>
      <c r="C1228" s="3"/>
      <c r="D1228" s="3"/>
      <c r="E1228" s="3"/>
      <c r="F1228" s="26" t="s">
        <v>87</v>
      </c>
      <c r="G1228" s="3">
        <v>637</v>
      </c>
      <c r="H1228" s="3" t="s">
        <v>133</v>
      </c>
      <c r="I1228" s="19">
        <v>1200</v>
      </c>
      <c r="J1228" s="19">
        <v>700</v>
      </c>
      <c r="K1228" s="87">
        <f t="shared" si="158"/>
        <v>1900</v>
      </c>
      <c r="L1228" s="356"/>
      <c r="M1228" s="345"/>
      <c r="N1228" s="208"/>
      <c r="O1228" s="87">
        <f t="shared" si="159"/>
        <v>0</v>
      </c>
      <c r="P1228" s="356"/>
      <c r="Q1228" s="345">
        <f t="shared" si="155"/>
        <v>1200</v>
      </c>
      <c r="R1228" s="19">
        <f t="shared" si="156"/>
        <v>700</v>
      </c>
      <c r="S1228" s="87">
        <f t="shared" si="157"/>
        <v>1900</v>
      </c>
    </row>
    <row r="1229" spans="2:19" x14ac:dyDescent="0.2">
      <c r="B1229" s="83">
        <f t="shared" si="160"/>
        <v>637</v>
      </c>
      <c r="C1229" s="7"/>
      <c r="D1229" s="7"/>
      <c r="E1229" s="7"/>
      <c r="F1229" s="25" t="s">
        <v>87</v>
      </c>
      <c r="G1229" s="7">
        <v>640</v>
      </c>
      <c r="H1229" s="7" t="s">
        <v>140</v>
      </c>
      <c r="I1229" s="23">
        <v>113</v>
      </c>
      <c r="J1229" s="23">
        <f>5887-6000</f>
        <v>-113</v>
      </c>
      <c r="K1229" s="86">
        <f t="shared" si="158"/>
        <v>0</v>
      </c>
      <c r="L1229" s="355"/>
      <c r="M1229" s="344"/>
      <c r="N1229" s="246"/>
      <c r="O1229" s="86">
        <f t="shared" si="159"/>
        <v>0</v>
      </c>
      <c r="P1229" s="355"/>
      <c r="Q1229" s="344">
        <f t="shared" si="155"/>
        <v>113</v>
      </c>
      <c r="R1229" s="23">
        <f t="shared" si="156"/>
        <v>-113</v>
      </c>
      <c r="S1229" s="86">
        <f t="shared" si="157"/>
        <v>0</v>
      </c>
    </row>
    <row r="1230" spans="2:19" x14ac:dyDescent="0.2">
      <c r="B1230" s="83">
        <f t="shared" si="160"/>
        <v>638</v>
      </c>
      <c r="C1230" s="7"/>
      <c r="D1230" s="7"/>
      <c r="E1230" s="7"/>
      <c r="F1230" s="25" t="s">
        <v>55</v>
      </c>
      <c r="G1230" s="7">
        <v>610</v>
      </c>
      <c r="H1230" s="7" t="s">
        <v>142</v>
      </c>
      <c r="I1230" s="23">
        <v>27328</v>
      </c>
      <c r="J1230" s="23">
        <v>647</v>
      </c>
      <c r="K1230" s="86">
        <f t="shared" si="158"/>
        <v>27975</v>
      </c>
      <c r="L1230" s="355"/>
      <c r="M1230" s="344"/>
      <c r="N1230" s="246"/>
      <c r="O1230" s="86">
        <f t="shared" si="159"/>
        <v>0</v>
      </c>
      <c r="P1230" s="355"/>
      <c r="Q1230" s="344">
        <f t="shared" si="155"/>
        <v>27328</v>
      </c>
      <c r="R1230" s="23">
        <f t="shared" si="156"/>
        <v>647</v>
      </c>
      <c r="S1230" s="86">
        <f t="shared" si="157"/>
        <v>27975</v>
      </c>
    </row>
    <row r="1231" spans="2:19" x14ac:dyDescent="0.2">
      <c r="B1231" s="83">
        <f t="shared" si="160"/>
        <v>639</v>
      </c>
      <c r="C1231" s="7"/>
      <c r="D1231" s="7"/>
      <c r="E1231" s="7"/>
      <c r="F1231" s="25" t="s">
        <v>55</v>
      </c>
      <c r="G1231" s="7">
        <v>620</v>
      </c>
      <c r="H1231" s="7" t="s">
        <v>135</v>
      </c>
      <c r="I1231" s="23">
        <v>10176</v>
      </c>
      <c r="J1231" s="23">
        <v>-624</v>
      </c>
      <c r="K1231" s="86">
        <f t="shared" si="158"/>
        <v>9552</v>
      </c>
      <c r="L1231" s="355"/>
      <c r="M1231" s="344"/>
      <c r="N1231" s="246"/>
      <c r="O1231" s="86">
        <f t="shared" si="159"/>
        <v>0</v>
      </c>
      <c r="P1231" s="355"/>
      <c r="Q1231" s="344">
        <f t="shared" si="155"/>
        <v>10176</v>
      </c>
      <c r="R1231" s="23">
        <f t="shared" si="156"/>
        <v>-624</v>
      </c>
      <c r="S1231" s="86">
        <f t="shared" si="157"/>
        <v>9552</v>
      </c>
    </row>
    <row r="1232" spans="2:19" x14ac:dyDescent="0.2">
      <c r="B1232" s="83">
        <f t="shared" si="160"/>
        <v>640</v>
      </c>
      <c r="C1232" s="7"/>
      <c r="D1232" s="7"/>
      <c r="E1232" s="7"/>
      <c r="F1232" s="25" t="s">
        <v>55</v>
      </c>
      <c r="G1232" s="7">
        <v>630</v>
      </c>
      <c r="H1232" s="7" t="s">
        <v>132</v>
      </c>
      <c r="I1232" s="23">
        <f>SUM(I1233:I1236)</f>
        <v>48814</v>
      </c>
      <c r="J1232" s="23">
        <f>SUM(J1233:J1236)</f>
        <v>1650</v>
      </c>
      <c r="K1232" s="86">
        <f t="shared" si="158"/>
        <v>50464</v>
      </c>
      <c r="L1232" s="355"/>
      <c r="M1232" s="344"/>
      <c r="N1232" s="246"/>
      <c r="O1232" s="86">
        <f t="shared" si="159"/>
        <v>0</v>
      </c>
      <c r="P1232" s="355"/>
      <c r="Q1232" s="344">
        <f t="shared" si="155"/>
        <v>48814</v>
      </c>
      <c r="R1232" s="23">
        <f t="shared" si="156"/>
        <v>1650</v>
      </c>
      <c r="S1232" s="86">
        <f t="shared" si="157"/>
        <v>50464</v>
      </c>
    </row>
    <row r="1233" spans="2:19" x14ac:dyDescent="0.2">
      <c r="B1233" s="83">
        <f t="shared" si="160"/>
        <v>641</v>
      </c>
      <c r="C1233" s="3"/>
      <c r="D1233" s="3"/>
      <c r="E1233" s="3"/>
      <c r="F1233" s="26" t="s">
        <v>55</v>
      </c>
      <c r="G1233" s="3">
        <v>632</v>
      </c>
      <c r="H1233" s="3" t="s">
        <v>145</v>
      </c>
      <c r="I1233" s="19">
        <f>5046-186</f>
        <v>4860</v>
      </c>
      <c r="J1233" s="19">
        <v>950</v>
      </c>
      <c r="K1233" s="87">
        <f t="shared" si="158"/>
        <v>5810</v>
      </c>
      <c r="L1233" s="356"/>
      <c r="M1233" s="345"/>
      <c r="N1233" s="208"/>
      <c r="O1233" s="87">
        <f t="shared" si="159"/>
        <v>0</v>
      </c>
      <c r="P1233" s="356"/>
      <c r="Q1233" s="345">
        <f t="shared" ref="Q1233:Q1305" si="161">I1233+M1233</f>
        <v>4860</v>
      </c>
      <c r="R1233" s="19">
        <f t="shared" si="156"/>
        <v>950</v>
      </c>
      <c r="S1233" s="87">
        <f t="shared" si="157"/>
        <v>5810</v>
      </c>
    </row>
    <row r="1234" spans="2:19" x14ac:dyDescent="0.2">
      <c r="B1234" s="83">
        <f t="shared" si="160"/>
        <v>642</v>
      </c>
      <c r="C1234" s="3"/>
      <c r="D1234" s="3"/>
      <c r="E1234" s="3"/>
      <c r="F1234" s="26" t="s">
        <v>55</v>
      </c>
      <c r="G1234" s="3">
        <v>633</v>
      </c>
      <c r="H1234" s="3" t="s">
        <v>136</v>
      </c>
      <c r="I1234" s="19">
        <f>40841+1511</f>
        <v>42352</v>
      </c>
      <c r="J1234" s="19">
        <f>1460-1460</f>
        <v>0</v>
      </c>
      <c r="K1234" s="87">
        <f t="shared" si="158"/>
        <v>42352</v>
      </c>
      <c r="L1234" s="356"/>
      <c r="M1234" s="345"/>
      <c r="N1234" s="208"/>
      <c r="O1234" s="87">
        <f t="shared" si="159"/>
        <v>0</v>
      </c>
      <c r="P1234" s="356"/>
      <c r="Q1234" s="345">
        <f t="shared" si="161"/>
        <v>42352</v>
      </c>
      <c r="R1234" s="19">
        <f t="shared" ref="R1234:R1306" si="162">J1234+N1234</f>
        <v>0</v>
      </c>
      <c r="S1234" s="87">
        <f t="shared" ref="S1234:S1306" si="163">K1234+O1234</f>
        <v>42352</v>
      </c>
    </row>
    <row r="1235" spans="2:19" x14ac:dyDescent="0.2">
      <c r="B1235" s="83">
        <f t="shared" si="160"/>
        <v>643</v>
      </c>
      <c r="C1235" s="3"/>
      <c r="D1235" s="3"/>
      <c r="E1235" s="3"/>
      <c r="F1235" s="26" t="s">
        <v>55</v>
      </c>
      <c r="G1235" s="3">
        <v>635</v>
      </c>
      <c r="H1235" s="3" t="s">
        <v>144</v>
      </c>
      <c r="I1235" s="19">
        <f>216+186</f>
        <v>402</v>
      </c>
      <c r="J1235" s="19"/>
      <c r="K1235" s="87">
        <f t="shared" si="158"/>
        <v>402</v>
      </c>
      <c r="L1235" s="356"/>
      <c r="M1235" s="345"/>
      <c r="N1235" s="208"/>
      <c r="O1235" s="87">
        <f t="shared" si="159"/>
        <v>0</v>
      </c>
      <c r="P1235" s="356"/>
      <c r="Q1235" s="345">
        <f t="shared" si="161"/>
        <v>402</v>
      </c>
      <c r="R1235" s="19">
        <f t="shared" si="162"/>
        <v>0</v>
      </c>
      <c r="S1235" s="87">
        <f t="shared" si="163"/>
        <v>402</v>
      </c>
    </row>
    <row r="1236" spans="2:19" x14ac:dyDescent="0.2">
      <c r="B1236" s="83">
        <f t="shared" si="160"/>
        <v>644</v>
      </c>
      <c r="C1236" s="3"/>
      <c r="D1236" s="3"/>
      <c r="E1236" s="3"/>
      <c r="F1236" s="26" t="s">
        <v>55</v>
      </c>
      <c r="G1236" s="3">
        <v>637</v>
      </c>
      <c r="H1236" s="3" t="s">
        <v>133</v>
      </c>
      <c r="I1236" s="19">
        <v>1200</v>
      </c>
      <c r="J1236" s="19">
        <v>700</v>
      </c>
      <c r="K1236" s="87">
        <f t="shared" si="158"/>
        <v>1900</v>
      </c>
      <c r="L1236" s="356"/>
      <c r="M1236" s="345"/>
      <c r="N1236" s="208"/>
      <c r="O1236" s="87">
        <f t="shared" si="159"/>
        <v>0</v>
      </c>
      <c r="P1236" s="356"/>
      <c r="Q1236" s="345">
        <f t="shared" si="161"/>
        <v>1200</v>
      </c>
      <c r="R1236" s="19">
        <f t="shared" si="162"/>
        <v>700</v>
      </c>
      <c r="S1236" s="87">
        <f t="shared" si="163"/>
        <v>1900</v>
      </c>
    </row>
    <row r="1237" spans="2:19" x14ac:dyDescent="0.2">
      <c r="B1237" s="83">
        <f t="shared" si="160"/>
        <v>645</v>
      </c>
      <c r="C1237" s="7"/>
      <c r="D1237" s="7"/>
      <c r="E1237" s="7"/>
      <c r="F1237" s="25" t="s">
        <v>55</v>
      </c>
      <c r="G1237" s="7">
        <v>640</v>
      </c>
      <c r="H1237" s="7" t="s">
        <v>140</v>
      </c>
      <c r="I1237" s="23">
        <v>113</v>
      </c>
      <c r="J1237" s="23">
        <f>5977-6000</f>
        <v>-23</v>
      </c>
      <c r="K1237" s="86">
        <f t="shared" si="158"/>
        <v>90</v>
      </c>
      <c r="L1237" s="355"/>
      <c r="M1237" s="344"/>
      <c r="N1237" s="246"/>
      <c r="O1237" s="86">
        <f t="shared" si="159"/>
        <v>0</v>
      </c>
      <c r="P1237" s="355"/>
      <c r="Q1237" s="344">
        <f t="shared" si="161"/>
        <v>113</v>
      </c>
      <c r="R1237" s="23">
        <f t="shared" si="162"/>
        <v>-23</v>
      </c>
      <c r="S1237" s="86">
        <f t="shared" si="163"/>
        <v>90</v>
      </c>
    </row>
    <row r="1238" spans="2:19" ht="15" x14ac:dyDescent="0.25">
      <c r="B1238" s="83">
        <f t="shared" si="160"/>
        <v>646</v>
      </c>
      <c r="C1238" s="10"/>
      <c r="D1238" s="10"/>
      <c r="E1238" s="10">
        <v>7</v>
      </c>
      <c r="F1238" s="28"/>
      <c r="G1238" s="10"/>
      <c r="H1238" s="10" t="s">
        <v>13</v>
      </c>
      <c r="I1238" s="38">
        <f>I1239+I1240+I1241+I1246+I1247+I1248+I1249+I1254</f>
        <v>205648</v>
      </c>
      <c r="J1238" s="38">
        <f>J1239+J1240+J1241+J1246+J1247+J1248+J1249+J1254</f>
        <v>-3431</v>
      </c>
      <c r="K1238" s="94">
        <f t="shared" si="158"/>
        <v>202217</v>
      </c>
      <c r="L1238" s="365"/>
      <c r="M1238" s="362">
        <v>0</v>
      </c>
      <c r="N1238" s="253"/>
      <c r="O1238" s="94">
        <f t="shared" si="159"/>
        <v>0</v>
      </c>
      <c r="P1238" s="365"/>
      <c r="Q1238" s="362">
        <f t="shared" si="161"/>
        <v>205648</v>
      </c>
      <c r="R1238" s="38">
        <f t="shared" si="162"/>
        <v>-3431</v>
      </c>
      <c r="S1238" s="94">
        <f t="shared" si="163"/>
        <v>202217</v>
      </c>
    </row>
    <row r="1239" spans="2:19" x14ac:dyDescent="0.2">
      <c r="B1239" s="83">
        <f t="shared" si="160"/>
        <v>647</v>
      </c>
      <c r="C1239" s="7"/>
      <c r="D1239" s="7"/>
      <c r="E1239" s="7"/>
      <c r="F1239" s="25" t="s">
        <v>87</v>
      </c>
      <c r="G1239" s="7">
        <v>610</v>
      </c>
      <c r="H1239" s="7" t="s">
        <v>142</v>
      </c>
      <c r="I1239" s="23">
        <f>35109+2196</f>
        <v>37305</v>
      </c>
      <c r="J1239" s="23">
        <v>-2294</v>
      </c>
      <c r="K1239" s="86">
        <f t="shared" si="158"/>
        <v>35011</v>
      </c>
      <c r="L1239" s="355"/>
      <c r="M1239" s="344"/>
      <c r="N1239" s="246"/>
      <c r="O1239" s="86">
        <f t="shared" si="159"/>
        <v>0</v>
      </c>
      <c r="P1239" s="355"/>
      <c r="Q1239" s="344">
        <f t="shared" si="161"/>
        <v>37305</v>
      </c>
      <c r="R1239" s="23">
        <f t="shared" si="162"/>
        <v>-2294</v>
      </c>
      <c r="S1239" s="86">
        <f t="shared" si="163"/>
        <v>35011</v>
      </c>
    </row>
    <row r="1240" spans="2:19" x14ac:dyDescent="0.2">
      <c r="B1240" s="83">
        <f t="shared" si="160"/>
        <v>648</v>
      </c>
      <c r="C1240" s="7"/>
      <c r="D1240" s="7"/>
      <c r="E1240" s="7"/>
      <c r="F1240" s="25" t="s">
        <v>87</v>
      </c>
      <c r="G1240" s="7">
        <v>620</v>
      </c>
      <c r="H1240" s="7" t="s">
        <v>135</v>
      </c>
      <c r="I1240" s="23">
        <f>12829+773</f>
        <v>13602</v>
      </c>
      <c r="J1240" s="23">
        <v>-906</v>
      </c>
      <c r="K1240" s="86">
        <f t="shared" si="158"/>
        <v>12696</v>
      </c>
      <c r="L1240" s="355"/>
      <c r="M1240" s="344"/>
      <c r="N1240" s="246"/>
      <c r="O1240" s="86">
        <f t="shared" si="159"/>
        <v>0</v>
      </c>
      <c r="P1240" s="355"/>
      <c r="Q1240" s="344">
        <f t="shared" si="161"/>
        <v>13602</v>
      </c>
      <c r="R1240" s="23">
        <f t="shared" si="162"/>
        <v>-906</v>
      </c>
      <c r="S1240" s="86">
        <f t="shared" si="163"/>
        <v>12696</v>
      </c>
    </row>
    <row r="1241" spans="2:19" x14ac:dyDescent="0.2">
      <c r="B1241" s="83">
        <f t="shared" si="160"/>
        <v>649</v>
      </c>
      <c r="C1241" s="7"/>
      <c r="D1241" s="7"/>
      <c r="E1241" s="7"/>
      <c r="F1241" s="25" t="s">
        <v>87</v>
      </c>
      <c r="G1241" s="7">
        <v>630</v>
      </c>
      <c r="H1241" s="7" t="s">
        <v>132</v>
      </c>
      <c r="I1241" s="23">
        <f>SUM(I1242:I1245)</f>
        <v>49593</v>
      </c>
      <c r="J1241" s="23">
        <f>SUM(J1242:J1245)</f>
        <v>0</v>
      </c>
      <c r="K1241" s="86">
        <f t="shared" si="158"/>
        <v>49593</v>
      </c>
      <c r="L1241" s="355"/>
      <c r="M1241" s="344"/>
      <c r="N1241" s="246"/>
      <c r="O1241" s="86">
        <f t="shared" si="159"/>
        <v>0</v>
      </c>
      <c r="P1241" s="355"/>
      <c r="Q1241" s="344">
        <f t="shared" si="161"/>
        <v>49593</v>
      </c>
      <c r="R1241" s="23">
        <f t="shared" si="162"/>
        <v>0</v>
      </c>
      <c r="S1241" s="86">
        <f t="shared" si="163"/>
        <v>49593</v>
      </c>
    </row>
    <row r="1242" spans="2:19" x14ac:dyDescent="0.2">
      <c r="B1242" s="83">
        <f t="shared" si="160"/>
        <v>650</v>
      </c>
      <c r="C1242" s="3"/>
      <c r="D1242" s="3"/>
      <c r="E1242" s="3"/>
      <c r="F1242" s="26" t="s">
        <v>87</v>
      </c>
      <c r="G1242" s="3">
        <v>632</v>
      </c>
      <c r="H1242" s="3" t="s">
        <v>145</v>
      </c>
      <c r="I1242" s="19">
        <v>1292</v>
      </c>
      <c r="J1242" s="19"/>
      <c r="K1242" s="87">
        <f t="shared" si="158"/>
        <v>1292</v>
      </c>
      <c r="L1242" s="356"/>
      <c r="M1242" s="345"/>
      <c r="N1242" s="208"/>
      <c r="O1242" s="87">
        <f t="shared" si="159"/>
        <v>0</v>
      </c>
      <c r="P1242" s="356"/>
      <c r="Q1242" s="345">
        <f t="shared" si="161"/>
        <v>1292</v>
      </c>
      <c r="R1242" s="19">
        <f t="shared" si="162"/>
        <v>0</v>
      </c>
      <c r="S1242" s="87">
        <f t="shared" si="163"/>
        <v>1292</v>
      </c>
    </row>
    <row r="1243" spans="2:19" x14ac:dyDescent="0.2">
      <c r="B1243" s="83">
        <f t="shared" si="160"/>
        <v>651</v>
      </c>
      <c r="C1243" s="3"/>
      <c r="D1243" s="3"/>
      <c r="E1243" s="3"/>
      <c r="F1243" s="26" t="s">
        <v>87</v>
      </c>
      <c r="G1243" s="3">
        <v>633</v>
      </c>
      <c r="H1243" s="3" t="s">
        <v>136</v>
      </c>
      <c r="I1243" s="19">
        <v>45901</v>
      </c>
      <c r="J1243" s="19">
        <v>-1000</v>
      </c>
      <c r="K1243" s="87">
        <f t="shared" si="158"/>
        <v>44901</v>
      </c>
      <c r="L1243" s="356"/>
      <c r="M1243" s="345"/>
      <c r="N1243" s="208"/>
      <c r="O1243" s="87">
        <f t="shared" si="159"/>
        <v>0</v>
      </c>
      <c r="P1243" s="356"/>
      <c r="Q1243" s="345">
        <f t="shared" si="161"/>
        <v>45901</v>
      </c>
      <c r="R1243" s="19">
        <f t="shared" si="162"/>
        <v>-1000</v>
      </c>
      <c r="S1243" s="87">
        <f t="shared" si="163"/>
        <v>44901</v>
      </c>
    </row>
    <row r="1244" spans="2:19" x14ac:dyDescent="0.2">
      <c r="B1244" s="83">
        <f t="shared" si="160"/>
        <v>652</v>
      </c>
      <c r="C1244" s="3"/>
      <c r="D1244" s="3"/>
      <c r="E1244" s="3"/>
      <c r="F1244" s="26" t="s">
        <v>87</v>
      </c>
      <c r="G1244" s="3">
        <v>635</v>
      </c>
      <c r="H1244" s="3" t="s">
        <v>144</v>
      </c>
      <c r="I1244" s="19">
        <v>645</v>
      </c>
      <c r="J1244" s="19"/>
      <c r="K1244" s="87">
        <f t="shared" si="158"/>
        <v>645</v>
      </c>
      <c r="L1244" s="356"/>
      <c r="M1244" s="345"/>
      <c r="N1244" s="208"/>
      <c r="O1244" s="87">
        <f t="shared" si="159"/>
        <v>0</v>
      </c>
      <c r="P1244" s="356"/>
      <c r="Q1244" s="345">
        <f t="shared" si="161"/>
        <v>645</v>
      </c>
      <c r="R1244" s="19">
        <f t="shared" si="162"/>
        <v>0</v>
      </c>
      <c r="S1244" s="87">
        <f t="shared" si="163"/>
        <v>645</v>
      </c>
    </row>
    <row r="1245" spans="2:19" x14ac:dyDescent="0.2">
      <c r="B1245" s="83">
        <f t="shared" si="160"/>
        <v>653</v>
      </c>
      <c r="C1245" s="3"/>
      <c r="D1245" s="3"/>
      <c r="E1245" s="3"/>
      <c r="F1245" s="26" t="s">
        <v>87</v>
      </c>
      <c r="G1245" s="3">
        <v>637</v>
      </c>
      <c r="H1245" s="3" t="s">
        <v>133</v>
      </c>
      <c r="I1245" s="19">
        <v>1755</v>
      </c>
      <c r="J1245" s="19">
        <v>1000</v>
      </c>
      <c r="K1245" s="87">
        <f t="shared" si="158"/>
        <v>2755</v>
      </c>
      <c r="L1245" s="356"/>
      <c r="M1245" s="345"/>
      <c r="N1245" s="208"/>
      <c r="O1245" s="87">
        <f t="shared" si="159"/>
        <v>0</v>
      </c>
      <c r="P1245" s="356"/>
      <c r="Q1245" s="345">
        <f t="shared" si="161"/>
        <v>1755</v>
      </c>
      <c r="R1245" s="19">
        <f t="shared" si="162"/>
        <v>1000</v>
      </c>
      <c r="S1245" s="87">
        <f t="shared" si="163"/>
        <v>2755</v>
      </c>
    </row>
    <row r="1246" spans="2:19" x14ac:dyDescent="0.2">
      <c r="B1246" s="83">
        <f t="shared" si="160"/>
        <v>654</v>
      </c>
      <c r="C1246" s="7"/>
      <c r="D1246" s="7"/>
      <c r="E1246" s="7"/>
      <c r="F1246" s="25" t="s">
        <v>87</v>
      </c>
      <c r="G1246" s="7">
        <v>640</v>
      </c>
      <c r="H1246" s="7" t="s">
        <v>140</v>
      </c>
      <c r="I1246" s="23">
        <v>758</v>
      </c>
      <c r="J1246" s="23">
        <v>-300</v>
      </c>
      <c r="K1246" s="86">
        <f t="shared" si="158"/>
        <v>458</v>
      </c>
      <c r="L1246" s="355"/>
      <c r="M1246" s="344"/>
      <c r="N1246" s="246"/>
      <c r="O1246" s="86">
        <f t="shared" si="159"/>
        <v>0</v>
      </c>
      <c r="P1246" s="355"/>
      <c r="Q1246" s="344">
        <f t="shared" si="161"/>
        <v>758</v>
      </c>
      <c r="R1246" s="23">
        <f t="shared" si="162"/>
        <v>-300</v>
      </c>
      <c r="S1246" s="86">
        <f t="shared" si="163"/>
        <v>458</v>
      </c>
    </row>
    <row r="1247" spans="2:19" x14ac:dyDescent="0.2">
      <c r="B1247" s="83">
        <f t="shared" si="160"/>
        <v>655</v>
      </c>
      <c r="C1247" s="7"/>
      <c r="D1247" s="7"/>
      <c r="E1247" s="7"/>
      <c r="F1247" s="25" t="s">
        <v>55</v>
      </c>
      <c r="G1247" s="7">
        <v>610</v>
      </c>
      <c r="H1247" s="7" t="s">
        <v>142</v>
      </c>
      <c r="I1247" s="23">
        <v>39549</v>
      </c>
      <c r="J1247" s="23">
        <v>1000</v>
      </c>
      <c r="K1247" s="86">
        <f t="shared" ref="K1247:K1314" si="164">J1247+I1247</f>
        <v>40549</v>
      </c>
      <c r="L1247" s="355"/>
      <c r="M1247" s="344"/>
      <c r="N1247" s="246"/>
      <c r="O1247" s="86">
        <f t="shared" ref="O1247:O1314" si="165">N1247+M1247</f>
        <v>0</v>
      </c>
      <c r="P1247" s="355"/>
      <c r="Q1247" s="344">
        <f t="shared" si="161"/>
        <v>39549</v>
      </c>
      <c r="R1247" s="23">
        <f t="shared" si="162"/>
        <v>1000</v>
      </c>
      <c r="S1247" s="86">
        <f t="shared" si="163"/>
        <v>40549</v>
      </c>
    </row>
    <row r="1248" spans="2:19" x14ac:dyDescent="0.2">
      <c r="B1248" s="83">
        <f t="shared" ref="B1248:B1315" si="166">B1247+1</f>
        <v>656</v>
      </c>
      <c r="C1248" s="7"/>
      <c r="D1248" s="7"/>
      <c r="E1248" s="7"/>
      <c r="F1248" s="25" t="s">
        <v>55</v>
      </c>
      <c r="G1248" s="7">
        <v>620</v>
      </c>
      <c r="H1248" s="7" t="s">
        <v>135</v>
      </c>
      <c r="I1248" s="23">
        <v>14544</v>
      </c>
      <c r="J1248" s="23"/>
      <c r="K1248" s="86">
        <f t="shared" si="164"/>
        <v>14544</v>
      </c>
      <c r="L1248" s="355"/>
      <c r="M1248" s="344"/>
      <c r="N1248" s="246"/>
      <c r="O1248" s="86">
        <f t="shared" si="165"/>
        <v>0</v>
      </c>
      <c r="P1248" s="355"/>
      <c r="Q1248" s="344">
        <f t="shared" si="161"/>
        <v>14544</v>
      </c>
      <c r="R1248" s="23">
        <f t="shared" si="162"/>
        <v>0</v>
      </c>
      <c r="S1248" s="86">
        <f t="shared" si="163"/>
        <v>14544</v>
      </c>
    </row>
    <row r="1249" spans="2:19" x14ac:dyDescent="0.2">
      <c r="B1249" s="83">
        <f t="shared" si="166"/>
        <v>657</v>
      </c>
      <c r="C1249" s="7"/>
      <c r="D1249" s="7"/>
      <c r="E1249" s="7"/>
      <c r="F1249" s="25" t="s">
        <v>55</v>
      </c>
      <c r="G1249" s="7">
        <v>630</v>
      </c>
      <c r="H1249" s="7" t="s">
        <v>132</v>
      </c>
      <c r="I1249" s="23">
        <f>SUM(I1250:I1253)</f>
        <v>48424</v>
      </c>
      <c r="J1249" s="23">
        <f>SUM(J1250:J1253)</f>
        <v>69</v>
      </c>
      <c r="K1249" s="86">
        <f t="shared" si="164"/>
        <v>48493</v>
      </c>
      <c r="L1249" s="355"/>
      <c r="M1249" s="344"/>
      <c r="N1249" s="246"/>
      <c r="O1249" s="86">
        <f t="shared" si="165"/>
        <v>0</v>
      </c>
      <c r="P1249" s="355"/>
      <c r="Q1249" s="344">
        <f t="shared" si="161"/>
        <v>48424</v>
      </c>
      <c r="R1249" s="23">
        <f t="shared" si="162"/>
        <v>69</v>
      </c>
      <c r="S1249" s="86">
        <f t="shared" si="163"/>
        <v>48493</v>
      </c>
    </row>
    <row r="1250" spans="2:19" x14ac:dyDescent="0.2">
      <c r="B1250" s="83">
        <f t="shared" si="166"/>
        <v>658</v>
      </c>
      <c r="C1250" s="3"/>
      <c r="D1250" s="3"/>
      <c r="E1250" s="3"/>
      <c r="F1250" s="26" t="s">
        <v>55</v>
      </c>
      <c r="G1250" s="3">
        <v>632</v>
      </c>
      <c r="H1250" s="3" t="s">
        <v>145</v>
      </c>
      <c r="I1250" s="19">
        <v>1796</v>
      </c>
      <c r="J1250" s="19"/>
      <c r="K1250" s="87">
        <f t="shared" si="164"/>
        <v>1796</v>
      </c>
      <c r="L1250" s="356"/>
      <c r="M1250" s="345"/>
      <c r="N1250" s="208"/>
      <c r="O1250" s="87">
        <f t="shared" si="165"/>
        <v>0</v>
      </c>
      <c r="P1250" s="356"/>
      <c r="Q1250" s="345">
        <f t="shared" si="161"/>
        <v>1796</v>
      </c>
      <c r="R1250" s="19">
        <f t="shared" si="162"/>
        <v>0</v>
      </c>
      <c r="S1250" s="87">
        <f t="shared" si="163"/>
        <v>1796</v>
      </c>
    </row>
    <row r="1251" spans="2:19" x14ac:dyDescent="0.2">
      <c r="B1251" s="83">
        <f t="shared" si="166"/>
        <v>659</v>
      </c>
      <c r="C1251" s="3"/>
      <c r="D1251" s="3"/>
      <c r="E1251" s="3"/>
      <c r="F1251" s="26" t="s">
        <v>55</v>
      </c>
      <c r="G1251" s="3">
        <v>633</v>
      </c>
      <c r="H1251" s="3" t="s">
        <v>136</v>
      </c>
      <c r="I1251" s="19">
        <f>43412+366</f>
        <v>43778</v>
      </c>
      <c r="J1251" s="19">
        <v>-731</v>
      </c>
      <c r="K1251" s="87">
        <f t="shared" si="164"/>
        <v>43047</v>
      </c>
      <c r="L1251" s="356"/>
      <c r="M1251" s="345"/>
      <c r="N1251" s="208"/>
      <c r="O1251" s="87">
        <f t="shared" si="165"/>
        <v>0</v>
      </c>
      <c r="P1251" s="356"/>
      <c r="Q1251" s="345">
        <f t="shared" si="161"/>
        <v>43778</v>
      </c>
      <c r="R1251" s="19">
        <f t="shared" si="162"/>
        <v>-731</v>
      </c>
      <c r="S1251" s="87">
        <f t="shared" si="163"/>
        <v>43047</v>
      </c>
    </row>
    <row r="1252" spans="2:19" x14ac:dyDescent="0.2">
      <c r="B1252" s="83">
        <f t="shared" si="166"/>
        <v>660</v>
      </c>
      <c r="C1252" s="3"/>
      <c r="D1252" s="3"/>
      <c r="E1252" s="3"/>
      <c r="F1252" s="26" t="s">
        <v>55</v>
      </c>
      <c r="G1252" s="3">
        <v>635</v>
      </c>
      <c r="H1252" s="3" t="s">
        <v>144</v>
      </c>
      <c r="I1252" s="19">
        <v>855</v>
      </c>
      <c r="J1252" s="19"/>
      <c r="K1252" s="87">
        <f t="shared" si="164"/>
        <v>855</v>
      </c>
      <c r="L1252" s="356"/>
      <c r="M1252" s="345"/>
      <c r="N1252" s="208"/>
      <c r="O1252" s="87">
        <f t="shared" si="165"/>
        <v>0</v>
      </c>
      <c r="P1252" s="356"/>
      <c r="Q1252" s="345">
        <f t="shared" si="161"/>
        <v>855</v>
      </c>
      <c r="R1252" s="19">
        <f t="shared" si="162"/>
        <v>0</v>
      </c>
      <c r="S1252" s="87">
        <f t="shared" si="163"/>
        <v>855</v>
      </c>
    </row>
    <row r="1253" spans="2:19" x14ac:dyDescent="0.2">
      <c r="B1253" s="83">
        <f t="shared" si="166"/>
        <v>661</v>
      </c>
      <c r="C1253" s="3"/>
      <c r="D1253" s="3"/>
      <c r="E1253" s="3"/>
      <c r="F1253" s="26" t="s">
        <v>55</v>
      </c>
      <c r="G1253" s="3">
        <v>637</v>
      </c>
      <c r="H1253" s="3" t="s">
        <v>133</v>
      </c>
      <c r="I1253" s="19">
        <v>1995</v>
      </c>
      <c r="J1253" s="19">
        <v>800</v>
      </c>
      <c r="K1253" s="87">
        <f t="shared" si="164"/>
        <v>2795</v>
      </c>
      <c r="L1253" s="356"/>
      <c r="M1253" s="345"/>
      <c r="N1253" s="208"/>
      <c r="O1253" s="87">
        <f t="shared" si="165"/>
        <v>0</v>
      </c>
      <c r="P1253" s="356"/>
      <c r="Q1253" s="345">
        <f t="shared" si="161"/>
        <v>1995</v>
      </c>
      <c r="R1253" s="19">
        <f t="shared" si="162"/>
        <v>800</v>
      </c>
      <c r="S1253" s="87">
        <f t="shared" si="163"/>
        <v>2795</v>
      </c>
    </row>
    <row r="1254" spans="2:19" x14ac:dyDescent="0.2">
      <c r="B1254" s="83">
        <f t="shared" si="166"/>
        <v>662</v>
      </c>
      <c r="C1254" s="7"/>
      <c r="D1254" s="7"/>
      <c r="E1254" s="7"/>
      <c r="F1254" s="25" t="s">
        <v>55</v>
      </c>
      <c r="G1254" s="7">
        <v>640</v>
      </c>
      <c r="H1254" s="7" t="s">
        <v>140</v>
      </c>
      <c r="I1254" s="23">
        <v>1873</v>
      </c>
      <c r="J1254" s="23">
        <v>-1000</v>
      </c>
      <c r="K1254" s="86">
        <f t="shared" si="164"/>
        <v>873</v>
      </c>
      <c r="L1254" s="355"/>
      <c r="M1254" s="344"/>
      <c r="N1254" s="246"/>
      <c r="O1254" s="86">
        <f t="shared" si="165"/>
        <v>0</v>
      </c>
      <c r="P1254" s="355"/>
      <c r="Q1254" s="344">
        <f t="shared" si="161"/>
        <v>1873</v>
      </c>
      <c r="R1254" s="23">
        <f t="shared" si="162"/>
        <v>-1000</v>
      </c>
      <c r="S1254" s="86">
        <f t="shared" si="163"/>
        <v>873</v>
      </c>
    </row>
    <row r="1255" spans="2:19" ht="15" x14ac:dyDescent="0.25">
      <c r="B1255" s="83">
        <f t="shared" si="166"/>
        <v>663</v>
      </c>
      <c r="C1255" s="10"/>
      <c r="D1255" s="10"/>
      <c r="E1255" s="10">
        <v>8</v>
      </c>
      <c r="F1255" s="28"/>
      <c r="G1255" s="10"/>
      <c r="H1255" s="10" t="s">
        <v>10</v>
      </c>
      <c r="I1255" s="38">
        <f>I1256+I1258</f>
        <v>141861</v>
      </c>
      <c r="J1255" s="38"/>
      <c r="K1255" s="94">
        <f t="shared" si="164"/>
        <v>141861</v>
      </c>
      <c r="L1255" s="365"/>
      <c r="M1255" s="362"/>
      <c r="N1255" s="253"/>
      <c r="O1255" s="94">
        <f t="shared" si="165"/>
        <v>0</v>
      </c>
      <c r="P1255" s="365"/>
      <c r="Q1255" s="362">
        <f t="shared" si="161"/>
        <v>141861</v>
      </c>
      <c r="R1255" s="38">
        <f t="shared" si="162"/>
        <v>0</v>
      </c>
      <c r="S1255" s="94">
        <f t="shared" si="163"/>
        <v>141861</v>
      </c>
    </row>
    <row r="1256" spans="2:19" x14ac:dyDescent="0.2">
      <c r="B1256" s="83">
        <f t="shared" si="166"/>
        <v>664</v>
      </c>
      <c r="C1256" s="7"/>
      <c r="D1256" s="7"/>
      <c r="E1256" s="7"/>
      <c r="F1256" s="25" t="s">
        <v>87</v>
      </c>
      <c r="G1256" s="7">
        <v>630</v>
      </c>
      <c r="H1256" s="7" t="s">
        <v>132</v>
      </c>
      <c r="I1256" s="23">
        <f>I1257</f>
        <v>56745</v>
      </c>
      <c r="J1256" s="23"/>
      <c r="K1256" s="86">
        <f t="shared" si="164"/>
        <v>56745</v>
      </c>
      <c r="L1256" s="355"/>
      <c r="M1256" s="344"/>
      <c r="N1256" s="246"/>
      <c r="O1256" s="86">
        <f t="shared" si="165"/>
        <v>0</v>
      </c>
      <c r="P1256" s="355"/>
      <c r="Q1256" s="344">
        <f t="shared" si="161"/>
        <v>56745</v>
      </c>
      <c r="R1256" s="23">
        <f t="shared" si="162"/>
        <v>0</v>
      </c>
      <c r="S1256" s="86">
        <f t="shared" si="163"/>
        <v>56745</v>
      </c>
    </row>
    <row r="1257" spans="2:19" x14ac:dyDescent="0.2">
      <c r="B1257" s="83">
        <f t="shared" si="166"/>
        <v>665</v>
      </c>
      <c r="C1257" s="3"/>
      <c r="D1257" s="3"/>
      <c r="E1257" s="3"/>
      <c r="F1257" s="26" t="s">
        <v>87</v>
      </c>
      <c r="G1257" s="3">
        <v>637</v>
      </c>
      <c r="H1257" s="3" t="s">
        <v>133</v>
      </c>
      <c r="I1257" s="19">
        <v>56745</v>
      </c>
      <c r="J1257" s="19"/>
      <c r="K1257" s="87">
        <f t="shared" si="164"/>
        <v>56745</v>
      </c>
      <c r="L1257" s="356"/>
      <c r="M1257" s="345"/>
      <c r="N1257" s="208"/>
      <c r="O1257" s="87">
        <f t="shared" si="165"/>
        <v>0</v>
      </c>
      <c r="P1257" s="356"/>
      <c r="Q1257" s="345">
        <f t="shared" si="161"/>
        <v>56745</v>
      </c>
      <c r="R1257" s="19">
        <f t="shared" si="162"/>
        <v>0</v>
      </c>
      <c r="S1257" s="87">
        <f t="shared" si="163"/>
        <v>56745</v>
      </c>
    </row>
    <row r="1258" spans="2:19" x14ac:dyDescent="0.2">
      <c r="B1258" s="83">
        <f t="shared" si="166"/>
        <v>666</v>
      </c>
      <c r="C1258" s="7"/>
      <c r="D1258" s="7"/>
      <c r="E1258" s="7"/>
      <c r="F1258" s="25" t="s">
        <v>55</v>
      </c>
      <c r="G1258" s="7">
        <v>630</v>
      </c>
      <c r="H1258" s="7" t="s">
        <v>132</v>
      </c>
      <c r="I1258" s="23">
        <f>I1259</f>
        <v>85116</v>
      </c>
      <c r="J1258" s="23"/>
      <c r="K1258" s="86">
        <f t="shared" si="164"/>
        <v>85116</v>
      </c>
      <c r="L1258" s="355"/>
      <c r="M1258" s="344"/>
      <c r="N1258" s="246"/>
      <c r="O1258" s="86">
        <f t="shared" si="165"/>
        <v>0</v>
      </c>
      <c r="P1258" s="355"/>
      <c r="Q1258" s="344">
        <f t="shared" si="161"/>
        <v>85116</v>
      </c>
      <c r="R1258" s="23">
        <f t="shared" si="162"/>
        <v>0</v>
      </c>
      <c r="S1258" s="86">
        <f t="shared" si="163"/>
        <v>85116</v>
      </c>
    </row>
    <row r="1259" spans="2:19" x14ac:dyDescent="0.2">
      <c r="B1259" s="83">
        <f t="shared" si="166"/>
        <v>667</v>
      </c>
      <c r="C1259" s="3"/>
      <c r="D1259" s="3"/>
      <c r="E1259" s="3"/>
      <c r="F1259" s="26" t="s">
        <v>55</v>
      </c>
      <c r="G1259" s="3">
        <v>637</v>
      </c>
      <c r="H1259" s="3" t="s">
        <v>133</v>
      </c>
      <c r="I1259" s="19">
        <v>85116</v>
      </c>
      <c r="J1259" s="19"/>
      <c r="K1259" s="87">
        <f t="shared" si="164"/>
        <v>85116</v>
      </c>
      <c r="L1259" s="356"/>
      <c r="M1259" s="345"/>
      <c r="N1259" s="208"/>
      <c r="O1259" s="87">
        <f t="shared" si="165"/>
        <v>0</v>
      </c>
      <c r="P1259" s="356"/>
      <c r="Q1259" s="345">
        <f t="shared" si="161"/>
        <v>85116</v>
      </c>
      <c r="R1259" s="19">
        <f t="shared" si="162"/>
        <v>0</v>
      </c>
      <c r="S1259" s="87">
        <f t="shared" si="163"/>
        <v>85116</v>
      </c>
    </row>
    <row r="1260" spans="2:19" ht="15" x14ac:dyDescent="0.25">
      <c r="B1260" s="83">
        <f t="shared" si="166"/>
        <v>668</v>
      </c>
      <c r="C1260" s="10"/>
      <c r="D1260" s="10"/>
      <c r="E1260" s="10">
        <v>9</v>
      </c>
      <c r="F1260" s="28"/>
      <c r="G1260" s="10"/>
      <c r="H1260" s="10" t="s">
        <v>8</v>
      </c>
      <c r="I1260" s="38">
        <f>I1261+I1262+I1263+I1269+I1270+I1271</f>
        <v>159296</v>
      </c>
      <c r="J1260" s="38">
        <f>J1261+J1262+J1263+J1269+J1270+J1271+J1276+J1268</f>
        <v>0</v>
      </c>
      <c r="K1260" s="94">
        <f t="shared" si="164"/>
        <v>159296</v>
      </c>
      <c r="L1260" s="365"/>
      <c r="M1260" s="362">
        <f>M1277</f>
        <v>2666</v>
      </c>
      <c r="N1260" s="253"/>
      <c r="O1260" s="94">
        <f t="shared" si="165"/>
        <v>2666</v>
      </c>
      <c r="P1260" s="365"/>
      <c r="Q1260" s="362">
        <f t="shared" si="161"/>
        <v>161962</v>
      </c>
      <c r="R1260" s="38">
        <f t="shared" si="162"/>
        <v>0</v>
      </c>
      <c r="S1260" s="94">
        <f t="shared" si="163"/>
        <v>161962</v>
      </c>
    </row>
    <row r="1261" spans="2:19" x14ac:dyDescent="0.2">
      <c r="B1261" s="83">
        <f t="shared" si="166"/>
        <v>669</v>
      </c>
      <c r="C1261" s="7"/>
      <c r="D1261" s="7"/>
      <c r="E1261" s="7"/>
      <c r="F1261" s="25" t="s">
        <v>87</v>
      </c>
      <c r="G1261" s="7">
        <v>610</v>
      </c>
      <c r="H1261" s="7" t="s">
        <v>142</v>
      </c>
      <c r="I1261" s="23">
        <f>22533+1733</f>
        <v>24266</v>
      </c>
      <c r="J1261" s="23">
        <v>-3600</v>
      </c>
      <c r="K1261" s="86">
        <f t="shared" si="164"/>
        <v>20666</v>
      </c>
      <c r="L1261" s="355"/>
      <c r="M1261" s="344"/>
      <c r="N1261" s="246"/>
      <c r="O1261" s="86">
        <f t="shared" si="165"/>
        <v>0</v>
      </c>
      <c r="P1261" s="355"/>
      <c r="Q1261" s="344">
        <f t="shared" si="161"/>
        <v>24266</v>
      </c>
      <c r="R1261" s="23">
        <f t="shared" si="162"/>
        <v>-3600</v>
      </c>
      <c r="S1261" s="86">
        <f t="shared" si="163"/>
        <v>20666</v>
      </c>
    </row>
    <row r="1262" spans="2:19" x14ac:dyDescent="0.2">
      <c r="B1262" s="83">
        <f t="shared" si="166"/>
        <v>670</v>
      </c>
      <c r="C1262" s="7"/>
      <c r="D1262" s="7"/>
      <c r="E1262" s="7"/>
      <c r="F1262" s="25" t="s">
        <v>87</v>
      </c>
      <c r="G1262" s="7">
        <v>620</v>
      </c>
      <c r="H1262" s="7" t="s">
        <v>135</v>
      </c>
      <c r="I1262" s="23">
        <f>8094+608</f>
        <v>8702</v>
      </c>
      <c r="J1262" s="23">
        <v>-1200</v>
      </c>
      <c r="K1262" s="86">
        <f t="shared" si="164"/>
        <v>7502</v>
      </c>
      <c r="L1262" s="355"/>
      <c r="M1262" s="344"/>
      <c r="N1262" s="246"/>
      <c r="O1262" s="86">
        <f t="shared" si="165"/>
        <v>0</v>
      </c>
      <c r="P1262" s="355"/>
      <c r="Q1262" s="344">
        <f t="shared" si="161"/>
        <v>8702</v>
      </c>
      <c r="R1262" s="23">
        <f t="shared" si="162"/>
        <v>-1200</v>
      </c>
      <c r="S1262" s="86">
        <f t="shared" si="163"/>
        <v>7502</v>
      </c>
    </row>
    <row r="1263" spans="2:19" x14ac:dyDescent="0.2">
      <c r="B1263" s="83">
        <f t="shared" si="166"/>
        <v>671</v>
      </c>
      <c r="C1263" s="7"/>
      <c r="D1263" s="7"/>
      <c r="E1263" s="7"/>
      <c r="F1263" s="25" t="s">
        <v>87</v>
      </c>
      <c r="G1263" s="7">
        <v>630</v>
      </c>
      <c r="H1263" s="7" t="s">
        <v>132</v>
      </c>
      <c r="I1263" s="23">
        <f>SUM(I1264:I1267)</f>
        <v>46430</v>
      </c>
      <c r="J1263" s="23">
        <f>SUM(J1264:J1267)</f>
        <v>4668</v>
      </c>
      <c r="K1263" s="86">
        <f t="shared" si="164"/>
        <v>51098</v>
      </c>
      <c r="L1263" s="355"/>
      <c r="M1263" s="344"/>
      <c r="N1263" s="246"/>
      <c r="O1263" s="86">
        <f t="shared" si="165"/>
        <v>0</v>
      </c>
      <c r="P1263" s="355"/>
      <c r="Q1263" s="344">
        <f t="shared" si="161"/>
        <v>46430</v>
      </c>
      <c r="R1263" s="23">
        <f t="shared" si="162"/>
        <v>4668</v>
      </c>
      <c r="S1263" s="86">
        <f t="shared" si="163"/>
        <v>51098</v>
      </c>
    </row>
    <row r="1264" spans="2:19" x14ac:dyDescent="0.2">
      <c r="B1264" s="83">
        <f t="shared" si="166"/>
        <v>672</v>
      </c>
      <c r="C1264" s="3"/>
      <c r="D1264" s="3"/>
      <c r="E1264" s="3"/>
      <c r="F1264" s="26" t="s">
        <v>87</v>
      </c>
      <c r="G1264" s="3">
        <v>632</v>
      </c>
      <c r="H1264" s="3" t="s">
        <v>145</v>
      </c>
      <c r="I1264" s="19">
        <v>9130</v>
      </c>
      <c r="J1264" s="19">
        <v>3200</v>
      </c>
      <c r="K1264" s="87">
        <f t="shared" si="164"/>
        <v>12330</v>
      </c>
      <c r="L1264" s="356"/>
      <c r="M1264" s="345"/>
      <c r="N1264" s="208"/>
      <c r="O1264" s="87">
        <f t="shared" si="165"/>
        <v>0</v>
      </c>
      <c r="P1264" s="356"/>
      <c r="Q1264" s="345">
        <f t="shared" si="161"/>
        <v>9130</v>
      </c>
      <c r="R1264" s="19">
        <f t="shared" si="162"/>
        <v>3200</v>
      </c>
      <c r="S1264" s="87">
        <f t="shared" si="163"/>
        <v>12330</v>
      </c>
    </row>
    <row r="1265" spans="2:19" x14ac:dyDescent="0.2">
      <c r="B1265" s="83">
        <f t="shared" si="166"/>
        <v>673</v>
      </c>
      <c r="C1265" s="3"/>
      <c r="D1265" s="3"/>
      <c r="E1265" s="3"/>
      <c r="F1265" s="26" t="s">
        <v>87</v>
      </c>
      <c r="G1265" s="3">
        <v>633</v>
      </c>
      <c r="H1265" s="3" t="s">
        <v>136</v>
      </c>
      <c r="I1265" s="19">
        <f>33800-250</f>
        <v>33550</v>
      </c>
      <c r="J1265" s="19">
        <f>2751-2033</f>
        <v>718</v>
      </c>
      <c r="K1265" s="87">
        <f t="shared" si="164"/>
        <v>34268</v>
      </c>
      <c r="L1265" s="356"/>
      <c r="M1265" s="345"/>
      <c r="N1265" s="208"/>
      <c r="O1265" s="87">
        <f t="shared" si="165"/>
        <v>0</v>
      </c>
      <c r="P1265" s="356"/>
      <c r="Q1265" s="345">
        <f t="shared" si="161"/>
        <v>33550</v>
      </c>
      <c r="R1265" s="19">
        <f t="shared" si="162"/>
        <v>718</v>
      </c>
      <c r="S1265" s="87">
        <f t="shared" si="163"/>
        <v>34268</v>
      </c>
    </row>
    <row r="1266" spans="2:19" x14ac:dyDescent="0.2">
      <c r="B1266" s="83">
        <f t="shared" si="166"/>
        <v>674</v>
      </c>
      <c r="C1266" s="3"/>
      <c r="D1266" s="3"/>
      <c r="E1266" s="3"/>
      <c r="F1266" s="26" t="s">
        <v>87</v>
      </c>
      <c r="G1266" s="3">
        <v>635</v>
      </c>
      <c r="H1266" s="3" t="s">
        <v>144</v>
      </c>
      <c r="I1266" s="19">
        <v>1700</v>
      </c>
      <c r="J1266" s="19"/>
      <c r="K1266" s="87">
        <f t="shared" si="164"/>
        <v>1700</v>
      </c>
      <c r="L1266" s="356"/>
      <c r="M1266" s="345"/>
      <c r="N1266" s="208"/>
      <c r="O1266" s="87">
        <f t="shared" si="165"/>
        <v>0</v>
      </c>
      <c r="P1266" s="356"/>
      <c r="Q1266" s="345">
        <f t="shared" si="161"/>
        <v>1700</v>
      </c>
      <c r="R1266" s="19">
        <f t="shared" si="162"/>
        <v>0</v>
      </c>
      <c r="S1266" s="87">
        <f t="shared" si="163"/>
        <v>1700</v>
      </c>
    </row>
    <row r="1267" spans="2:19" x14ac:dyDescent="0.2">
      <c r="B1267" s="83">
        <f t="shared" si="166"/>
        <v>675</v>
      </c>
      <c r="C1267" s="3"/>
      <c r="D1267" s="3"/>
      <c r="E1267" s="3"/>
      <c r="F1267" s="26" t="s">
        <v>87</v>
      </c>
      <c r="G1267" s="3">
        <v>637</v>
      </c>
      <c r="H1267" s="3" t="s">
        <v>133</v>
      </c>
      <c r="I1267" s="19">
        <v>2050</v>
      </c>
      <c r="J1267" s="19">
        <v>750</v>
      </c>
      <c r="K1267" s="87">
        <f t="shared" si="164"/>
        <v>2800</v>
      </c>
      <c r="L1267" s="356"/>
      <c r="M1267" s="345"/>
      <c r="N1267" s="208"/>
      <c r="O1267" s="87">
        <f t="shared" si="165"/>
        <v>0</v>
      </c>
      <c r="P1267" s="356"/>
      <c r="Q1267" s="345">
        <f t="shared" si="161"/>
        <v>2050</v>
      </c>
      <c r="R1267" s="19">
        <f t="shared" si="162"/>
        <v>750</v>
      </c>
      <c r="S1267" s="87">
        <f t="shared" si="163"/>
        <v>2800</v>
      </c>
    </row>
    <row r="1268" spans="2:19" x14ac:dyDescent="0.2">
      <c r="B1268" s="83">
        <f t="shared" si="166"/>
        <v>676</v>
      </c>
      <c r="C1268" s="3"/>
      <c r="D1268" s="3"/>
      <c r="E1268" s="3"/>
      <c r="F1268" s="30" t="s">
        <v>87</v>
      </c>
      <c r="G1268" s="2">
        <v>640</v>
      </c>
      <c r="H1268" s="2" t="s">
        <v>140</v>
      </c>
      <c r="I1268" s="18">
        <v>0</v>
      </c>
      <c r="J1268" s="18">
        <v>132</v>
      </c>
      <c r="K1268" s="114">
        <f t="shared" si="164"/>
        <v>132</v>
      </c>
      <c r="L1268" s="355"/>
      <c r="M1268" s="349"/>
      <c r="N1268" s="207"/>
      <c r="O1268" s="114"/>
      <c r="P1268" s="355"/>
      <c r="Q1268" s="349">
        <f t="shared" si="161"/>
        <v>0</v>
      </c>
      <c r="R1268" s="18">
        <f t="shared" si="162"/>
        <v>132</v>
      </c>
      <c r="S1268" s="114">
        <f t="shared" si="163"/>
        <v>132</v>
      </c>
    </row>
    <row r="1269" spans="2:19" x14ac:dyDescent="0.2">
      <c r="B1269" s="83">
        <f t="shared" si="166"/>
        <v>677</v>
      </c>
      <c r="C1269" s="7"/>
      <c r="D1269" s="7"/>
      <c r="E1269" s="7"/>
      <c r="F1269" s="25" t="s">
        <v>55</v>
      </c>
      <c r="G1269" s="7">
        <v>610</v>
      </c>
      <c r="H1269" s="7" t="s">
        <v>142</v>
      </c>
      <c r="I1269" s="23">
        <f>22533+1733</f>
        <v>24266</v>
      </c>
      <c r="J1269" s="23">
        <v>-3600</v>
      </c>
      <c r="K1269" s="86">
        <f t="shared" si="164"/>
        <v>20666</v>
      </c>
      <c r="L1269" s="355"/>
      <c r="M1269" s="344"/>
      <c r="N1269" s="246"/>
      <c r="O1269" s="86">
        <f t="shared" si="165"/>
        <v>0</v>
      </c>
      <c r="P1269" s="355"/>
      <c r="Q1269" s="344">
        <f t="shared" si="161"/>
        <v>24266</v>
      </c>
      <c r="R1269" s="23">
        <f t="shared" si="162"/>
        <v>-3600</v>
      </c>
      <c r="S1269" s="86">
        <f t="shared" si="163"/>
        <v>20666</v>
      </c>
    </row>
    <row r="1270" spans="2:19" x14ac:dyDescent="0.2">
      <c r="B1270" s="83">
        <f t="shared" si="166"/>
        <v>678</v>
      </c>
      <c r="C1270" s="7"/>
      <c r="D1270" s="7"/>
      <c r="E1270" s="7"/>
      <c r="F1270" s="25" t="s">
        <v>55</v>
      </c>
      <c r="G1270" s="7">
        <v>620</v>
      </c>
      <c r="H1270" s="7" t="s">
        <v>135</v>
      </c>
      <c r="I1270" s="23">
        <f>8094+608</f>
        <v>8702</v>
      </c>
      <c r="J1270" s="23">
        <v>-1200</v>
      </c>
      <c r="K1270" s="86">
        <f t="shared" si="164"/>
        <v>7502</v>
      </c>
      <c r="L1270" s="355"/>
      <c r="M1270" s="344"/>
      <c r="N1270" s="246"/>
      <c r="O1270" s="86">
        <f t="shared" si="165"/>
        <v>0</v>
      </c>
      <c r="P1270" s="355"/>
      <c r="Q1270" s="344">
        <f t="shared" si="161"/>
        <v>8702</v>
      </c>
      <c r="R1270" s="23">
        <f t="shared" si="162"/>
        <v>-1200</v>
      </c>
      <c r="S1270" s="86">
        <f t="shared" si="163"/>
        <v>7502</v>
      </c>
    </row>
    <row r="1271" spans="2:19" x14ac:dyDescent="0.2">
      <c r="B1271" s="83">
        <f t="shared" si="166"/>
        <v>679</v>
      </c>
      <c r="C1271" s="7"/>
      <c r="D1271" s="7"/>
      <c r="E1271" s="7"/>
      <c r="F1271" s="25" t="s">
        <v>55</v>
      </c>
      <c r="G1271" s="7">
        <v>630</v>
      </c>
      <c r="H1271" s="7" t="s">
        <v>132</v>
      </c>
      <c r="I1271" s="23">
        <f>SUM(I1272:I1275)</f>
        <v>46930</v>
      </c>
      <c r="J1271" s="23">
        <f>SUM(J1272:J1275)</f>
        <v>4668</v>
      </c>
      <c r="K1271" s="86">
        <f t="shared" si="164"/>
        <v>51598</v>
      </c>
      <c r="L1271" s="355"/>
      <c r="M1271" s="344"/>
      <c r="N1271" s="246"/>
      <c r="O1271" s="86">
        <f t="shared" si="165"/>
        <v>0</v>
      </c>
      <c r="P1271" s="355"/>
      <c r="Q1271" s="344">
        <f t="shared" si="161"/>
        <v>46930</v>
      </c>
      <c r="R1271" s="23">
        <f t="shared" si="162"/>
        <v>4668</v>
      </c>
      <c r="S1271" s="86">
        <f t="shared" si="163"/>
        <v>51598</v>
      </c>
    </row>
    <row r="1272" spans="2:19" x14ac:dyDescent="0.2">
      <c r="B1272" s="83">
        <f t="shared" si="166"/>
        <v>680</v>
      </c>
      <c r="C1272" s="3"/>
      <c r="D1272" s="3"/>
      <c r="E1272" s="3"/>
      <c r="F1272" s="26" t="s">
        <v>55</v>
      </c>
      <c r="G1272" s="3">
        <v>632</v>
      </c>
      <c r="H1272" s="3" t="s">
        <v>145</v>
      </c>
      <c r="I1272" s="19">
        <v>9130</v>
      </c>
      <c r="J1272" s="19">
        <v>3200</v>
      </c>
      <c r="K1272" s="87">
        <f t="shared" si="164"/>
        <v>12330</v>
      </c>
      <c r="L1272" s="356"/>
      <c r="M1272" s="345"/>
      <c r="N1272" s="208"/>
      <c r="O1272" s="87">
        <f t="shared" si="165"/>
        <v>0</v>
      </c>
      <c r="P1272" s="356"/>
      <c r="Q1272" s="345">
        <f t="shared" si="161"/>
        <v>9130</v>
      </c>
      <c r="R1272" s="19">
        <f t="shared" si="162"/>
        <v>3200</v>
      </c>
      <c r="S1272" s="87">
        <f t="shared" si="163"/>
        <v>12330</v>
      </c>
    </row>
    <row r="1273" spans="2:19" x14ac:dyDescent="0.2">
      <c r="B1273" s="83">
        <f t="shared" si="166"/>
        <v>681</v>
      </c>
      <c r="C1273" s="3"/>
      <c r="D1273" s="3"/>
      <c r="E1273" s="3"/>
      <c r="F1273" s="26" t="s">
        <v>55</v>
      </c>
      <c r="G1273" s="3">
        <v>633</v>
      </c>
      <c r="H1273" s="3" t="s">
        <v>136</v>
      </c>
      <c r="I1273" s="19">
        <f>33800-250</f>
        <v>33550</v>
      </c>
      <c r="J1273" s="19">
        <f>2751-2033</f>
        <v>718</v>
      </c>
      <c r="K1273" s="87">
        <f t="shared" si="164"/>
        <v>34268</v>
      </c>
      <c r="L1273" s="356"/>
      <c r="M1273" s="345"/>
      <c r="N1273" s="208"/>
      <c r="O1273" s="87">
        <f t="shared" si="165"/>
        <v>0</v>
      </c>
      <c r="P1273" s="356"/>
      <c r="Q1273" s="345">
        <f t="shared" si="161"/>
        <v>33550</v>
      </c>
      <c r="R1273" s="19">
        <f t="shared" si="162"/>
        <v>718</v>
      </c>
      <c r="S1273" s="87">
        <f t="shared" si="163"/>
        <v>34268</v>
      </c>
    </row>
    <row r="1274" spans="2:19" x14ac:dyDescent="0.2">
      <c r="B1274" s="83">
        <f t="shared" si="166"/>
        <v>682</v>
      </c>
      <c r="C1274" s="3"/>
      <c r="D1274" s="3"/>
      <c r="E1274" s="3"/>
      <c r="F1274" s="26" t="s">
        <v>55</v>
      </c>
      <c r="G1274" s="3">
        <v>635</v>
      </c>
      <c r="H1274" s="3" t="s">
        <v>144</v>
      </c>
      <c r="I1274" s="19">
        <v>1700</v>
      </c>
      <c r="J1274" s="19"/>
      <c r="K1274" s="87">
        <f t="shared" si="164"/>
        <v>1700</v>
      </c>
      <c r="L1274" s="356"/>
      <c r="M1274" s="345"/>
      <c r="N1274" s="208"/>
      <c r="O1274" s="87">
        <f t="shared" si="165"/>
        <v>0</v>
      </c>
      <c r="P1274" s="356"/>
      <c r="Q1274" s="345">
        <f t="shared" si="161"/>
        <v>1700</v>
      </c>
      <c r="R1274" s="19">
        <f t="shared" si="162"/>
        <v>0</v>
      </c>
      <c r="S1274" s="87">
        <f t="shared" si="163"/>
        <v>1700</v>
      </c>
    </row>
    <row r="1275" spans="2:19" x14ac:dyDescent="0.2">
      <c r="B1275" s="83">
        <f t="shared" si="166"/>
        <v>683</v>
      </c>
      <c r="C1275" s="3"/>
      <c r="D1275" s="3"/>
      <c r="E1275" s="3"/>
      <c r="F1275" s="26" t="s">
        <v>55</v>
      </c>
      <c r="G1275" s="3">
        <v>637</v>
      </c>
      <c r="H1275" s="3" t="s">
        <v>133</v>
      </c>
      <c r="I1275" s="19">
        <f>2050+500</f>
        <v>2550</v>
      </c>
      <c r="J1275" s="19">
        <f>2876-2126</f>
        <v>750</v>
      </c>
      <c r="K1275" s="87">
        <f t="shared" si="164"/>
        <v>3300</v>
      </c>
      <c r="L1275" s="356"/>
      <c r="M1275" s="345"/>
      <c r="N1275" s="208"/>
      <c r="O1275" s="87">
        <f t="shared" si="165"/>
        <v>0</v>
      </c>
      <c r="P1275" s="356"/>
      <c r="Q1275" s="345">
        <f t="shared" si="161"/>
        <v>2550</v>
      </c>
      <c r="R1275" s="19">
        <f t="shared" si="162"/>
        <v>750</v>
      </c>
      <c r="S1275" s="87">
        <f t="shared" si="163"/>
        <v>3300</v>
      </c>
    </row>
    <row r="1276" spans="2:19" x14ac:dyDescent="0.2">
      <c r="B1276" s="83">
        <f t="shared" si="166"/>
        <v>684</v>
      </c>
      <c r="C1276" s="3"/>
      <c r="D1276" s="3"/>
      <c r="E1276" s="3"/>
      <c r="F1276" s="30" t="s">
        <v>55</v>
      </c>
      <c r="G1276" s="2">
        <v>640</v>
      </c>
      <c r="H1276" s="2" t="s">
        <v>140</v>
      </c>
      <c r="I1276" s="18">
        <v>0</v>
      </c>
      <c r="J1276" s="18">
        <v>132</v>
      </c>
      <c r="K1276" s="114">
        <f t="shared" si="164"/>
        <v>132</v>
      </c>
      <c r="L1276" s="355"/>
      <c r="M1276" s="349"/>
      <c r="N1276" s="207"/>
      <c r="O1276" s="114"/>
      <c r="P1276" s="355"/>
      <c r="Q1276" s="349">
        <f t="shared" ref="Q1276" si="167">I1276+M1276</f>
        <v>0</v>
      </c>
      <c r="R1276" s="18">
        <f t="shared" ref="R1276" si="168">J1276+N1276</f>
        <v>132</v>
      </c>
      <c r="S1276" s="114">
        <f t="shared" ref="S1276" si="169">K1276+O1276</f>
        <v>132</v>
      </c>
    </row>
    <row r="1277" spans="2:19" x14ac:dyDescent="0.2">
      <c r="B1277" s="83">
        <f t="shared" si="166"/>
        <v>685</v>
      </c>
      <c r="C1277" s="3"/>
      <c r="D1277" s="3"/>
      <c r="E1277" s="3"/>
      <c r="F1277" s="182" t="s">
        <v>87</v>
      </c>
      <c r="G1277" s="183">
        <v>710</v>
      </c>
      <c r="H1277" s="7" t="s">
        <v>187</v>
      </c>
      <c r="I1277" s="19"/>
      <c r="J1277" s="19"/>
      <c r="K1277" s="87">
        <f t="shared" si="164"/>
        <v>0</v>
      </c>
      <c r="L1277" s="356"/>
      <c r="M1277" s="349">
        <f>M1278</f>
        <v>2666</v>
      </c>
      <c r="N1277" s="207"/>
      <c r="O1277" s="114">
        <f t="shared" si="165"/>
        <v>2666</v>
      </c>
      <c r="P1277" s="355"/>
      <c r="Q1277" s="349">
        <f t="shared" si="161"/>
        <v>2666</v>
      </c>
      <c r="R1277" s="18">
        <f t="shared" si="162"/>
        <v>0</v>
      </c>
      <c r="S1277" s="114">
        <f t="shared" si="163"/>
        <v>2666</v>
      </c>
    </row>
    <row r="1278" spans="2:19" x14ac:dyDescent="0.2">
      <c r="B1278" s="83">
        <f t="shared" si="166"/>
        <v>686</v>
      </c>
      <c r="C1278" s="3"/>
      <c r="D1278" s="3"/>
      <c r="E1278" s="3"/>
      <c r="F1278" s="184" t="s">
        <v>87</v>
      </c>
      <c r="G1278" s="185">
        <v>713</v>
      </c>
      <c r="H1278" s="3" t="s">
        <v>234</v>
      </c>
      <c r="I1278" s="19"/>
      <c r="J1278" s="19"/>
      <c r="K1278" s="87">
        <f t="shared" si="164"/>
        <v>0</v>
      </c>
      <c r="L1278" s="356"/>
      <c r="M1278" s="345">
        <f>M1279</f>
        <v>2666</v>
      </c>
      <c r="N1278" s="208"/>
      <c r="O1278" s="87">
        <f t="shared" si="165"/>
        <v>2666</v>
      </c>
      <c r="P1278" s="356"/>
      <c r="Q1278" s="345">
        <f t="shared" si="161"/>
        <v>2666</v>
      </c>
      <c r="R1278" s="19">
        <f t="shared" si="162"/>
        <v>0</v>
      </c>
      <c r="S1278" s="87">
        <f t="shared" si="163"/>
        <v>2666</v>
      </c>
    </row>
    <row r="1279" spans="2:19" x14ac:dyDescent="0.2">
      <c r="B1279" s="83">
        <f t="shared" si="166"/>
        <v>687</v>
      </c>
      <c r="C1279" s="3"/>
      <c r="D1279" s="3"/>
      <c r="E1279" s="3"/>
      <c r="F1279" s="184"/>
      <c r="G1279" s="185"/>
      <c r="H1279" s="4" t="s">
        <v>522</v>
      </c>
      <c r="I1279" s="19"/>
      <c r="J1279" s="19"/>
      <c r="K1279" s="87">
        <f t="shared" si="164"/>
        <v>0</v>
      </c>
      <c r="L1279" s="356"/>
      <c r="M1279" s="399">
        <f>1700+966</f>
        <v>2666</v>
      </c>
      <c r="N1279" s="262"/>
      <c r="O1279" s="187">
        <f t="shared" si="165"/>
        <v>2666</v>
      </c>
      <c r="P1279" s="395"/>
      <c r="Q1279" s="399">
        <f t="shared" si="161"/>
        <v>2666</v>
      </c>
      <c r="R1279" s="186">
        <f t="shared" si="162"/>
        <v>0</v>
      </c>
      <c r="S1279" s="187">
        <f t="shared" si="163"/>
        <v>2666</v>
      </c>
    </row>
    <row r="1280" spans="2:19" ht="15" x14ac:dyDescent="0.25">
      <c r="B1280" s="83">
        <f t="shared" si="166"/>
        <v>688</v>
      </c>
      <c r="C1280" s="10"/>
      <c r="D1280" s="10"/>
      <c r="E1280" s="10">
        <v>10</v>
      </c>
      <c r="F1280" s="28"/>
      <c r="G1280" s="10"/>
      <c r="H1280" s="10" t="s">
        <v>2</v>
      </c>
      <c r="I1280" s="38">
        <f>I1281+I1282+I1283+I1289+I1290+I1291+I1292+I1298</f>
        <v>255990</v>
      </c>
      <c r="J1280" s="38">
        <f>J1281+J1282+J1283+J1289+J1290+J1291+J1292+J1298</f>
        <v>28000</v>
      </c>
      <c r="K1280" s="94">
        <f t="shared" si="164"/>
        <v>283990</v>
      </c>
      <c r="L1280" s="365"/>
      <c r="M1280" s="362">
        <v>0</v>
      </c>
      <c r="N1280" s="253"/>
      <c r="O1280" s="94">
        <f t="shared" si="165"/>
        <v>0</v>
      </c>
      <c r="P1280" s="365"/>
      <c r="Q1280" s="362">
        <f t="shared" si="161"/>
        <v>255990</v>
      </c>
      <c r="R1280" s="38">
        <f t="shared" si="162"/>
        <v>28000</v>
      </c>
      <c r="S1280" s="94">
        <f t="shared" si="163"/>
        <v>283990</v>
      </c>
    </row>
    <row r="1281" spans="2:19" x14ac:dyDescent="0.2">
      <c r="B1281" s="83">
        <f t="shared" si="166"/>
        <v>689</v>
      </c>
      <c r="C1281" s="7"/>
      <c r="D1281" s="7"/>
      <c r="E1281" s="7"/>
      <c r="F1281" s="25" t="s">
        <v>87</v>
      </c>
      <c r="G1281" s="7">
        <v>610</v>
      </c>
      <c r="H1281" s="7" t="s">
        <v>142</v>
      </c>
      <c r="I1281" s="23">
        <f>32490+5616-4810</f>
        <v>33296</v>
      </c>
      <c r="J1281" s="23">
        <v>70</v>
      </c>
      <c r="K1281" s="86">
        <f t="shared" si="164"/>
        <v>33366</v>
      </c>
      <c r="L1281" s="355"/>
      <c r="M1281" s="344"/>
      <c r="N1281" s="246"/>
      <c r="O1281" s="86">
        <f t="shared" si="165"/>
        <v>0</v>
      </c>
      <c r="P1281" s="355"/>
      <c r="Q1281" s="344">
        <f t="shared" si="161"/>
        <v>33296</v>
      </c>
      <c r="R1281" s="23">
        <f t="shared" si="162"/>
        <v>70</v>
      </c>
      <c r="S1281" s="86">
        <f t="shared" si="163"/>
        <v>33366</v>
      </c>
    </row>
    <row r="1282" spans="2:19" x14ac:dyDescent="0.2">
      <c r="B1282" s="83">
        <f t="shared" si="166"/>
        <v>690</v>
      </c>
      <c r="C1282" s="7"/>
      <c r="D1282" s="7"/>
      <c r="E1282" s="7"/>
      <c r="F1282" s="25" t="s">
        <v>87</v>
      </c>
      <c r="G1282" s="7">
        <v>620</v>
      </c>
      <c r="H1282" s="7" t="s">
        <v>135</v>
      </c>
      <c r="I1282" s="23">
        <f>11356+1946-1690</f>
        <v>11612</v>
      </c>
      <c r="J1282" s="23">
        <v>25</v>
      </c>
      <c r="K1282" s="86">
        <f t="shared" si="164"/>
        <v>11637</v>
      </c>
      <c r="L1282" s="355"/>
      <c r="M1282" s="344"/>
      <c r="N1282" s="246"/>
      <c r="O1282" s="86">
        <f t="shared" si="165"/>
        <v>0</v>
      </c>
      <c r="P1282" s="355"/>
      <c r="Q1282" s="344">
        <f t="shared" si="161"/>
        <v>11612</v>
      </c>
      <c r="R1282" s="23">
        <f t="shared" si="162"/>
        <v>25</v>
      </c>
      <c r="S1282" s="86">
        <f t="shared" si="163"/>
        <v>11637</v>
      </c>
    </row>
    <row r="1283" spans="2:19" x14ac:dyDescent="0.2">
      <c r="B1283" s="83">
        <f t="shared" si="166"/>
        <v>691</v>
      </c>
      <c r="C1283" s="7"/>
      <c r="D1283" s="7"/>
      <c r="E1283" s="7"/>
      <c r="F1283" s="25" t="s">
        <v>87</v>
      </c>
      <c r="G1283" s="7">
        <v>630</v>
      </c>
      <c r="H1283" s="7" t="s">
        <v>132</v>
      </c>
      <c r="I1283" s="23">
        <f>SUM(I1284:I1288)</f>
        <v>65790</v>
      </c>
      <c r="J1283" s="23">
        <f>SUM(J1284:J1288)</f>
        <v>13256</v>
      </c>
      <c r="K1283" s="86">
        <f t="shared" si="164"/>
        <v>79046</v>
      </c>
      <c r="L1283" s="355"/>
      <c r="M1283" s="344"/>
      <c r="N1283" s="246"/>
      <c r="O1283" s="86">
        <f t="shared" si="165"/>
        <v>0</v>
      </c>
      <c r="P1283" s="355"/>
      <c r="Q1283" s="344">
        <f t="shared" si="161"/>
        <v>65790</v>
      </c>
      <c r="R1283" s="23">
        <f t="shared" si="162"/>
        <v>13256</v>
      </c>
      <c r="S1283" s="86">
        <f t="shared" si="163"/>
        <v>79046</v>
      </c>
    </row>
    <row r="1284" spans="2:19" x14ac:dyDescent="0.2">
      <c r="B1284" s="83">
        <f t="shared" si="166"/>
        <v>692</v>
      </c>
      <c r="C1284" s="3"/>
      <c r="D1284" s="3"/>
      <c r="E1284" s="3"/>
      <c r="F1284" s="26" t="s">
        <v>87</v>
      </c>
      <c r="G1284" s="3">
        <v>632</v>
      </c>
      <c r="H1284" s="3" t="s">
        <v>145</v>
      </c>
      <c r="I1284" s="19">
        <f>16050-5000</f>
        <v>11050</v>
      </c>
      <c r="J1284" s="19">
        <v>8000</v>
      </c>
      <c r="K1284" s="87">
        <f t="shared" si="164"/>
        <v>19050</v>
      </c>
      <c r="L1284" s="356"/>
      <c r="M1284" s="345"/>
      <c r="N1284" s="208"/>
      <c r="O1284" s="87">
        <f t="shared" si="165"/>
        <v>0</v>
      </c>
      <c r="P1284" s="356"/>
      <c r="Q1284" s="345">
        <f t="shared" si="161"/>
        <v>11050</v>
      </c>
      <c r="R1284" s="19">
        <f t="shared" si="162"/>
        <v>8000</v>
      </c>
      <c r="S1284" s="87">
        <f t="shared" si="163"/>
        <v>19050</v>
      </c>
    </row>
    <row r="1285" spans="2:19" x14ac:dyDescent="0.2">
      <c r="B1285" s="83">
        <f t="shared" si="166"/>
        <v>693</v>
      </c>
      <c r="C1285" s="3"/>
      <c r="D1285" s="3"/>
      <c r="E1285" s="3"/>
      <c r="F1285" s="26" t="s">
        <v>87</v>
      </c>
      <c r="G1285" s="3">
        <v>633</v>
      </c>
      <c r="H1285" s="3" t="s">
        <v>136</v>
      </c>
      <c r="I1285" s="20">
        <v>43000</v>
      </c>
      <c r="J1285" s="20">
        <v>8592</v>
      </c>
      <c r="K1285" s="123">
        <f t="shared" si="164"/>
        <v>51592</v>
      </c>
      <c r="L1285" s="356"/>
      <c r="M1285" s="345"/>
      <c r="N1285" s="208"/>
      <c r="O1285" s="87">
        <f t="shared" si="165"/>
        <v>0</v>
      </c>
      <c r="P1285" s="356"/>
      <c r="Q1285" s="345">
        <f t="shared" si="161"/>
        <v>43000</v>
      </c>
      <c r="R1285" s="19">
        <f t="shared" si="162"/>
        <v>8592</v>
      </c>
      <c r="S1285" s="87">
        <f t="shared" si="163"/>
        <v>51592</v>
      </c>
    </row>
    <row r="1286" spans="2:19" x14ac:dyDescent="0.2">
      <c r="B1286" s="83">
        <f t="shared" si="166"/>
        <v>694</v>
      </c>
      <c r="C1286" s="3"/>
      <c r="D1286" s="3"/>
      <c r="E1286" s="3"/>
      <c r="F1286" s="26" t="s">
        <v>87</v>
      </c>
      <c r="G1286" s="3">
        <v>635</v>
      </c>
      <c r="H1286" s="3" t="s">
        <v>144</v>
      </c>
      <c r="I1286" s="19">
        <f>3620+2500</f>
        <v>6120</v>
      </c>
      <c r="J1286" s="19">
        <v>-3929</v>
      </c>
      <c r="K1286" s="87">
        <f t="shared" si="164"/>
        <v>2191</v>
      </c>
      <c r="L1286" s="356"/>
      <c r="M1286" s="345"/>
      <c r="N1286" s="208"/>
      <c r="O1286" s="87">
        <f t="shared" si="165"/>
        <v>0</v>
      </c>
      <c r="P1286" s="356"/>
      <c r="Q1286" s="345">
        <f t="shared" si="161"/>
        <v>6120</v>
      </c>
      <c r="R1286" s="19">
        <f t="shared" si="162"/>
        <v>-3929</v>
      </c>
      <c r="S1286" s="87">
        <f t="shared" si="163"/>
        <v>2191</v>
      </c>
    </row>
    <row r="1287" spans="2:19" x14ac:dyDescent="0.2">
      <c r="B1287" s="83">
        <f t="shared" si="166"/>
        <v>695</v>
      </c>
      <c r="C1287" s="3"/>
      <c r="D1287" s="3"/>
      <c r="E1287" s="3"/>
      <c r="F1287" s="26" t="s">
        <v>87</v>
      </c>
      <c r="G1287" s="3">
        <v>636</v>
      </c>
      <c r="H1287" s="3" t="s">
        <v>137</v>
      </c>
      <c r="I1287" s="19">
        <v>0</v>
      </c>
      <c r="J1287" s="19">
        <v>493</v>
      </c>
      <c r="K1287" s="87">
        <f t="shared" si="164"/>
        <v>493</v>
      </c>
      <c r="L1287" s="356"/>
      <c r="M1287" s="345"/>
      <c r="N1287" s="208"/>
      <c r="O1287" s="87"/>
      <c r="P1287" s="356"/>
      <c r="Q1287" s="345">
        <f t="shared" ref="Q1287" si="170">I1287+M1287</f>
        <v>0</v>
      </c>
      <c r="R1287" s="19">
        <f t="shared" ref="R1287" si="171">J1287+N1287</f>
        <v>493</v>
      </c>
      <c r="S1287" s="87">
        <f t="shared" ref="S1287" si="172">K1287+O1287</f>
        <v>493</v>
      </c>
    </row>
    <row r="1288" spans="2:19" x14ac:dyDescent="0.2">
      <c r="B1288" s="83">
        <f t="shared" si="166"/>
        <v>696</v>
      </c>
      <c r="C1288" s="3"/>
      <c r="D1288" s="3"/>
      <c r="E1288" s="3"/>
      <c r="F1288" s="26" t="s">
        <v>87</v>
      </c>
      <c r="G1288" s="3">
        <v>637</v>
      </c>
      <c r="H1288" s="3" t="s">
        <v>133</v>
      </c>
      <c r="I1288" s="19">
        <v>5620</v>
      </c>
      <c r="J1288" s="19">
        <v>100</v>
      </c>
      <c r="K1288" s="87">
        <f t="shared" si="164"/>
        <v>5720</v>
      </c>
      <c r="L1288" s="356"/>
      <c r="M1288" s="345"/>
      <c r="N1288" s="208"/>
      <c r="O1288" s="87">
        <f t="shared" si="165"/>
        <v>0</v>
      </c>
      <c r="P1288" s="356"/>
      <c r="Q1288" s="345">
        <f t="shared" si="161"/>
        <v>5620</v>
      </c>
      <c r="R1288" s="19">
        <f t="shared" si="162"/>
        <v>100</v>
      </c>
      <c r="S1288" s="87">
        <f t="shared" si="163"/>
        <v>5720</v>
      </c>
    </row>
    <row r="1289" spans="2:19" x14ac:dyDescent="0.2">
      <c r="B1289" s="83">
        <f t="shared" si="166"/>
        <v>697</v>
      </c>
      <c r="C1289" s="7"/>
      <c r="D1289" s="7"/>
      <c r="E1289" s="7"/>
      <c r="F1289" s="25" t="s">
        <v>87</v>
      </c>
      <c r="G1289" s="7">
        <v>640</v>
      </c>
      <c r="H1289" s="7" t="s">
        <v>140</v>
      </c>
      <c r="I1289" s="23">
        <v>250</v>
      </c>
      <c r="J1289" s="23">
        <v>-95</v>
      </c>
      <c r="K1289" s="86">
        <f t="shared" si="164"/>
        <v>155</v>
      </c>
      <c r="L1289" s="355"/>
      <c r="M1289" s="344"/>
      <c r="N1289" s="246"/>
      <c r="O1289" s="86">
        <f t="shared" si="165"/>
        <v>0</v>
      </c>
      <c r="P1289" s="355"/>
      <c r="Q1289" s="344">
        <f t="shared" si="161"/>
        <v>250</v>
      </c>
      <c r="R1289" s="23">
        <f t="shared" si="162"/>
        <v>-95</v>
      </c>
      <c r="S1289" s="86">
        <f t="shared" si="163"/>
        <v>155</v>
      </c>
    </row>
    <row r="1290" spans="2:19" x14ac:dyDescent="0.2">
      <c r="B1290" s="83">
        <f t="shared" si="166"/>
        <v>698</v>
      </c>
      <c r="C1290" s="7"/>
      <c r="D1290" s="7"/>
      <c r="E1290" s="7"/>
      <c r="F1290" s="25" t="s">
        <v>55</v>
      </c>
      <c r="G1290" s="7">
        <v>610</v>
      </c>
      <c r="H1290" s="7" t="s">
        <v>142</v>
      </c>
      <c r="I1290" s="23">
        <f>26550+4212</f>
        <v>30762</v>
      </c>
      <c r="J1290" s="23">
        <v>185</v>
      </c>
      <c r="K1290" s="86">
        <f t="shared" si="164"/>
        <v>30947</v>
      </c>
      <c r="L1290" s="355"/>
      <c r="M1290" s="344"/>
      <c r="N1290" s="246"/>
      <c r="O1290" s="86">
        <f t="shared" si="165"/>
        <v>0</v>
      </c>
      <c r="P1290" s="355"/>
      <c r="Q1290" s="344">
        <f t="shared" si="161"/>
        <v>30762</v>
      </c>
      <c r="R1290" s="23">
        <f t="shared" si="162"/>
        <v>185</v>
      </c>
      <c r="S1290" s="86">
        <f t="shared" si="163"/>
        <v>30947</v>
      </c>
    </row>
    <row r="1291" spans="2:19" x14ac:dyDescent="0.2">
      <c r="B1291" s="83">
        <f t="shared" si="166"/>
        <v>699</v>
      </c>
      <c r="C1291" s="7"/>
      <c r="D1291" s="7"/>
      <c r="E1291" s="7"/>
      <c r="F1291" s="25" t="s">
        <v>55</v>
      </c>
      <c r="G1291" s="7">
        <v>620</v>
      </c>
      <c r="H1291" s="7" t="s">
        <v>135</v>
      </c>
      <c r="I1291" s="23">
        <f>9280+1460</f>
        <v>10740</v>
      </c>
      <c r="J1291" s="23">
        <v>65</v>
      </c>
      <c r="K1291" s="86">
        <f t="shared" si="164"/>
        <v>10805</v>
      </c>
      <c r="L1291" s="355"/>
      <c r="M1291" s="344"/>
      <c r="N1291" s="246"/>
      <c r="O1291" s="86">
        <f t="shared" si="165"/>
        <v>0</v>
      </c>
      <c r="P1291" s="355"/>
      <c r="Q1291" s="344">
        <f t="shared" si="161"/>
        <v>10740</v>
      </c>
      <c r="R1291" s="23">
        <f t="shared" si="162"/>
        <v>65</v>
      </c>
      <c r="S1291" s="86">
        <f t="shared" si="163"/>
        <v>10805</v>
      </c>
    </row>
    <row r="1292" spans="2:19" x14ac:dyDescent="0.2">
      <c r="B1292" s="83">
        <f t="shared" si="166"/>
        <v>700</v>
      </c>
      <c r="C1292" s="7"/>
      <c r="D1292" s="7"/>
      <c r="E1292" s="7"/>
      <c r="F1292" s="25" t="s">
        <v>55</v>
      </c>
      <c r="G1292" s="7">
        <v>630</v>
      </c>
      <c r="H1292" s="7" t="s">
        <v>132</v>
      </c>
      <c r="I1292" s="23">
        <f>SUM(I1293:I1297)</f>
        <v>103290</v>
      </c>
      <c r="J1292" s="23">
        <f>SUM(J1293:J1297)</f>
        <v>14744</v>
      </c>
      <c r="K1292" s="86">
        <f t="shared" si="164"/>
        <v>118034</v>
      </c>
      <c r="L1292" s="355"/>
      <c r="M1292" s="344"/>
      <c r="N1292" s="246"/>
      <c r="O1292" s="86">
        <f t="shared" si="165"/>
        <v>0</v>
      </c>
      <c r="P1292" s="355"/>
      <c r="Q1292" s="344">
        <f t="shared" si="161"/>
        <v>103290</v>
      </c>
      <c r="R1292" s="23">
        <f t="shared" si="162"/>
        <v>14744</v>
      </c>
      <c r="S1292" s="86">
        <f t="shared" si="163"/>
        <v>118034</v>
      </c>
    </row>
    <row r="1293" spans="2:19" x14ac:dyDescent="0.2">
      <c r="B1293" s="83">
        <f t="shared" si="166"/>
        <v>701</v>
      </c>
      <c r="C1293" s="3"/>
      <c r="D1293" s="3"/>
      <c r="E1293" s="3"/>
      <c r="F1293" s="26" t="s">
        <v>55</v>
      </c>
      <c r="G1293" s="3">
        <v>632</v>
      </c>
      <c r="H1293" s="3" t="s">
        <v>145</v>
      </c>
      <c r="I1293" s="19">
        <f>16050-5000</f>
        <v>11050</v>
      </c>
      <c r="J1293" s="19">
        <v>6000</v>
      </c>
      <c r="K1293" s="87">
        <f t="shared" si="164"/>
        <v>17050</v>
      </c>
      <c r="L1293" s="356"/>
      <c r="M1293" s="345"/>
      <c r="N1293" s="208"/>
      <c r="O1293" s="87">
        <f t="shared" si="165"/>
        <v>0</v>
      </c>
      <c r="P1293" s="356"/>
      <c r="Q1293" s="345">
        <f t="shared" si="161"/>
        <v>11050</v>
      </c>
      <c r="R1293" s="19">
        <f t="shared" si="162"/>
        <v>6000</v>
      </c>
      <c r="S1293" s="87">
        <f t="shared" si="163"/>
        <v>17050</v>
      </c>
    </row>
    <row r="1294" spans="2:19" x14ac:dyDescent="0.2">
      <c r="B1294" s="83">
        <f t="shared" si="166"/>
        <v>702</v>
      </c>
      <c r="C1294" s="3"/>
      <c r="D1294" s="3"/>
      <c r="E1294" s="3"/>
      <c r="F1294" s="26" t="s">
        <v>55</v>
      </c>
      <c r="G1294" s="3">
        <v>633</v>
      </c>
      <c r="H1294" s="3" t="s">
        <v>136</v>
      </c>
      <c r="I1294" s="20">
        <v>43000</v>
      </c>
      <c r="J1294" s="20">
        <v>9465</v>
      </c>
      <c r="K1294" s="123">
        <f t="shared" si="164"/>
        <v>52465</v>
      </c>
      <c r="L1294" s="356"/>
      <c r="M1294" s="345"/>
      <c r="N1294" s="208"/>
      <c r="O1294" s="87">
        <f t="shared" si="165"/>
        <v>0</v>
      </c>
      <c r="P1294" s="356"/>
      <c r="Q1294" s="345">
        <f t="shared" si="161"/>
        <v>43000</v>
      </c>
      <c r="R1294" s="19">
        <f t="shared" si="162"/>
        <v>9465</v>
      </c>
      <c r="S1294" s="87">
        <f t="shared" si="163"/>
        <v>52465</v>
      </c>
    </row>
    <row r="1295" spans="2:19" x14ac:dyDescent="0.2">
      <c r="B1295" s="83">
        <f t="shared" si="166"/>
        <v>703</v>
      </c>
      <c r="C1295" s="3"/>
      <c r="D1295" s="3"/>
      <c r="E1295" s="3"/>
      <c r="F1295" s="26" t="s">
        <v>55</v>
      </c>
      <c r="G1295" s="3">
        <v>635</v>
      </c>
      <c r="H1295" s="3" t="s">
        <v>144</v>
      </c>
      <c r="I1295" s="19">
        <f>3620+30000+10000</f>
        <v>43620</v>
      </c>
      <c r="J1295" s="19">
        <v>-2762</v>
      </c>
      <c r="K1295" s="87">
        <f t="shared" si="164"/>
        <v>40858</v>
      </c>
      <c r="L1295" s="356"/>
      <c r="M1295" s="345"/>
      <c r="N1295" s="208"/>
      <c r="O1295" s="87">
        <f t="shared" si="165"/>
        <v>0</v>
      </c>
      <c r="P1295" s="356"/>
      <c r="Q1295" s="345">
        <f t="shared" si="161"/>
        <v>43620</v>
      </c>
      <c r="R1295" s="19">
        <f t="shared" si="162"/>
        <v>-2762</v>
      </c>
      <c r="S1295" s="87">
        <f t="shared" si="163"/>
        <v>40858</v>
      </c>
    </row>
    <row r="1296" spans="2:19" x14ac:dyDescent="0.2">
      <c r="B1296" s="83">
        <f t="shared" si="166"/>
        <v>704</v>
      </c>
      <c r="C1296" s="3"/>
      <c r="D1296" s="3"/>
      <c r="E1296" s="3"/>
      <c r="F1296" s="26" t="s">
        <v>55</v>
      </c>
      <c r="G1296" s="3">
        <v>636</v>
      </c>
      <c r="H1296" s="3" t="s">
        <v>137</v>
      </c>
      <c r="I1296" s="19">
        <v>0</v>
      </c>
      <c r="J1296" s="19">
        <v>493</v>
      </c>
      <c r="K1296" s="87">
        <f t="shared" si="164"/>
        <v>493</v>
      </c>
      <c r="L1296" s="356"/>
      <c r="M1296" s="345"/>
      <c r="N1296" s="208"/>
      <c r="O1296" s="87"/>
      <c r="P1296" s="356"/>
      <c r="Q1296" s="345">
        <f t="shared" ref="Q1296" si="173">I1296+M1296</f>
        <v>0</v>
      </c>
      <c r="R1296" s="19">
        <f t="shared" ref="R1296" si="174">J1296+N1296</f>
        <v>493</v>
      </c>
      <c r="S1296" s="87">
        <f t="shared" ref="S1296" si="175">K1296+O1296</f>
        <v>493</v>
      </c>
    </row>
    <row r="1297" spans="2:19" x14ac:dyDescent="0.2">
      <c r="B1297" s="83">
        <f t="shared" si="166"/>
        <v>705</v>
      </c>
      <c r="C1297" s="3"/>
      <c r="D1297" s="3"/>
      <c r="E1297" s="3"/>
      <c r="F1297" s="26" t="s">
        <v>55</v>
      </c>
      <c r="G1297" s="3">
        <v>637</v>
      </c>
      <c r="H1297" s="3" t="s">
        <v>133</v>
      </c>
      <c r="I1297" s="19">
        <v>5620</v>
      </c>
      <c r="J1297" s="19">
        <f>-13163+14711</f>
        <v>1548</v>
      </c>
      <c r="K1297" s="87">
        <f t="shared" si="164"/>
        <v>7168</v>
      </c>
      <c r="L1297" s="356"/>
      <c r="M1297" s="345"/>
      <c r="N1297" s="208"/>
      <c r="O1297" s="87">
        <f t="shared" si="165"/>
        <v>0</v>
      </c>
      <c r="P1297" s="356"/>
      <c r="Q1297" s="345">
        <f t="shared" si="161"/>
        <v>5620</v>
      </c>
      <c r="R1297" s="19">
        <f t="shared" si="162"/>
        <v>1548</v>
      </c>
      <c r="S1297" s="87">
        <f t="shared" si="163"/>
        <v>7168</v>
      </c>
    </row>
    <row r="1298" spans="2:19" x14ac:dyDescent="0.2">
      <c r="B1298" s="83">
        <f t="shared" si="166"/>
        <v>706</v>
      </c>
      <c r="C1298" s="7"/>
      <c r="D1298" s="7"/>
      <c r="E1298" s="7"/>
      <c r="F1298" s="25" t="s">
        <v>55</v>
      </c>
      <c r="G1298" s="7">
        <v>640</v>
      </c>
      <c r="H1298" s="7" t="s">
        <v>140</v>
      </c>
      <c r="I1298" s="23">
        <v>250</v>
      </c>
      <c r="J1298" s="23">
        <v>-250</v>
      </c>
      <c r="K1298" s="86">
        <f t="shared" si="164"/>
        <v>0</v>
      </c>
      <c r="L1298" s="355"/>
      <c r="M1298" s="344"/>
      <c r="N1298" s="246"/>
      <c r="O1298" s="86">
        <f t="shared" si="165"/>
        <v>0</v>
      </c>
      <c r="P1298" s="355"/>
      <c r="Q1298" s="344">
        <f t="shared" si="161"/>
        <v>250</v>
      </c>
      <c r="R1298" s="23">
        <f t="shared" si="162"/>
        <v>-250</v>
      </c>
      <c r="S1298" s="86">
        <f t="shared" si="163"/>
        <v>0</v>
      </c>
    </row>
    <row r="1299" spans="2:19" ht="15" x14ac:dyDescent="0.25">
      <c r="B1299" s="83">
        <f t="shared" si="166"/>
        <v>707</v>
      </c>
      <c r="C1299" s="10"/>
      <c r="D1299" s="10"/>
      <c r="E1299" s="10">
        <v>11</v>
      </c>
      <c r="F1299" s="28"/>
      <c r="G1299" s="10"/>
      <c r="H1299" s="10" t="s">
        <v>11</v>
      </c>
      <c r="I1299" s="38">
        <f>I1300+I1301+I1302+I1308+I1309+I1310+I1311+I1317</f>
        <v>247362</v>
      </c>
      <c r="J1299" s="38">
        <f>J1300+J1301+J1302+J1308+J1309+J1310+J1311+J1317</f>
        <v>15440</v>
      </c>
      <c r="K1299" s="94">
        <f t="shared" si="164"/>
        <v>262802</v>
      </c>
      <c r="L1299" s="365"/>
      <c r="M1299" s="362">
        <v>0</v>
      </c>
      <c r="N1299" s="253"/>
      <c r="O1299" s="94">
        <f t="shared" si="165"/>
        <v>0</v>
      </c>
      <c r="P1299" s="365"/>
      <c r="Q1299" s="362">
        <f t="shared" si="161"/>
        <v>247362</v>
      </c>
      <c r="R1299" s="38">
        <f t="shared" si="162"/>
        <v>15440</v>
      </c>
      <c r="S1299" s="94">
        <f t="shared" si="163"/>
        <v>262802</v>
      </c>
    </row>
    <row r="1300" spans="2:19" x14ac:dyDescent="0.2">
      <c r="B1300" s="83">
        <f t="shared" si="166"/>
        <v>708</v>
      </c>
      <c r="C1300" s="7"/>
      <c r="D1300" s="7"/>
      <c r="E1300" s="7"/>
      <c r="F1300" s="25" t="s">
        <v>87</v>
      </c>
      <c r="G1300" s="7">
        <v>610</v>
      </c>
      <c r="H1300" s="7" t="s">
        <v>142</v>
      </c>
      <c r="I1300" s="23">
        <f>28090+3578</f>
        <v>31668</v>
      </c>
      <c r="J1300" s="23"/>
      <c r="K1300" s="86">
        <f t="shared" si="164"/>
        <v>31668</v>
      </c>
      <c r="L1300" s="355"/>
      <c r="M1300" s="344"/>
      <c r="N1300" s="246"/>
      <c r="O1300" s="86">
        <f t="shared" si="165"/>
        <v>0</v>
      </c>
      <c r="P1300" s="355"/>
      <c r="Q1300" s="344">
        <f t="shared" si="161"/>
        <v>31668</v>
      </c>
      <c r="R1300" s="23">
        <f t="shared" si="162"/>
        <v>0</v>
      </c>
      <c r="S1300" s="86">
        <f t="shared" si="163"/>
        <v>31668</v>
      </c>
    </row>
    <row r="1301" spans="2:19" x14ac:dyDescent="0.2">
      <c r="B1301" s="83">
        <f t="shared" si="166"/>
        <v>709</v>
      </c>
      <c r="C1301" s="7"/>
      <c r="D1301" s="7"/>
      <c r="E1301" s="7"/>
      <c r="F1301" s="25" t="s">
        <v>87</v>
      </c>
      <c r="G1301" s="7">
        <v>620</v>
      </c>
      <c r="H1301" s="7" t="s">
        <v>135</v>
      </c>
      <c r="I1301" s="23">
        <f>9832+1252</f>
        <v>11084</v>
      </c>
      <c r="J1301" s="23"/>
      <c r="K1301" s="86">
        <f t="shared" si="164"/>
        <v>11084</v>
      </c>
      <c r="L1301" s="355"/>
      <c r="M1301" s="344"/>
      <c r="N1301" s="246"/>
      <c r="O1301" s="86">
        <f t="shared" si="165"/>
        <v>0</v>
      </c>
      <c r="P1301" s="355"/>
      <c r="Q1301" s="344">
        <f t="shared" si="161"/>
        <v>11084</v>
      </c>
      <c r="R1301" s="23">
        <f t="shared" si="162"/>
        <v>0</v>
      </c>
      <c r="S1301" s="86">
        <f t="shared" si="163"/>
        <v>11084</v>
      </c>
    </row>
    <row r="1302" spans="2:19" x14ac:dyDescent="0.2">
      <c r="B1302" s="83">
        <f t="shared" si="166"/>
        <v>710</v>
      </c>
      <c r="C1302" s="7"/>
      <c r="D1302" s="7"/>
      <c r="E1302" s="7"/>
      <c r="F1302" s="25" t="s">
        <v>87</v>
      </c>
      <c r="G1302" s="7">
        <v>630</v>
      </c>
      <c r="H1302" s="7" t="s">
        <v>132</v>
      </c>
      <c r="I1302" s="23">
        <f>SUM(I1303:I1307)</f>
        <v>52850</v>
      </c>
      <c r="J1302" s="23">
        <f>SUM(J1303:J1307)</f>
        <v>-45450</v>
      </c>
      <c r="K1302" s="86">
        <f t="shared" si="164"/>
        <v>7400</v>
      </c>
      <c r="L1302" s="355"/>
      <c r="M1302" s="344"/>
      <c r="N1302" s="246"/>
      <c r="O1302" s="86">
        <f t="shared" si="165"/>
        <v>0</v>
      </c>
      <c r="P1302" s="355"/>
      <c r="Q1302" s="344">
        <f t="shared" si="161"/>
        <v>52850</v>
      </c>
      <c r="R1302" s="23">
        <f t="shared" si="162"/>
        <v>-45450</v>
      </c>
      <c r="S1302" s="86">
        <f t="shared" si="163"/>
        <v>7400</v>
      </c>
    </row>
    <row r="1303" spans="2:19" x14ac:dyDescent="0.2">
      <c r="B1303" s="83">
        <f t="shared" si="166"/>
        <v>711</v>
      </c>
      <c r="C1303" s="3"/>
      <c r="D1303" s="3"/>
      <c r="E1303" s="3"/>
      <c r="F1303" s="26" t="s">
        <v>87</v>
      </c>
      <c r="G1303" s="3">
        <v>631</v>
      </c>
      <c r="H1303" s="3" t="s">
        <v>138</v>
      </c>
      <c r="I1303" s="19">
        <v>5</v>
      </c>
      <c r="J1303" s="19">
        <v>-5</v>
      </c>
      <c r="K1303" s="87">
        <f t="shared" si="164"/>
        <v>0</v>
      </c>
      <c r="L1303" s="356"/>
      <c r="M1303" s="345"/>
      <c r="N1303" s="208"/>
      <c r="O1303" s="87">
        <f t="shared" si="165"/>
        <v>0</v>
      </c>
      <c r="P1303" s="356"/>
      <c r="Q1303" s="345">
        <f t="shared" si="161"/>
        <v>5</v>
      </c>
      <c r="R1303" s="19">
        <f t="shared" si="162"/>
        <v>-5</v>
      </c>
      <c r="S1303" s="87">
        <f t="shared" si="163"/>
        <v>0</v>
      </c>
    </row>
    <row r="1304" spans="2:19" x14ac:dyDescent="0.2">
      <c r="B1304" s="83">
        <f t="shared" si="166"/>
        <v>712</v>
      </c>
      <c r="C1304" s="3"/>
      <c r="D1304" s="3"/>
      <c r="E1304" s="3"/>
      <c r="F1304" s="26" t="s">
        <v>87</v>
      </c>
      <c r="G1304" s="3">
        <v>632</v>
      </c>
      <c r="H1304" s="3" t="s">
        <v>145</v>
      </c>
      <c r="I1304" s="19">
        <v>735</v>
      </c>
      <c r="J1304" s="19">
        <v>155</v>
      </c>
      <c r="K1304" s="87">
        <f t="shared" si="164"/>
        <v>890</v>
      </c>
      <c r="L1304" s="356"/>
      <c r="M1304" s="345"/>
      <c r="N1304" s="208"/>
      <c r="O1304" s="87">
        <f t="shared" si="165"/>
        <v>0</v>
      </c>
      <c r="P1304" s="356"/>
      <c r="Q1304" s="345">
        <f t="shared" si="161"/>
        <v>735</v>
      </c>
      <c r="R1304" s="19">
        <f t="shared" si="162"/>
        <v>155</v>
      </c>
      <c r="S1304" s="87">
        <f t="shared" si="163"/>
        <v>890</v>
      </c>
    </row>
    <row r="1305" spans="2:19" x14ac:dyDescent="0.2">
      <c r="B1305" s="83">
        <f t="shared" si="166"/>
        <v>713</v>
      </c>
      <c r="C1305" s="3"/>
      <c r="D1305" s="3"/>
      <c r="E1305" s="3"/>
      <c r="F1305" s="26" t="s">
        <v>87</v>
      </c>
      <c r="G1305" s="3">
        <v>633</v>
      </c>
      <c r="H1305" s="3" t="s">
        <v>136</v>
      </c>
      <c r="I1305" s="19">
        <v>48510</v>
      </c>
      <c r="J1305" s="19">
        <v>-45600</v>
      </c>
      <c r="K1305" s="87">
        <f t="shared" si="164"/>
        <v>2910</v>
      </c>
      <c r="L1305" s="356"/>
      <c r="M1305" s="345"/>
      <c r="N1305" s="208"/>
      <c r="O1305" s="87">
        <f t="shared" si="165"/>
        <v>0</v>
      </c>
      <c r="P1305" s="356"/>
      <c r="Q1305" s="345">
        <f t="shared" si="161"/>
        <v>48510</v>
      </c>
      <c r="R1305" s="19">
        <f t="shared" si="162"/>
        <v>-45600</v>
      </c>
      <c r="S1305" s="87">
        <f t="shared" si="163"/>
        <v>2910</v>
      </c>
    </row>
    <row r="1306" spans="2:19" x14ac:dyDescent="0.2">
      <c r="B1306" s="83">
        <f t="shared" si="166"/>
        <v>714</v>
      </c>
      <c r="C1306" s="3"/>
      <c r="D1306" s="3"/>
      <c r="E1306" s="3"/>
      <c r="F1306" s="26" t="s">
        <v>87</v>
      </c>
      <c r="G1306" s="3">
        <v>635</v>
      </c>
      <c r="H1306" s="3" t="s">
        <v>144</v>
      </c>
      <c r="I1306" s="19">
        <v>820</v>
      </c>
      <c r="J1306" s="19">
        <v>-576</v>
      </c>
      <c r="K1306" s="87">
        <f t="shared" si="164"/>
        <v>244</v>
      </c>
      <c r="L1306" s="356"/>
      <c r="M1306" s="345"/>
      <c r="N1306" s="208"/>
      <c r="O1306" s="87">
        <f t="shared" si="165"/>
        <v>0</v>
      </c>
      <c r="P1306" s="356"/>
      <c r="Q1306" s="345">
        <f t="shared" ref="Q1306:Q1370" si="176">I1306+M1306</f>
        <v>820</v>
      </c>
      <c r="R1306" s="19">
        <f t="shared" si="162"/>
        <v>-576</v>
      </c>
      <c r="S1306" s="87">
        <f t="shared" si="163"/>
        <v>244</v>
      </c>
    </row>
    <row r="1307" spans="2:19" x14ac:dyDescent="0.2">
      <c r="B1307" s="83">
        <f t="shared" si="166"/>
        <v>715</v>
      </c>
      <c r="C1307" s="3"/>
      <c r="D1307" s="3"/>
      <c r="E1307" s="3"/>
      <c r="F1307" s="26" t="s">
        <v>87</v>
      </c>
      <c r="G1307" s="3">
        <v>637</v>
      </c>
      <c r="H1307" s="3" t="s">
        <v>133</v>
      </c>
      <c r="I1307" s="19">
        <v>2780</v>
      </c>
      <c r="J1307" s="19">
        <v>576</v>
      </c>
      <c r="K1307" s="87">
        <f t="shared" si="164"/>
        <v>3356</v>
      </c>
      <c r="L1307" s="356"/>
      <c r="M1307" s="345"/>
      <c r="N1307" s="208"/>
      <c r="O1307" s="87">
        <f t="shared" si="165"/>
        <v>0</v>
      </c>
      <c r="P1307" s="356"/>
      <c r="Q1307" s="345">
        <f t="shared" si="176"/>
        <v>2780</v>
      </c>
      <c r="R1307" s="19">
        <f t="shared" ref="R1307:R1371" si="177">J1307+N1307</f>
        <v>576</v>
      </c>
      <c r="S1307" s="87">
        <f t="shared" ref="S1307:S1371" si="178">K1307+O1307</f>
        <v>3356</v>
      </c>
    </row>
    <row r="1308" spans="2:19" x14ac:dyDescent="0.2">
      <c r="B1308" s="83">
        <f t="shared" si="166"/>
        <v>716</v>
      </c>
      <c r="C1308" s="7"/>
      <c r="D1308" s="7"/>
      <c r="E1308" s="7"/>
      <c r="F1308" s="25" t="s">
        <v>87</v>
      </c>
      <c r="G1308" s="7">
        <v>640</v>
      </c>
      <c r="H1308" s="7" t="s">
        <v>140</v>
      </c>
      <c r="I1308" s="23">
        <v>150</v>
      </c>
      <c r="J1308" s="23">
        <v>-150</v>
      </c>
      <c r="K1308" s="86">
        <f t="shared" si="164"/>
        <v>0</v>
      </c>
      <c r="L1308" s="355"/>
      <c r="M1308" s="344"/>
      <c r="N1308" s="246"/>
      <c r="O1308" s="86">
        <f t="shared" si="165"/>
        <v>0</v>
      </c>
      <c r="P1308" s="355"/>
      <c r="Q1308" s="344">
        <f t="shared" si="176"/>
        <v>150</v>
      </c>
      <c r="R1308" s="23">
        <f t="shared" si="177"/>
        <v>-150</v>
      </c>
      <c r="S1308" s="86">
        <f t="shared" si="178"/>
        <v>0</v>
      </c>
    </row>
    <row r="1309" spans="2:19" x14ac:dyDescent="0.2">
      <c r="B1309" s="83">
        <f t="shared" si="166"/>
        <v>717</v>
      </c>
      <c r="C1309" s="7"/>
      <c r="D1309" s="7"/>
      <c r="E1309" s="7"/>
      <c r="F1309" s="25" t="s">
        <v>55</v>
      </c>
      <c r="G1309" s="7">
        <v>610</v>
      </c>
      <c r="H1309" s="7" t="s">
        <v>142</v>
      </c>
      <c r="I1309" s="23">
        <f>48046+5368</f>
        <v>53414</v>
      </c>
      <c r="J1309" s="23">
        <v>-740</v>
      </c>
      <c r="K1309" s="86">
        <f t="shared" si="164"/>
        <v>52674</v>
      </c>
      <c r="L1309" s="355"/>
      <c r="M1309" s="344"/>
      <c r="N1309" s="246"/>
      <c r="O1309" s="86">
        <f t="shared" si="165"/>
        <v>0</v>
      </c>
      <c r="P1309" s="355"/>
      <c r="Q1309" s="344">
        <f t="shared" si="176"/>
        <v>53414</v>
      </c>
      <c r="R1309" s="23">
        <f t="shared" si="177"/>
        <v>-740</v>
      </c>
      <c r="S1309" s="86">
        <f t="shared" si="178"/>
        <v>52674</v>
      </c>
    </row>
    <row r="1310" spans="2:19" x14ac:dyDescent="0.2">
      <c r="B1310" s="83">
        <f t="shared" si="166"/>
        <v>718</v>
      </c>
      <c r="C1310" s="7"/>
      <c r="D1310" s="7"/>
      <c r="E1310" s="7"/>
      <c r="F1310" s="25" t="s">
        <v>55</v>
      </c>
      <c r="G1310" s="7">
        <v>620</v>
      </c>
      <c r="H1310" s="7" t="s">
        <v>135</v>
      </c>
      <c r="I1310" s="23">
        <f>16817+1879</f>
        <v>18696</v>
      </c>
      <c r="J1310" s="23">
        <v>-260</v>
      </c>
      <c r="K1310" s="86">
        <f t="shared" si="164"/>
        <v>18436</v>
      </c>
      <c r="L1310" s="355"/>
      <c r="M1310" s="344"/>
      <c r="N1310" s="246"/>
      <c r="O1310" s="86">
        <f t="shared" si="165"/>
        <v>0</v>
      </c>
      <c r="P1310" s="355"/>
      <c r="Q1310" s="344">
        <f t="shared" si="176"/>
        <v>18696</v>
      </c>
      <c r="R1310" s="23">
        <f t="shared" si="177"/>
        <v>-260</v>
      </c>
      <c r="S1310" s="86">
        <f t="shared" si="178"/>
        <v>18436</v>
      </c>
    </row>
    <row r="1311" spans="2:19" x14ac:dyDescent="0.2">
      <c r="B1311" s="83">
        <f t="shared" si="166"/>
        <v>719</v>
      </c>
      <c r="C1311" s="7"/>
      <c r="D1311" s="7"/>
      <c r="E1311" s="7"/>
      <c r="F1311" s="25" t="s">
        <v>55</v>
      </c>
      <c r="G1311" s="7">
        <v>630</v>
      </c>
      <c r="H1311" s="7" t="s">
        <v>132</v>
      </c>
      <c r="I1311" s="23">
        <f>SUM(I1312:I1316)</f>
        <v>79350</v>
      </c>
      <c r="J1311" s="23">
        <f>SUM(J1312:J1316)</f>
        <v>61803</v>
      </c>
      <c r="K1311" s="86">
        <f t="shared" si="164"/>
        <v>141153</v>
      </c>
      <c r="L1311" s="355"/>
      <c r="M1311" s="344"/>
      <c r="N1311" s="246"/>
      <c r="O1311" s="86">
        <f t="shared" si="165"/>
        <v>0</v>
      </c>
      <c r="P1311" s="355"/>
      <c r="Q1311" s="344">
        <f t="shared" si="176"/>
        <v>79350</v>
      </c>
      <c r="R1311" s="23">
        <f t="shared" si="177"/>
        <v>61803</v>
      </c>
      <c r="S1311" s="86">
        <f t="shared" si="178"/>
        <v>141153</v>
      </c>
    </row>
    <row r="1312" spans="2:19" x14ac:dyDescent="0.2">
      <c r="B1312" s="83">
        <f t="shared" si="166"/>
        <v>720</v>
      </c>
      <c r="C1312" s="3"/>
      <c r="D1312" s="3"/>
      <c r="E1312" s="3"/>
      <c r="F1312" s="26" t="s">
        <v>55</v>
      </c>
      <c r="G1312" s="3">
        <v>631</v>
      </c>
      <c r="H1312" s="3" t="s">
        <v>138</v>
      </c>
      <c r="I1312" s="19">
        <v>8</v>
      </c>
      <c r="J1312" s="19">
        <v>-8</v>
      </c>
      <c r="K1312" s="87">
        <f t="shared" si="164"/>
        <v>0</v>
      </c>
      <c r="L1312" s="356"/>
      <c r="M1312" s="345"/>
      <c r="N1312" s="208"/>
      <c r="O1312" s="87">
        <f t="shared" si="165"/>
        <v>0</v>
      </c>
      <c r="P1312" s="356"/>
      <c r="Q1312" s="345">
        <f t="shared" si="176"/>
        <v>8</v>
      </c>
      <c r="R1312" s="19">
        <f t="shared" si="177"/>
        <v>-8</v>
      </c>
      <c r="S1312" s="87">
        <f t="shared" si="178"/>
        <v>0</v>
      </c>
    </row>
    <row r="1313" spans="2:19" x14ac:dyDescent="0.2">
      <c r="B1313" s="83">
        <f t="shared" si="166"/>
        <v>721</v>
      </c>
      <c r="C1313" s="3"/>
      <c r="D1313" s="3"/>
      <c r="E1313" s="3"/>
      <c r="F1313" s="26" t="s">
        <v>55</v>
      </c>
      <c r="G1313" s="3">
        <v>632</v>
      </c>
      <c r="H1313" s="3" t="s">
        <v>145</v>
      </c>
      <c r="I1313" s="19">
        <v>1103</v>
      </c>
      <c r="J1313" s="19"/>
      <c r="K1313" s="87">
        <f t="shared" si="164"/>
        <v>1103</v>
      </c>
      <c r="L1313" s="356"/>
      <c r="M1313" s="345"/>
      <c r="N1313" s="208"/>
      <c r="O1313" s="87">
        <f t="shared" si="165"/>
        <v>0</v>
      </c>
      <c r="P1313" s="356"/>
      <c r="Q1313" s="345">
        <f t="shared" si="176"/>
        <v>1103</v>
      </c>
      <c r="R1313" s="19">
        <f t="shared" si="177"/>
        <v>0</v>
      </c>
      <c r="S1313" s="87">
        <f t="shared" si="178"/>
        <v>1103</v>
      </c>
    </row>
    <row r="1314" spans="2:19" x14ac:dyDescent="0.2">
      <c r="B1314" s="83">
        <f t="shared" si="166"/>
        <v>722</v>
      </c>
      <c r="C1314" s="3"/>
      <c r="D1314" s="3"/>
      <c r="E1314" s="3"/>
      <c r="F1314" s="26" t="s">
        <v>55</v>
      </c>
      <c r="G1314" s="3">
        <v>633</v>
      </c>
      <c r="H1314" s="3" t="s">
        <v>136</v>
      </c>
      <c r="I1314" s="19">
        <v>72839</v>
      </c>
      <c r="J1314" s="19">
        <f>62853-22294</f>
        <v>40559</v>
      </c>
      <c r="K1314" s="87">
        <f t="shared" si="164"/>
        <v>113398</v>
      </c>
      <c r="L1314" s="356"/>
      <c r="M1314" s="345"/>
      <c r="N1314" s="208"/>
      <c r="O1314" s="87">
        <f t="shared" si="165"/>
        <v>0</v>
      </c>
      <c r="P1314" s="356"/>
      <c r="Q1314" s="345">
        <f t="shared" si="176"/>
        <v>72839</v>
      </c>
      <c r="R1314" s="19">
        <f t="shared" si="177"/>
        <v>40559</v>
      </c>
      <c r="S1314" s="87">
        <f t="shared" si="178"/>
        <v>113398</v>
      </c>
    </row>
    <row r="1315" spans="2:19" x14ac:dyDescent="0.2">
      <c r="B1315" s="83">
        <f t="shared" si="166"/>
        <v>723</v>
      </c>
      <c r="C1315" s="3"/>
      <c r="D1315" s="3"/>
      <c r="E1315" s="3"/>
      <c r="F1315" s="26" t="s">
        <v>55</v>
      </c>
      <c r="G1315" s="3">
        <v>635</v>
      </c>
      <c r="H1315" s="3" t="s">
        <v>144</v>
      </c>
      <c r="I1315" s="19">
        <v>1230</v>
      </c>
      <c r="J1315" s="19">
        <v>-864</v>
      </c>
      <c r="K1315" s="87">
        <f t="shared" ref="K1315:K1375" si="179">J1315+I1315</f>
        <v>366</v>
      </c>
      <c r="L1315" s="356"/>
      <c r="M1315" s="345"/>
      <c r="N1315" s="208"/>
      <c r="O1315" s="87">
        <f t="shared" ref="O1315:O1375" si="180">N1315+M1315</f>
        <v>0</v>
      </c>
      <c r="P1315" s="356"/>
      <c r="Q1315" s="345">
        <f t="shared" si="176"/>
        <v>1230</v>
      </c>
      <c r="R1315" s="19">
        <f t="shared" si="177"/>
        <v>-864</v>
      </c>
      <c r="S1315" s="87">
        <f t="shared" si="178"/>
        <v>366</v>
      </c>
    </row>
    <row r="1316" spans="2:19" x14ac:dyDescent="0.2">
      <c r="B1316" s="83">
        <f t="shared" ref="B1316:B1376" si="181">B1315+1</f>
        <v>724</v>
      </c>
      <c r="C1316" s="3"/>
      <c r="D1316" s="3"/>
      <c r="E1316" s="3"/>
      <c r="F1316" s="26" t="s">
        <v>55</v>
      </c>
      <c r="G1316" s="3">
        <v>637</v>
      </c>
      <c r="H1316" s="3" t="s">
        <v>133</v>
      </c>
      <c r="I1316" s="19">
        <v>4170</v>
      </c>
      <c r="J1316" s="19">
        <v>22116</v>
      </c>
      <c r="K1316" s="87">
        <f t="shared" si="179"/>
        <v>26286</v>
      </c>
      <c r="L1316" s="356"/>
      <c r="M1316" s="345"/>
      <c r="N1316" s="208"/>
      <c r="O1316" s="87">
        <f t="shared" si="180"/>
        <v>0</v>
      </c>
      <c r="P1316" s="356"/>
      <c r="Q1316" s="345">
        <f t="shared" si="176"/>
        <v>4170</v>
      </c>
      <c r="R1316" s="19">
        <f t="shared" si="177"/>
        <v>22116</v>
      </c>
      <c r="S1316" s="87">
        <f t="shared" si="178"/>
        <v>26286</v>
      </c>
    </row>
    <row r="1317" spans="2:19" x14ac:dyDescent="0.2">
      <c r="B1317" s="83">
        <f t="shared" si="181"/>
        <v>725</v>
      </c>
      <c r="C1317" s="7"/>
      <c r="D1317" s="7"/>
      <c r="E1317" s="7"/>
      <c r="F1317" s="25" t="s">
        <v>55</v>
      </c>
      <c r="G1317" s="7">
        <v>640</v>
      </c>
      <c r="H1317" s="7" t="s">
        <v>140</v>
      </c>
      <c r="I1317" s="23">
        <v>150</v>
      </c>
      <c r="J1317" s="23">
        <v>237</v>
      </c>
      <c r="K1317" s="86">
        <f t="shared" si="179"/>
        <v>387</v>
      </c>
      <c r="L1317" s="355"/>
      <c r="M1317" s="344"/>
      <c r="N1317" s="246"/>
      <c r="O1317" s="86">
        <f t="shared" si="180"/>
        <v>0</v>
      </c>
      <c r="P1317" s="355"/>
      <c r="Q1317" s="344">
        <f t="shared" si="176"/>
        <v>150</v>
      </c>
      <c r="R1317" s="23">
        <f t="shared" si="177"/>
        <v>237</v>
      </c>
      <c r="S1317" s="86">
        <f t="shared" si="178"/>
        <v>387</v>
      </c>
    </row>
    <row r="1318" spans="2:19" ht="15" x14ac:dyDescent="0.25">
      <c r="B1318" s="83">
        <f t="shared" si="181"/>
        <v>726</v>
      </c>
      <c r="C1318" s="10"/>
      <c r="D1318" s="10"/>
      <c r="E1318" s="10">
        <v>12</v>
      </c>
      <c r="F1318" s="28"/>
      <c r="G1318" s="10"/>
      <c r="H1318" s="10" t="s">
        <v>9</v>
      </c>
      <c r="I1318" s="38">
        <f>I1319+I1320+I1321+I1326+I1327+I1328+I1329+I1335</f>
        <v>272550</v>
      </c>
      <c r="J1318" s="38">
        <f>J1319+J1320+J1321+J1326+J1327+J1328+J1329+J1335</f>
        <v>1800</v>
      </c>
      <c r="K1318" s="94">
        <f t="shared" si="179"/>
        <v>274350</v>
      </c>
      <c r="L1318" s="365"/>
      <c r="M1318" s="362">
        <f>M1336</f>
        <v>7900</v>
      </c>
      <c r="N1318" s="253"/>
      <c r="O1318" s="94">
        <f t="shared" si="180"/>
        <v>7900</v>
      </c>
      <c r="P1318" s="365"/>
      <c r="Q1318" s="362">
        <f t="shared" si="176"/>
        <v>280450</v>
      </c>
      <c r="R1318" s="38">
        <f t="shared" si="177"/>
        <v>1800</v>
      </c>
      <c r="S1318" s="94">
        <f t="shared" si="178"/>
        <v>282250</v>
      </c>
    </row>
    <row r="1319" spans="2:19" x14ac:dyDescent="0.2">
      <c r="B1319" s="83">
        <f t="shared" si="181"/>
        <v>727</v>
      </c>
      <c r="C1319" s="7"/>
      <c r="D1319" s="7"/>
      <c r="E1319" s="7"/>
      <c r="F1319" s="25" t="s">
        <v>87</v>
      </c>
      <c r="G1319" s="7">
        <v>610</v>
      </c>
      <c r="H1319" s="7" t="s">
        <v>142</v>
      </c>
      <c r="I1319" s="23">
        <v>36000</v>
      </c>
      <c r="J1319" s="23"/>
      <c r="K1319" s="86">
        <f t="shared" si="179"/>
        <v>36000</v>
      </c>
      <c r="L1319" s="355"/>
      <c r="M1319" s="344"/>
      <c r="N1319" s="246"/>
      <c r="O1319" s="86">
        <f t="shared" si="180"/>
        <v>0</v>
      </c>
      <c r="P1319" s="355"/>
      <c r="Q1319" s="344">
        <f t="shared" si="176"/>
        <v>36000</v>
      </c>
      <c r="R1319" s="23">
        <f t="shared" si="177"/>
        <v>0</v>
      </c>
      <c r="S1319" s="86">
        <f t="shared" si="178"/>
        <v>36000</v>
      </c>
    </row>
    <row r="1320" spans="2:19" x14ac:dyDescent="0.2">
      <c r="B1320" s="83">
        <f t="shared" si="181"/>
        <v>728</v>
      </c>
      <c r="C1320" s="7"/>
      <c r="D1320" s="7"/>
      <c r="E1320" s="7"/>
      <c r="F1320" s="25" t="s">
        <v>87</v>
      </c>
      <c r="G1320" s="7">
        <v>620</v>
      </c>
      <c r="H1320" s="7" t="s">
        <v>135</v>
      </c>
      <c r="I1320" s="23">
        <v>13000</v>
      </c>
      <c r="J1320" s="23"/>
      <c r="K1320" s="86">
        <f t="shared" si="179"/>
        <v>13000</v>
      </c>
      <c r="L1320" s="355"/>
      <c r="M1320" s="344"/>
      <c r="N1320" s="246"/>
      <c r="O1320" s="86">
        <f t="shared" si="180"/>
        <v>0</v>
      </c>
      <c r="P1320" s="355"/>
      <c r="Q1320" s="344">
        <f t="shared" si="176"/>
        <v>13000</v>
      </c>
      <c r="R1320" s="23">
        <f t="shared" si="177"/>
        <v>0</v>
      </c>
      <c r="S1320" s="86">
        <f t="shared" si="178"/>
        <v>13000</v>
      </c>
    </row>
    <row r="1321" spans="2:19" x14ac:dyDescent="0.2">
      <c r="B1321" s="83">
        <f t="shared" si="181"/>
        <v>729</v>
      </c>
      <c r="C1321" s="7"/>
      <c r="D1321" s="7"/>
      <c r="E1321" s="7"/>
      <c r="F1321" s="25" t="s">
        <v>87</v>
      </c>
      <c r="G1321" s="7">
        <v>630</v>
      </c>
      <c r="H1321" s="7" t="s">
        <v>132</v>
      </c>
      <c r="I1321" s="23">
        <f>SUM(I1322:I1325)</f>
        <v>77680</v>
      </c>
      <c r="J1321" s="23"/>
      <c r="K1321" s="86">
        <f t="shared" si="179"/>
        <v>77680</v>
      </c>
      <c r="L1321" s="355"/>
      <c r="M1321" s="344"/>
      <c r="N1321" s="246"/>
      <c r="O1321" s="86">
        <f t="shared" si="180"/>
        <v>0</v>
      </c>
      <c r="P1321" s="355"/>
      <c r="Q1321" s="344">
        <f t="shared" si="176"/>
        <v>77680</v>
      </c>
      <c r="R1321" s="23">
        <f t="shared" si="177"/>
        <v>0</v>
      </c>
      <c r="S1321" s="86">
        <f t="shared" si="178"/>
        <v>77680</v>
      </c>
    </row>
    <row r="1322" spans="2:19" x14ac:dyDescent="0.2">
      <c r="B1322" s="83">
        <f t="shared" si="181"/>
        <v>730</v>
      </c>
      <c r="C1322" s="3"/>
      <c r="D1322" s="3"/>
      <c r="E1322" s="3"/>
      <c r="F1322" s="26" t="s">
        <v>87</v>
      </c>
      <c r="G1322" s="3">
        <v>632</v>
      </c>
      <c r="H1322" s="3" t="s">
        <v>145</v>
      </c>
      <c r="I1322" s="19">
        <v>6700</v>
      </c>
      <c r="J1322" s="19"/>
      <c r="K1322" s="87">
        <f t="shared" si="179"/>
        <v>6700</v>
      </c>
      <c r="L1322" s="356"/>
      <c r="M1322" s="345"/>
      <c r="N1322" s="208"/>
      <c r="O1322" s="87">
        <f t="shared" si="180"/>
        <v>0</v>
      </c>
      <c r="P1322" s="356"/>
      <c r="Q1322" s="345">
        <f t="shared" si="176"/>
        <v>6700</v>
      </c>
      <c r="R1322" s="19">
        <f t="shared" si="177"/>
        <v>0</v>
      </c>
      <c r="S1322" s="87">
        <f t="shared" si="178"/>
        <v>6700</v>
      </c>
    </row>
    <row r="1323" spans="2:19" x14ac:dyDescent="0.2">
      <c r="B1323" s="83">
        <f t="shared" si="181"/>
        <v>731</v>
      </c>
      <c r="C1323" s="3"/>
      <c r="D1323" s="3"/>
      <c r="E1323" s="3"/>
      <c r="F1323" s="26" t="s">
        <v>87</v>
      </c>
      <c r="G1323" s="3">
        <v>633</v>
      </c>
      <c r="H1323" s="3" t="s">
        <v>136</v>
      </c>
      <c r="I1323" s="19">
        <v>68270</v>
      </c>
      <c r="J1323" s="19"/>
      <c r="K1323" s="87">
        <f t="shared" si="179"/>
        <v>68270</v>
      </c>
      <c r="L1323" s="356"/>
      <c r="M1323" s="345"/>
      <c r="N1323" s="208"/>
      <c r="O1323" s="87">
        <f t="shared" si="180"/>
        <v>0</v>
      </c>
      <c r="P1323" s="356"/>
      <c r="Q1323" s="345">
        <f t="shared" si="176"/>
        <v>68270</v>
      </c>
      <c r="R1323" s="19">
        <f t="shared" si="177"/>
        <v>0</v>
      </c>
      <c r="S1323" s="87">
        <f t="shared" si="178"/>
        <v>68270</v>
      </c>
    </row>
    <row r="1324" spans="2:19" x14ac:dyDescent="0.2">
      <c r="B1324" s="83">
        <f t="shared" si="181"/>
        <v>732</v>
      </c>
      <c r="C1324" s="3"/>
      <c r="D1324" s="3"/>
      <c r="E1324" s="3"/>
      <c r="F1324" s="26" t="s">
        <v>87</v>
      </c>
      <c r="G1324" s="3">
        <v>635</v>
      </c>
      <c r="H1324" s="3" t="s">
        <v>144</v>
      </c>
      <c r="I1324" s="19">
        <v>1750</v>
      </c>
      <c r="J1324" s="19"/>
      <c r="K1324" s="87">
        <f t="shared" si="179"/>
        <v>1750</v>
      </c>
      <c r="L1324" s="356"/>
      <c r="M1324" s="345"/>
      <c r="N1324" s="208"/>
      <c r="O1324" s="87">
        <f t="shared" si="180"/>
        <v>0</v>
      </c>
      <c r="P1324" s="356"/>
      <c r="Q1324" s="345">
        <f t="shared" si="176"/>
        <v>1750</v>
      </c>
      <c r="R1324" s="19">
        <f t="shared" si="177"/>
        <v>0</v>
      </c>
      <c r="S1324" s="87">
        <f t="shared" si="178"/>
        <v>1750</v>
      </c>
    </row>
    <row r="1325" spans="2:19" x14ac:dyDescent="0.2">
      <c r="B1325" s="83">
        <f t="shared" si="181"/>
        <v>733</v>
      </c>
      <c r="C1325" s="3"/>
      <c r="D1325" s="3"/>
      <c r="E1325" s="3"/>
      <c r="F1325" s="26" t="s">
        <v>87</v>
      </c>
      <c r="G1325" s="3">
        <v>637</v>
      </c>
      <c r="H1325" s="3" t="s">
        <v>133</v>
      </c>
      <c r="I1325" s="19">
        <v>960</v>
      </c>
      <c r="J1325" s="19"/>
      <c r="K1325" s="87">
        <f t="shared" si="179"/>
        <v>960</v>
      </c>
      <c r="L1325" s="356"/>
      <c r="M1325" s="345"/>
      <c r="N1325" s="208"/>
      <c r="O1325" s="87">
        <f t="shared" si="180"/>
        <v>0</v>
      </c>
      <c r="P1325" s="356"/>
      <c r="Q1325" s="345">
        <f t="shared" si="176"/>
        <v>960</v>
      </c>
      <c r="R1325" s="19">
        <f t="shared" si="177"/>
        <v>0</v>
      </c>
      <c r="S1325" s="87">
        <f t="shared" si="178"/>
        <v>960</v>
      </c>
    </row>
    <row r="1326" spans="2:19" x14ac:dyDescent="0.2">
      <c r="B1326" s="83">
        <f t="shared" si="181"/>
        <v>734</v>
      </c>
      <c r="C1326" s="7"/>
      <c r="D1326" s="7"/>
      <c r="E1326" s="7"/>
      <c r="F1326" s="25" t="s">
        <v>87</v>
      </c>
      <c r="G1326" s="7">
        <v>640</v>
      </c>
      <c r="H1326" s="7" t="s">
        <v>140</v>
      </c>
      <c r="I1326" s="23">
        <v>200</v>
      </c>
      <c r="J1326" s="23">
        <v>19000</v>
      </c>
      <c r="K1326" s="86">
        <f t="shared" si="179"/>
        <v>19200</v>
      </c>
      <c r="L1326" s="355"/>
      <c r="M1326" s="344"/>
      <c r="N1326" s="246"/>
      <c r="O1326" s="86">
        <f t="shared" si="180"/>
        <v>0</v>
      </c>
      <c r="P1326" s="355"/>
      <c r="Q1326" s="344">
        <f t="shared" si="176"/>
        <v>200</v>
      </c>
      <c r="R1326" s="23">
        <f t="shared" si="177"/>
        <v>19000</v>
      </c>
      <c r="S1326" s="86">
        <f t="shared" si="178"/>
        <v>19200</v>
      </c>
    </row>
    <row r="1327" spans="2:19" x14ac:dyDescent="0.2">
      <c r="B1327" s="83">
        <f t="shared" si="181"/>
        <v>735</v>
      </c>
      <c r="C1327" s="7"/>
      <c r="D1327" s="7"/>
      <c r="E1327" s="7"/>
      <c r="F1327" s="25" t="s">
        <v>55</v>
      </c>
      <c r="G1327" s="7">
        <v>610</v>
      </c>
      <c r="H1327" s="7" t="s">
        <v>142</v>
      </c>
      <c r="I1327" s="23">
        <v>37700</v>
      </c>
      <c r="J1327" s="23"/>
      <c r="K1327" s="86">
        <f t="shared" si="179"/>
        <v>37700</v>
      </c>
      <c r="L1327" s="355"/>
      <c r="M1327" s="344"/>
      <c r="N1327" s="246"/>
      <c r="O1327" s="86">
        <f t="shared" si="180"/>
        <v>0</v>
      </c>
      <c r="P1327" s="355"/>
      <c r="Q1327" s="344">
        <f t="shared" si="176"/>
        <v>37700</v>
      </c>
      <c r="R1327" s="23">
        <f t="shared" si="177"/>
        <v>0</v>
      </c>
      <c r="S1327" s="86">
        <f t="shared" si="178"/>
        <v>37700</v>
      </c>
    </row>
    <row r="1328" spans="2:19" x14ac:dyDescent="0.2">
      <c r="B1328" s="83">
        <f t="shared" si="181"/>
        <v>736</v>
      </c>
      <c r="C1328" s="7"/>
      <c r="D1328" s="7"/>
      <c r="E1328" s="7"/>
      <c r="F1328" s="25" t="s">
        <v>55</v>
      </c>
      <c r="G1328" s="7">
        <v>620</v>
      </c>
      <c r="H1328" s="7" t="s">
        <v>135</v>
      </c>
      <c r="I1328" s="23">
        <v>14000</v>
      </c>
      <c r="J1328" s="23"/>
      <c r="K1328" s="86">
        <f t="shared" si="179"/>
        <v>14000</v>
      </c>
      <c r="L1328" s="355"/>
      <c r="M1328" s="344"/>
      <c r="N1328" s="246"/>
      <c r="O1328" s="86">
        <f t="shared" si="180"/>
        <v>0</v>
      </c>
      <c r="P1328" s="355"/>
      <c r="Q1328" s="344">
        <f t="shared" si="176"/>
        <v>14000</v>
      </c>
      <c r="R1328" s="23">
        <f t="shared" si="177"/>
        <v>0</v>
      </c>
      <c r="S1328" s="86">
        <f t="shared" si="178"/>
        <v>14000</v>
      </c>
    </row>
    <row r="1329" spans="2:19" x14ac:dyDescent="0.2">
      <c r="B1329" s="83">
        <f t="shared" si="181"/>
        <v>737</v>
      </c>
      <c r="C1329" s="7"/>
      <c r="D1329" s="7"/>
      <c r="E1329" s="7"/>
      <c r="F1329" s="25" t="s">
        <v>55</v>
      </c>
      <c r="G1329" s="7">
        <v>630</v>
      </c>
      <c r="H1329" s="7" t="s">
        <v>132</v>
      </c>
      <c r="I1329" s="23">
        <f>SUM(I1330:I1334)</f>
        <v>93750</v>
      </c>
      <c r="J1329" s="23">
        <f>SUM(J1330:J1334)</f>
        <v>-19000</v>
      </c>
      <c r="K1329" s="86">
        <f t="shared" si="179"/>
        <v>74750</v>
      </c>
      <c r="L1329" s="355"/>
      <c r="M1329" s="344"/>
      <c r="N1329" s="246"/>
      <c r="O1329" s="86">
        <f t="shared" si="180"/>
        <v>0</v>
      </c>
      <c r="P1329" s="355"/>
      <c r="Q1329" s="344">
        <f t="shared" si="176"/>
        <v>93750</v>
      </c>
      <c r="R1329" s="23">
        <f t="shared" si="177"/>
        <v>-19000</v>
      </c>
      <c r="S1329" s="86">
        <f t="shared" si="178"/>
        <v>74750</v>
      </c>
    </row>
    <row r="1330" spans="2:19" x14ac:dyDescent="0.2">
      <c r="B1330" s="83">
        <f t="shared" si="181"/>
        <v>738</v>
      </c>
      <c r="C1330" s="3"/>
      <c r="D1330" s="3"/>
      <c r="E1330" s="3"/>
      <c r="F1330" s="26" t="s">
        <v>55</v>
      </c>
      <c r="G1330" s="3">
        <v>631</v>
      </c>
      <c r="H1330" s="3" t="s">
        <v>138</v>
      </c>
      <c r="I1330" s="19">
        <v>50</v>
      </c>
      <c r="J1330" s="19"/>
      <c r="K1330" s="87">
        <f t="shared" si="179"/>
        <v>50</v>
      </c>
      <c r="L1330" s="356"/>
      <c r="M1330" s="345"/>
      <c r="N1330" s="208"/>
      <c r="O1330" s="87">
        <f t="shared" si="180"/>
        <v>0</v>
      </c>
      <c r="P1330" s="356"/>
      <c r="Q1330" s="345">
        <f t="shared" si="176"/>
        <v>50</v>
      </c>
      <c r="R1330" s="19">
        <f t="shared" si="177"/>
        <v>0</v>
      </c>
      <c r="S1330" s="87">
        <f t="shared" si="178"/>
        <v>50</v>
      </c>
    </row>
    <row r="1331" spans="2:19" x14ac:dyDescent="0.2">
      <c r="B1331" s="83">
        <f t="shared" si="181"/>
        <v>739</v>
      </c>
      <c r="C1331" s="3"/>
      <c r="D1331" s="3"/>
      <c r="E1331" s="3"/>
      <c r="F1331" s="26" t="s">
        <v>55</v>
      </c>
      <c r="G1331" s="3">
        <v>632</v>
      </c>
      <c r="H1331" s="3" t="s">
        <v>145</v>
      </c>
      <c r="I1331" s="19">
        <v>8300</v>
      </c>
      <c r="J1331" s="19"/>
      <c r="K1331" s="87">
        <f t="shared" si="179"/>
        <v>8300</v>
      </c>
      <c r="L1331" s="356"/>
      <c r="M1331" s="345"/>
      <c r="N1331" s="208"/>
      <c r="O1331" s="87">
        <f t="shared" si="180"/>
        <v>0</v>
      </c>
      <c r="P1331" s="356"/>
      <c r="Q1331" s="345">
        <f t="shared" si="176"/>
        <v>8300</v>
      </c>
      <c r="R1331" s="19">
        <f t="shared" si="177"/>
        <v>0</v>
      </c>
      <c r="S1331" s="87">
        <f t="shared" si="178"/>
        <v>8300</v>
      </c>
    </row>
    <row r="1332" spans="2:19" x14ac:dyDescent="0.2">
      <c r="B1332" s="83">
        <f t="shared" si="181"/>
        <v>740</v>
      </c>
      <c r="C1332" s="3"/>
      <c r="D1332" s="3"/>
      <c r="E1332" s="3"/>
      <c r="F1332" s="26" t="s">
        <v>55</v>
      </c>
      <c r="G1332" s="3">
        <v>633</v>
      </c>
      <c r="H1332" s="3" t="s">
        <v>136</v>
      </c>
      <c r="I1332" s="19">
        <v>82050</v>
      </c>
      <c r="J1332" s="19">
        <f>-601-19399</f>
        <v>-20000</v>
      </c>
      <c r="K1332" s="87">
        <f t="shared" si="179"/>
        <v>62050</v>
      </c>
      <c r="L1332" s="356"/>
      <c r="M1332" s="345"/>
      <c r="N1332" s="208"/>
      <c r="O1332" s="87">
        <f t="shared" si="180"/>
        <v>0</v>
      </c>
      <c r="P1332" s="356"/>
      <c r="Q1332" s="345">
        <f t="shared" si="176"/>
        <v>82050</v>
      </c>
      <c r="R1332" s="19">
        <f t="shared" si="177"/>
        <v>-20000</v>
      </c>
      <c r="S1332" s="87">
        <f t="shared" si="178"/>
        <v>62050</v>
      </c>
    </row>
    <row r="1333" spans="2:19" x14ac:dyDescent="0.2">
      <c r="B1333" s="83">
        <f t="shared" si="181"/>
        <v>741</v>
      </c>
      <c r="C1333" s="3"/>
      <c r="D1333" s="3"/>
      <c r="E1333" s="3"/>
      <c r="F1333" s="26" t="s">
        <v>55</v>
      </c>
      <c r="G1333" s="3">
        <v>635</v>
      </c>
      <c r="H1333" s="3" t="s">
        <v>144</v>
      </c>
      <c r="I1333" s="19">
        <v>2150</v>
      </c>
      <c r="J1333" s="19"/>
      <c r="K1333" s="87">
        <f t="shared" si="179"/>
        <v>2150</v>
      </c>
      <c r="L1333" s="356"/>
      <c r="M1333" s="345"/>
      <c r="N1333" s="208"/>
      <c r="O1333" s="87">
        <f t="shared" si="180"/>
        <v>0</v>
      </c>
      <c r="P1333" s="356"/>
      <c r="Q1333" s="345">
        <f t="shared" si="176"/>
        <v>2150</v>
      </c>
      <c r="R1333" s="19">
        <f t="shared" si="177"/>
        <v>0</v>
      </c>
      <c r="S1333" s="87">
        <f t="shared" si="178"/>
        <v>2150</v>
      </c>
    </row>
    <row r="1334" spans="2:19" x14ac:dyDescent="0.2">
      <c r="B1334" s="83">
        <f t="shared" si="181"/>
        <v>742</v>
      </c>
      <c r="C1334" s="3"/>
      <c r="D1334" s="3"/>
      <c r="E1334" s="3"/>
      <c r="F1334" s="26" t="s">
        <v>55</v>
      </c>
      <c r="G1334" s="3">
        <v>637</v>
      </c>
      <c r="H1334" s="3" t="s">
        <v>133</v>
      </c>
      <c r="I1334" s="19">
        <v>1200</v>
      </c>
      <c r="J1334" s="19">
        <v>1000</v>
      </c>
      <c r="K1334" s="87">
        <f t="shared" si="179"/>
        <v>2200</v>
      </c>
      <c r="L1334" s="356"/>
      <c r="M1334" s="345"/>
      <c r="N1334" s="208"/>
      <c r="O1334" s="87">
        <f t="shared" si="180"/>
        <v>0</v>
      </c>
      <c r="P1334" s="356"/>
      <c r="Q1334" s="345">
        <f t="shared" si="176"/>
        <v>1200</v>
      </c>
      <c r="R1334" s="19">
        <f t="shared" si="177"/>
        <v>1000</v>
      </c>
      <c r="S1334" s="87">
        <f t="shared" si="178"/>
        <v>2200</v>
      </c>
    </row>
    <row r="1335" spans="2:19" x14ac:dyDescent="0.2">
      <c r="B1335" s="83">
        <f t="shared" si="181"/>
        <v>743</v>
      </c>
      <c r="C1335" s="7"/>
      <c r="D1335" s="7"/>
      <c r="E1335" s="7"/>
      <c r="F1335" s="25" t="s">
        <v>55</v>
      </c>
      <c r="G1335" s="7">
        <v>640</v>
      </c>
      <c r="H1335" s="7" t="s">
        <v>140</v>
      </c>
      <c r="I1335" s="23">
        <v>220</v>
      </c>
      <c r="J1335" s="23">
        <v>1800</v>
      </c>
      <c r="K1335" s="86">
        <f t="shared" si="179"/>
        <v>2020</v>
      </c>
      <c r="L1335" s="355"/>
      <c r="M1335" s="344"/>
      <c r="N1335" s="246"/>
      <c r="O1335" s="86">
        <f t="shared" si="180"/>
        <v>0</v>
      </c>
      <c r="P1335" s="355"/>
      <c r="Q1335" s="344">
        <f t="shared" si="176"/>
        <v>220</v>
      </c>
      <c r="R1335" s="23">
        <f t="shared" si="177"/>
        <v>1800</v>
      </c>
      <c r="S1335" s="86">
        <f t="shared" si="178"/>
        <v>2020</v>
      </c>
    </row>
    <row r="1336" spans="2:19" x14ac:dyDescent="0.2">
      <c r="B1336" s="83">
        <f t="shared" si="181"/>
        <v>744</v>
      </c>
      <c r="C1336" s="7"/>
      <c r="D1336" s="7"/>
      <c r="E1336" s="7"/>
      <c r="F1336" s="182" t="s">
        <v>87</v>
      </c>
      <c r="G1336" s="236">
        <v>710</v>
      </c>
      <c r="H1336" s="7" t="s">
        <v>187</v>
      </c>
      <c r="I1336" s="23"/>
      <c r="J1336" s="23"/>
      <c r="K1336" s="86">
        <f t="shared" si="179"/>
        <v>0</v>
      </c>
      <c r="L1336" s="355"/>
      <c r="M1336" s="349">
        <f>M1337</f>
        <v>7900</v>
      </c>
      <c r="N1336" s="212"/>
      <c r="O1336" s="309">
        <f t="shared" si="180"/>
        <v>7900</v>
      </c>
      <c r="P1336" s="355"/>
      <c r="Q1336" s="349">
        <f t="shared" si="176"/>
        <v>7900</v>
      </c>
      <c r="R1336" s="18">
        <f t="shared" si="177"/>
        <v>0</v>
      </c>
      <c r="S1336" s="114">
        <f t="shared" si="178"/>
        <v>7900</v>
      </c>
    </row>
    <row r="1337" spans="2:19" x14ac:dyDescent="0.2">
      <c r="B1337" s="83">
        <f t="shared" si="181"/>
        <v>745</v>
      </c>
      <c r="C1337" s="7"/>
      <c r="D1337" s="7"/>
      <c r="E1337" s="7"/>
      <c r="F1337" s="184" t="s">
        <v>87</v>
      </c>
      <c r="G1337" s="237">
        <v>713</v>
      </c>
      <c r="H1337" s="3" t="s">
        <v>234</v>
      </c>
      <c r="I1337" s="23"/>
      <c r="J1337" s="23"/>
      <c r="K1337" s="86">
        <f t="shared" si="179"/>
        <v>0</v>
      </c>
      <c r="L1337" s="355"/>
      <c r="M1337" s="345">
        <f>M1338</f>
        <v>7900</v>
      </c>
      <c r="N1337" s="213"/>
      <c r="O1337" s="297">
        <f t="shared" si="180"/>
        <v>7900</v>
      </c>
      <c r="P1337" s="356"/>
      <c r="Q1337" s="345">
        <f t="shared" si="176"/>
        <v>7900</v>
      </c>
      <c r="R1337" s="19">
        <f t="shared" si="177"/>
        <v>0</v>
      </c>
      <c r="S1337" s="87">
        <f t="shared" si="178"/>
        <v>7900</v>
      </c>
    </row>
    <row r="1338" spans="2:19" x14ac:dyDescent="0.2">
      <c r="B1338" s="83">
        <f t="shared" si="181"/>
        <v>746</v>
      </c>
      <c r="C1338" s="7"/>
      <c r="D1338" s="7"/>
      <c r="E1338" s="7"/>
      <c r="F1338" s="184"/>
      <c r="G1338" s="185"/>
      <c r="H1338" s="4" t="s">
        <v>585</v>
      </c>
      <c r="I1338" s="23"/>
      <c r="J1338" s="23"/>
      <c r="K1338" s="86">
        <f t="shared" si="179"/>
        <v>0</v>
      </c>
      <c r="L1338" s="355"/>
      <c r="M1338" s="399">
        <v>7900</v>
      </c>
      <c r="N1338" s="214"/>
      <c r="O1338" s="402">
        <f t="shared" si="180"/>
        <v>7900</v>
      </c>
      <c r="P1338" s="395"/>
      <c r="Q1338" s="399">
        <f t="shared" si="176"/>
        <v>7900</v>
      </c>
      <c r="R1338" s="186">
        <f t="shared" si="177"/>
        <v>0</v>
      </c>
      <c r="S1338" s="187">
        <f t="shared" si="178"/>
        <v>7900</v>
      </c>
    </row>
    <row r="1339" spans="2:19" ht="15" x14ac:dyDescent="0.25">
      <c r="B1339" s="83">
        <f t="shared" si="181"/>
        <v>747</v>
      </c>
      <c r="C1339" s="10"/>
      <c r="D1339" s="10"/>
      <c r="E1339" s="10">
        <v>13</v>
      </c>
      <c r="F1339" s="28"/>
      <c r="G1339" s="10"/>
      <c r="H1339" s="10" t="s">
        <v>19</v>
      </c>
      <c r="I1339" s="38">
        <f>I1340+I1341+I1342+I1346+I1347+I1348+I1349+I1355</f>
        <v>151848</v>
      </c>
      <c r="J1339" s="38">
        <f>J1340+J1341+J1342+J1346+J1347+J1348+J1349+J1355</f>
        <v>84</v>
      </c>
      <c r="K1339" s="94">
        <f t="shared" si="179"/>
        <v>151932</v>
      </c>
      <c r="L1339" s="365"/>
      <c r="M1339" s="362">
        <v>0</v>
      </c>
      <c r="N1339" s="253"/>
      <c r="O1339" s="94">
        <f t="shared" si="180"/>
        <v>0</v>
      </c>
      <c r="P1339" s="365"/>
      <c r="Q1339" s="362">
        <f t="shared" si="176"/>
        <v>151848</v>
      </c>
      <c r="R1339" s="38">
        <f t="shared" si="177"/>
        <v>84</v>
      </c>
      <c r="S1339" s="94">
        <f t="shared" si="178"/>
        <v>151932</v>
      </c>
    </row>
    <row r="1340" spans="2:19" x14ac:dyDescent="0.2">
      <c r="B1340" s="83">
        <f t="shared" si="181"/>
        <v>748</v>
      </c>
      <c r="C1340" s="7"/>
      <c r="D1340" s="7"/>
      <c r="E1340" s="7"/>
      <c r="F1340" s="25" t="s">
        <v>87</v>
      </c>
      <c r="G1340" s="7">
        <v>610</v>
      </c>
      <c r="H1340" s="7" t="s">
        <v>142</v>
      </c>
      <c r="I1340" s="23">
        <v>24710</v>
      </c>
      <c r="J1340" s="23">
        <v>-1220</v>
      </c>
      <c r="K1340" s="86">
        <f t="shared" si="179"/>
        <v>23490</v>
      </c>
      <c r="L1340" s="355"/>
      <c r="M1340" s="344"/>
      <c r="N1340" s="246"/>
      <c r="O1340" s="86">
        <f t="shared" si="180"/>
        <v>0</v>
      </c>
      <c r="P1340" s="355"/>
      <c r="Q1340" s="344">
        <f t="shared" si="176"/>
        <v>24710</v>
      </c>
      <c r="R1340" s="23">
        <f t="shared" si="177"/>
        <v>-1220</v>
      </c>
      <c r="S1340" s="86">
        <f t="shared" si="178"/>
        <v>23490</v>
      </c>
    </row>
    <row r="1341" spans="2:19" x14ac:dyDescent="0.2">
      <c r="B1341" s="83">
        <f t="shared" si="181"/>
        <v>749</v>
      </c>
      <c r="C1341" s="7"/>
      <c r="D1341" s="7"/>
      <c r="E1341" s="7"/>
      <c r="F1341" s="25" t="s">
        <v>87</v>
      </c>
      <c r="G1341" s="7">
        <v>620</v>
      </c>
      <c r="H1341" s="7" t="s">
        <v>135</v>
      </c>
      <c r="I1341" s="23">
        <v>8636</v>
      </c>
      <c r="J1341" s="23"/>
      <c r="K1341" s="86">
        <f t="shared" si="179"/>
        <v>8636</v>
      </c>
      <c r="L1341" s="355"/>
      <c r="M1341" s="344"/>
      <c r="N1341" s="246"/>
      <c r="O1341" s="86">
        <f t="shared" si="180"/>
        <v>0</v>
      </c>
      <c r="P1341" s="355"/>
      <c r="Q1341" s="344">
        <f t="shared" si="176"/>
        <v>8636</v>
      </c>
      <c r="R1341" s="23">
        <f t="shared" si="177"/>
        <v>0</v>
      </c>
      <c r="S1341" s="86">
        <f t="shared" si="178"/>
        <v>8636</v>
      </c>
    </row>
    <row r="1342" spans="2:19" x14ac:dyDescent="0.2">
      <c r="B1342" s="83">
        <f t="shared" si="181"/>
        <v>750</v>
      </c>
      <c r="C1342" s="7"/>
      <c r="D1342" s="7"/>
      <c r="E1342" s="7"/>
      <c r="F1342" s="25" t="s">
        <v>87</v>
      </c>
      <c r="G1342" s="7">
        <v>630</v>
      </c>
      <c r="H1342" s="7" t="s">
        <v>132</v>
      </c>
      <c r="I1342" s="23">
        <f>SUM(I1343:I1345)</f>
        <v>9114</v>
      </c>
      <c r="J1342" s="23">
        <f>SUM(J1343:J1345)</f>
        <v>0</v>
      </c>
      <c r="K1342" s="86">
        <f t="shared" si="179"/>
        <v>9114</v>
      </c>
      <c r="L1342" s="355"/>
      <c r="M1342" s="344"/>
      <c r="N1342" s="246"/>
      <c r="O1342" s="86">
        <f t="shared" si="180"/>
        <v>0</v>
      </c>
      <c r="P1342" s="355"/>
      <c r="Q1342" s="344">
        <f t="shared" si="176"/>
        <v>9114</v>
      </c>
      <c r="R1342" s="23">
        <f t="shared" si="177"/>
        <v>0</v>
      </c>
      <c r="S1342" s="86">
        <f t="shared" si="178"/>
        <v>9114</v>
      </c>
    </row>
    <row r="1343" spans="2:19" x14ac:dyDescent="0.2">
      <c r="B1343" s="83">
        <f t="shared" si="181"/>
        <v>751</v>
      </c>
      <c r="C1343" s="3"/>
      <c r="D1343" s="3"/>
      <c r="E1343" s="3"/>
      <c r="F1343" s="26" t="s">
        <v>87</v>
      </c>
      <c r="G1343" s="3">
        <v>632</v>
      </c>
      <c r="H1343" s="3" t="s">
        <v>145</v>
      </c>
      <c r="I1343" s="19">
        <v>3322</v>
      </c>
      <c r="J1343" s="19">
        <v>2000</v>
      </c>
      <c r="K1343" s="87">
        <f t="shared" si="179"/>
        <v>5322</v>
      </c>
      <c r="L1343" s="356"/>
      <c r="M1343" s="345"/>
      <c r="N1343" s="208"/>
      <c r="O1343" s="87">
        <f t="shared" si="180"/>
        <v>0</v>
      </c>
      <c r="P1343" s="356"/>
      <c r="Q1343" s="345">
        <f t="shared" si="176"/>
        <v>3322</v>
      </c>
      <c r="R1343" s="19">
        <f t="shared" si="177"/>
        <v>2000</v>
      </c>
      <c r="S1343" s="87">
        <f t="shared" si="178"/>
        <v>5322</v>
      </c>
    </row>
    <row r="1344" spans="2:19" x14ac:dyDescent="0.2">
      <c r="B1344" s="83">
        <f t="shared" si="181"/>
        <v>752</v>
      </c>
      <c r="C1344" s="3"/>
      <c r="D1344" s="3"/>
      <c r="E1344" s="3"/>
      <c r="F1344" s="26" t="s">
        <v>87</v>
      </c>
      <c r="G1344" s="3">
        <v>633</v>
      </c>
      <c r="H1344" s="3" t="s">
        <v>136</v>
      </c>
      <c r="I1344" s="19">
        <v>4212</v>
      </c>
      <c r="J1344" s="19">
        <v>-2000</v>
      </c>
      <c r="K1344" s="87">
        <f t="shared" si="179"/>
        <v>2212</v>
      </c>
      <c r="L1344" s="356"/>
      <c r="M1344" s="345"/>
      <c r="N1344" s="208"/>
      <c r="O1344" s="87">
        <f t="shared" si="180"/>
        <v>0</v>
      </c>
      <c r="P1344" s="356"/>
      <c r="Q1344" s="345">
        <f t="shared" si="176"/>
        <v>4212</v>
      </c>
      <c r="R1344" s="19">
        <f t="shared" si="177"/>
        <v>-2000</v>
      </c>
      <c r="S1344" s="87">
        <f t="shared" si="178"/>
        <v>2212</v>
      </c>
    </row>
    <row r="1345" spans="2:19" x14ac:dyDescent="0.2">
      <c r="B1345" s="83">
        <f t="shared" si="181"/>
        <v>753</v>
      </c>
      <c r="C1345" s="3"/>
      <c r="D1345" s="3"/>
      <c r="E1345" s="3"/>
      <c r="F1345" s="26" t="s">
        <v>87</v>
      </c>
      <c r="G1345" s="3">
        <v>637</v>
      </c>
      <c r="H1345" s="3" t="s">
        <v>133</v>
      </c>
      <c r="I1345" s="19">
        <v>1580</v>
      </c>
      <c r="J1345" s="19"/>
      <c r="K1345" s="87">
        <f t="shared" si="179"/>
        <v>1580</v>
      </c>
      <c r="L1345" s="356"/>
      <c r="M1345" s="345"/>
      <c r="N1345" s="208"/>
      <c r="O1345" s="87">
        <f t="shared" si="180"/>
        <v>0</v>
      </c>
      <c r="P1345" s="356"/>
      <c r="Q1345" s="345">
        <f t="shared" si="176"/>
        <v>1580</v>
      </c>
      <c r="R1345" s="19">
        <f t="shared" si="177"/>
        <v>0</v>
      </c>
      <c r="S1345" s="87">
        <f t="shared" si="178"/>
        <v>1580</v>
      </c>
    </row>
    <row r="1346" spans="2:19" x14ac:dyDescent="0.2">
      <c r="B1346" s="83">
        <f t="shared" si="181"/>
        <v>754</v>
      </c>
      <c r="C1346" s="7"/>
      <c r="D1346" s="7"/>
      <c r="E1346" s="7"/>
      <c r="F1346" s="25" t="s">
        <v>87</v>
      </c>
      <c r="G1346" s="7">
        <v>640</v>
      </c>
      <c r="H1346" s="7" t="s">
        <v>140</v>
      </c>
      <c r="I1346" s="23">
        <v>20</v>
      </c>
      <c r="J1346" s="23">
        <v>1220</v>
      </c>
      <c r="K1346" s="86">
        <f t="shared" si="179"/>
        <v>1240</v>
      </c>
      <c r="L1346" s="355"/>
      <c r="M1346" s="344"/>
      <c r="N1346" s="246"/>
      <c r="O1346" s="86">
        <f t="shared" si="180"/>
        <v>0</v>
      </c>
      <c r="P1346" s="355"/>
      <c r="Q1346" s="344">
        <f t="shared" si="176"/>
        <v>20</v>
      </c>
      <c r="R1346" s="23">
        <f t="shared" si="177"/>
        <v>1220</v>
      </c>
      <c r="S1346" s="86">
        <f t="shared" si="178"/>
        <v>1240</v>
      </c>
    </row>
    <row r="1347" spans="2:19" x14ac:dyDescent="0.2">
      <c r="B1347" s="83">
        <f t="shared" si="181"/>
        <v>755</v>
      </c>
      <c r="C1347" s="7"/>
      <c r="D1347" s="7"/>
      <c r="E1347" s="7"/>
      <c r="F1347" s="25" t="s">
        <v>55</v>
      </c>
      <c r="G1347" s="7">
        <v>610</v>
      </c>
      <c r="H1347" s="7" t="s">
        <v>142</v>
      </c>
      <c r="I1347" s="23">
        <v>27629</v>
      </c>
      <c r="J1347" s="23">
        <v>-140</v>
      </c>
      <c r="K1347" s="86">
        <f t="shared" si="179"/>
        <v>27489</v>
      </c>
      <c r="L1347" s="355"/>
      <c r="M1347" s="344"/>
      <c r="N1347" s="246"/>
      <c r="O1347" s="86">
        <f t="shared" si="180"/>
        <v>0</v>
      </c>
      <c r="P1347" s="355"/>
      <c r="Q1347" s="344">
        <f t="shared" si="176"/>
        <v>27629</v>
      </c>
      <c r="R1347" s="23">
        <f t="shared" si="177"/>
        <v>-140</v>
      </c>
      <c r="S1347" s="86">
        <f t="shared" si="178"/>
        <v>27489</v>
      </c>
    </row>
    <row r="1348" spans="2:19" x14ac:dyDescent="0.2">
      <c r="B1348" s="83">
        <f t="shared" si="181"/>
        <v>756</v>
      </c>
      <c r="C1348" s="7"/>
      <c r="D1348" s="7"/>
      <c r="E1348" s="7"/>
      <c r="F1348" s="25" t="s">
        <v>55</v>
      </c>
      <c r="G1348" s="7">
        <v>620</v>
      </c>
      <c r="H1348" s="7" t="s">
        <v>135</v>
      </c>
      <c r="I1348" s="23">
        <v>9656</v>
      </c>
      <c r="J1348" s="23"/>
      <c r="K1348" s="86">
        <f t="shared" si="179"/>
        <v>9656</v>
      </c>
      <c r="L1348" s="355"/>
      <c r="M1348" s="344"/>
      <c r="N1348" s="246"/>
      <c r="O1348" s="86">
        <f t="shared" si="180"/>
        <v>0</v>
      </c>
      <c r="P1348" s="355"/>
      <c r="Q1348" s="344">
        <f t="shared" si="176"/>
        <v>9656</v>
      </c>
      <c r="R1348" s="23">
        <f t="shared" si="177"/>
        <v>0</v>
      </c>
      <c r="S1348" s="86">
        <f t="shared" si="178"/>
        <v>9656</v>
      </c>
    </row>
    <row r="1349" spans="2:19" x14ac:dyDescent="0.2">
      <c r="B1349" s="83">
        <f t="shared" si="181"/>
        <v>757</v>
      </c>
      <c r="C1349" s="7"/>
      <c r="D1349" s="7"/>
      <c r="E1349" s="7"/>
      <c r="F1349" s="25" t="s">
        <v>55</v>
      </c>
      <c r="G1349" s="7">
        <v>630</v>
      </c>
      <c r="H1349" s="7" t="s">
        <v>132</v>
      </c>
      <c r="I1349" s="23">
        <f>SUM(I1350:I1354)</f>
        <v>72053</v>
      </c>
      <c r="J1349" s="23">
        <f>SUM(J1350:J1354)</f>
        <v>-8438</v>
      </c>
      <c r="K1349" s="86">
        <f t="shared" si="179"/>
        <v>63615</v>
      </c>
      <c r="L1349" s="355"/>
      <c r="M1349" s="344"/>
      <c r="N1349" s="246"/>
      <c r="O1349" s="86">
        <f t="shared" si="180"/>
        <v>0</v>
      </c>
      <c r="P1349" s="355"/>
      <c r="Q1349" s="344">
        <f t="shared" si="176"/>
        <v>72053</v>
      </c>
      <c r="R1349" s="23">
        <f t="shared" si="177"/>
        <v>-8438</v>
      </c>
      <c r="S1349" s="86">
        <f t="shared" si="178"/>
        <v>63615</v>
      </c>
    </row>
    <row r="1350" spans="2:19" x14ac:dyDescent="0.2">
      <c r="B1350" s="83">
        <f t="shared" si="181"/>
        <v>758</v>
      </c>
      <c r="C1350" s="3"/>
      <c r="D1350" s="3"/>
      <c r="E1350" s="3"/>
      <c r="F1350" s="26" t="s">
        <v>55</v>
      </c>
      <c r="G1350" s="3">
        <v>631</v>
      </c>
      <c r="H1350" s="3" t="s">
        <v>138</v>
      </c>
      <c r="I1350" s="19">
        <v>25</v>
      </c>
      <c r="J1350" s="19">
        <v>-25</v>
      </c>
      <c r="K1350" s="87">
        <f t="shared" si="179"/>
        <v>0</v>
      </c>
      <c r="L1350" s="356"/>
      <c r="M1350" s="345"/>
      <c r="N1350" s="208"/>
      <c r="O1350" s="87">
        <f t="shared" si="180"/>
        <v>0</v>
      </c>
      <c r="P1350" s="356"/>
      <c r="Q1350" s="345">
        <f t="shared" si="176"/>
        <v>25</v>
      </c>
      <c r="R1350" s="19">
        <f t="shared" si="177"/>
        <v>-25</v>
      </c>
      <c r="S1350" s="87">
        <f t="shared" si="178"/>
        <v>0</v>
      </c>
    </row>
    <row r="1351" spans="2:19" x14ac:dyDescent="0.2">
      <c r="B1351" s="83">
        <f t="shared" si="181"/>
        <v>759</v>
      </c>
      <c r="C1351" s="3"/>
      <c r="D1351" s="3"/>
      <c r="E1351" s="3"/>
      <c r="F1351" s="26" t="s">
        <v>55</v>
      </c>
      <c r="G1351" s="3">
        <v>632</v>
      </c>
      <c r="H1351" s="3" t="s">
        <v>145</v>
      </c>
      <c r="I1351" s="19">
        <v>3100</v>
      </c>
      <c r="J1351" s="19">
        <v>1025</v>
      </c>
      <c r="K1351" s="87">
        <f t="shared" si="179"/>
        <v>4125</v>
      </c>
      <c r="L1351" s="356"/>
      <c r="M1351" s="345"/>
      <c r="N1351" s="208"/>
      <c r="O1351" s="87">
        <f t="shared" si="180"/>
        <v>0</v>
      </c>
      <c r="P1351" s="356"/>
      <c r="Q1351" s="345">
        <f t="shared" si="176"/>
        <v>3100</v>
      </c>
      <c r="R1351" s="19">
        <f t="shared" si="177"/>
        <v>1025</v>
      </c>
      <c r="S1351" s="87">
        <f t="shared" si="178"/>
        <v>4125</v>
      </c>
    </row>
    <row r="1352" spans="2:19" x14ac:dyDescent="0.2">
      <c r="B1352" s="83">
        <f t="shared" si="181"/>
        <v>760</v>
      </c>
      <c r="C1352" s="3"/>
      <c r="D1352" s="3"/>
      <c r="E1352" s="3"/>
      <c r="F1352" s="26" t="s">
        <v>55</v>
      </c>
      <c r="G1352" s="3">
        <v>633</v>
      </c>
      <c r="H1352" s="3" t="s">
        <v>136</v>
      </c>
      <c r="I1352" s="19">
        <f>62865+163</f>
        <v>63028</v>
      </c>
      <c r="J1352" s="19">
        <f>-413-9025</f>
        <v>-9438</v>
      </c>
      <c r="K1352" s="87">
        <f t="shared" si="179"/>
        <v>53590</v>
      </c>
      <c r="L1352" s="356"/>
      <c r="M1352" s="345"/>
      <c r="N1352" s="208"/>
      <c r="O1352" s="87">
        <f t="shared" si="180"/>
        <v>0</v>
      </c>
      <c r="P1352" s="356"/>
      <c r="Q1352" s="345">
        <f t="shared" si="176"/>
        <v>63028</v>
      </c>
      <c r="R1352" s="19">
        <f t="shared" si="177"/>
        <v>-9438</v>
      </c>
      <c r="S1352" s="87">
        <f t="shared" si="178"/>
        <v>53590</v>
      </c>
    </row>
    <row r="1353" spans="2:19" x14ac:dyDescent="0.2">
      <c r="B1353" s="83">
        <f t="shared" si="181"/>
        <v>761</v>
      </c>
      <c r="C1353" s="3"/>
      <c r="D1353" s="3"/>
      <c r="E1353" s="3"/>
      <c r="F1353" s="26" t="s">
        <v>55</v>
      </c>
      <c r="G1353" s="3">
        <v>635</v>
      </c>
      <c r="H1353" s="3" t="s">
        <v>144</v>
      </c>
      <c r="I1353" s="19">
        <v>3600</v>
      </c>
      <c r="J1353" s="19">
        <v>-400</v>
      </c>
      <c r="K1353" s="87">
        <f t="shared" si="179"/>
        <v>3200</v>
      </c>
      <c r="L1353" s="356"/>
      <c r="M1353" s="345"/>
      <c r="N1353" s="208"/>
      <c r="O1353" s="87">
        <f t="shared" si="180"/>
        <v>0</v>
      </c>
      <c r="P1353" s="356"/>
      <c r="Q1353" s="345">
        <f t="shared" si="176"/>
        <v>3600</v>
      </c>
      <c r="R1353" s="19">
        <f t="shared" si="177"/>
        <v>-400</v>
      </c>
      <c r="S1353" s="87">
        <f t="shared" si="178"/>
        <v>3200</v>
      </c>
    </row>
    <row r="1354" spans="2:19" x14ac:dyDescent="0.2">
      <c r="B1354" s="83">
        <f t="shared" si="181"/>
        <v>762</v>
      </c>
      <c r="C1354" s="3"/>
      <c r="D1354" s="3"/>
      <c r="E1354" s="3"/>
      <c r="F1354" s="26" t="s">
        <v>55</v>
      </c>
      <c r="G1354" s="3">
        <v>637</v>
      </c>
      <c r="H1354" s="3" t="s">
        <v>133</v>
      </c>
      <c r="I1354" s="19">
        <v>2300</v>
      </c>
      <c r="J1354" s="19">
        <v>400</v>
      </c>
      <c r="K1354" s="87">
        <f t="shared" si="179"/>
        <v>2700</v>
      </c>
      <c r="L1354" s="356"/>
      <c r="M1354" s="345"/>
      <c r="N1354" s="208"/>
      <c r="O1354" s="87">
        <f t="shared" si="180"/>
        <v>0</v>
      </c>
      <c r="P1354" s="356"/>
      <c r="Q1354" s="345">
        <f t="shared" si="176"/>
        <v>2300</v>
      </c>
      <c r="R1354" s="19">
        <f t="shared" si="177"/>
        <v>400</v>
      </c>
      <c r="S1354" s="87">
        <f t="shared" si="178"/>
        <v>2700</v>
      </c>
    </row>
    <row r="1355" spans="2:19" x14ac:dyDescent="0.2">
      <c r="B1355" s="83">
        <f t="shared" si="181"/>
        <v>763</v>
      </c>
      <c r="C1355" s="7"/>
      <c r="D1355" s="7"/>
      <c r="E1355" s="7"/>
      <c r="F1355" s="25" t="s">
        <v>55</v>
      </c>
      <c r="G1355" s="7">
        <v>640</v>
      </c>
      <c r="H1355" s="7" t="s">
        <v>140</v>
      </c>
      <c r="I1355" s="23">
        <v>30</v>
      </c>
      <c r="J1355" s="23">
        <v>8662</v>
      </c>
      <c r="K1355" s="86">
        <f t="shared" si="179"/>
        <v>8692</v>
      </c>
      <c r="L1355" s="355"/>
      <c r="M1355" s="344"/>
      <c r="N1355" s="246"/>
      <c r="O1355" s="86">
        <f t="shared" si="180"/>
        <v>0</v>
      </c>
      <c r="P1355" s="355"/>
      <c r="Q1355" s="344">
        <f t="shared" si="176"/>
        <v>30</v>
      </c>
      <c r="R1355" s="23">
        <f t="shared" si="177"/>
        <v>8662</v>
      </c>
      <c r="S1355" s="86">
        <f t="shared" si="178"/>
        <v>8692</v>
      </c>
    </row>
    <row r="1356" spans="2:19" ht="15" x14ac:dyDescent="0.2">
      <c r="B1356" s="83">
        <f t="shared" si="181"/>
        <v>764</v>
      </c>
      <c r="C1356" s="239">
        <v>5</v>
      </c>
      <c r="D1356" s="444" t="s">
        <v>131</v>
      </c>
      <c r="E1356" s="445"/>
      <c r="F1356" s="445"/>
      <c r="G1356" s="445"/>
      <c r="H1356" s="446"/>
      <c r="I1356" s="36">
        <f>I1357+I1360+I1362+I1372</f>
        <v>257170</v>
      </c>
      <c r="J1356" s="36">
        <f>J1357+J1360+J1362+J1372</f>
        <v>-1400</v>
      </c>
      <c r="K1356" s="84">
        <f t="shared" si="179"/>
        <v>255770</v>
      </c>
      <c r="L1356" s="353"/>
      <c r="M1356" s="342">
        <v>0</v>
      </c>
      <c r="N1356" s="244"/>
      <c r="O1356" s="84">
        <f t="shared" si="180"/>
        <v>0</v>
      </c>
      <c r="P1356" s="353"/>
      <c r="Q1356" s="342">
        <f t="shared" si="176"/>
        <v>257170</v>
      </c>
      <c r="R1356" s="36">
        <f t="shared" si="177"/>
        <v>-1400</v>
      </c>
      <c r="S1356" s="84">
        <f t="shared" si="178"/>
        <v>255770</v>
      </c>
    </row>
    <row r="1357" spans="2:19" x14ac:dyDescent="0.2">
      <c r="B1357" s="83">
        <f t="shared" si="181"/>
        <v>765</v>
      </c>
      <c r="C1357" s="6"/>
      <c r="D1357" s="6"/>
      <c r="E1357" s="6"/>
      <c r="F1357" s="29"/>
      <c r="G1357" s="6"/>
      <c r="H1357" s="6" t="s">
        <v>139</v>
      </c>
      <c r="I1357" s="40">
        <f>I1358</f>
        <v>3200</v>
      </c>
      <c r="J1357" s="40"/>
      <c r="K1357" s="100">
        <f t="shared" si="179"/>
        <v>3200</v>
      </c>
      <c r="L1357" s="355"/>
      <c r="M1357" s="398">
        <v>0</v>
      </c>
      <c r="N1357" s="261"/>
      <c r="O1357" s="100">
        <f t="shared" si="180"/>
        <v>0</v>
      </c>
      <c r="P1357" s="355"/>
      <c r="Q1357" s="398">
        <f t="shared" si="176"/>
        <v>3200</v>
      </c>
      <c r="R1357" s="40">
        <f t="shared" si="177"/>
        <v>0</v>
      </c>
      <c r="S1357" s="100">
        <f t="shared" si="178"/>
        <v>3200</v>
      </c>
    </row>
    <row r="1358" spans="2:19" x14ac:dyDescent="0.2">
      <c r="B1358" s="83">
        <f t="shared" si="181"/>
        <v>766</v>
      </c>
      <c r="C1358" s="7"/>
      <c r="D1358" s="7"/>
      <c r="E1358" s="7"/>
      <c r="F1358" s="25" t="s">
        <v>56</v>
      </c>
      <c r="G1358" s="7">
        <v>630</v>
      </c>
      <c r="H1358" s="7" t="s">
        <v>132</v>
      </c>
      <c r="I1358" s="23">
        <f>I1359</f>
        <v>3200</v>
      </c>
      <c r="J1358" s="23"/>
      <c r="K1358" s="86">
        <f t="shared" si="179"/>
        <v>3200</v>
      </c>
      <c r="L1358" s="355"/>
      <c r="M1358" s="344"/>
      <c r="N1358" s="246"/>
      <c r="O1358" s="86">
        <f t="shared" si="180"/>
        <v>0</v>
      </c>
      <c r="P1358" s="355"/>
      <c r="Q1358" s="344">
        <f t="shared" si="176"/>
        <v>3200</v>
      </c>
      <c r="R1358" s="23">
        <f t="shared" si="177"/>
        <v>0</v>
      </c>
      <c r="S1358" s="86">
        <f t="shared" si="178"/>
        <v>3200</v>
      </c>
    </row>
    <row r="1359" spans="2:19" x14ac:dyDescent="0.2">
      <c r="B1359" s="83">
        <f t="shared" si="181"/>
        <v>767</v>
      </c>
      <c r="C1359" s="3"/>
      <c r="D1359" s="3"/>
      <c r="E1359" s="3"/>
      <c r="F1359" s="26" t="s">
        <v>56</v>
      </c>
      <c r="G1359" s="3">
        <v>633</v>
      </c>
      <c r="H1359" s="3" t="s">
        <v>136</v>
      </c>
      <c r="I1359" s="19">
        <v>3200</v>
      </c>
      <c r="J1359" s="19"/>
      <c r="K1359" s="87">
        <f t="shared" si="179"/>
        <v>3200</v>
      </c>
      <c r="L1359" s="356"/>
      <c r="M1359" s="345"/>
      <c r="N1359" s="208"/>
      <c r="O1359" s="87">
        <f t="shared" si="180"/>
        <v>0</v>
      </c>
      <c r="P1359" s="356"/>
      <c r="Q1359" s="345">
        <f t="shared" si="176"/>
        <v>3200</v>
      </c>
      <c r="R1359" s="19">
        <f t="shared" si="177"/>
        <v>0</v>
      </c>
      <c r="S1359" s="87">
        <f t="shared" si="178"/>
        <v>3200</v>
      </c>
    </row>
    <row r="1360" spans="2:19" x14ac:dyDescent="0.2">
      <c r="B1360" s="83">
        <f t="shared" si="181"/>
        <v>768</v>
      </c>
      <c r="C1360" s="6"/>
      <c r="D1360" s="6"/>
      <c r="E1360" s="6"/>
      <c r="F1360" s="29"/>
      <c r="G1360" s="6"/>
      <c r="H1360" s="6" t="s">
        <v>310</v>
      </c>
      <c r="I1360" s="40">
        <f>I1361</f>
        <v>10000</v>
      </c>
      <c r="J1360" s="40"/>
      <c r="K1360" s="100">
        <f t="shared" si="179"/>
        <v>10000</v>
      </c>
      <c r="L1360" s="355"/>
      <c r="M1360" s="398">
        <v>0</v>
      </c>
      <c r="N1360" s="261"/>
      <c r="O1360" s="100">
        <f t="shared" si="180"/>
        <v>0</v>
      </c>
      <c r="P1360" s="355"/>
      <c r="Q1360" s="398">
        <f t="shared" si="176"/>
        <v>10000</v>
      </c>
      <c r="R1360" s="40">
        <f t="shared" si="177"/>
        <v>0</v>
      </c>
      <c r="S1360" s="100">
        <f t="shared" si="178"/>
        <v>10000</v>
      </c>
    </row>
    <row r="1361" spans="2:19" x14ac:dyDescent="0.2">
      <c r="B1361" s="83">
        <f t="shared" si="181"/>
        <v>769</v>
      </c>
      <c r="C1361" s="2"/>
      <c r="D1361" s="2"/>
      <c r="E1361" s="2"/>
      <c r="F1361" s="30" t="s">
        <v>56</v>
      </c>
      <c r="G1361" s="2">
        <v>640</v>
      </c>
      <c r="H1361" s="2" t="s">
        <v>140</v>
      </c>
      <c r="I1361" s="18">
        <v>10000</v>
      </c>
      <c r="J1361" s="18"/>
      <c r="K1361" s="114">
        <f t="shared" si="179"/>
        <v>10000</v>
      </c>
      <c r="L1361" s="355"/>
      <c r="M1361" s="349"/>
      <c r="N1361" s="207"/>
      <c r="O1361" s="114">
        <f t="shared" si="180"/>
        <v>0</v>
      </c>
      <c r="P1361" s="355"/>
      <c r="Q1361" s="349">
        <f t="shared" si="176"/>
        <v>10000</v>
      </c>
      <c r="R1361" s="18">
        <f t="shared" si="177"/>
        <v>0</v>
      </c>
      <c r="S1361" s="114">
        <f t="shared" si="178"/>
        <v>10000</v>
      </c>
    </row>
    <row r="1362" spans="2:19" x14ac:dyDescent="0.2">
      <c r="B1362" s="83">
        <f t="shared" si="181"/>
        <v>770</v>
      </c>
      <c r="C1362" s="6"/>
      <c r="D1362" s="6"/>
      <c r="E1362" s="6"/>
      <c r="F1362" s="29"/>
      <c r="G1362" s="6"/>
      <c r="H1362" s="6" t="s">
        <v>134</v>
      </c>
      <c r="I1362" s="40">
        <f>I1363+I1364+I1365</f>
        <v>48534</v>
      </c>
      <c r="J1362" s="40"/>
      <c r="K1362" s="100">
        <f t="shared" si="179"/>
        <v>48534</v>
      </c>
      <c r="L1362" s="355"/>
      <c r="M1362" s="398">
        <v>0</v>
      </c>
      <c r="N1362" s="261"/>
      <c r="O1362" s="100">
        <f t="shared" si="180"/>
        <v>0</v>
      </c>
      <c r="P1362" s="355"/>
      <c r="Q1362" s="398">
        <f t="shared" si="176"/>
        <v>48534</v>
      </c>
      <c r="R1362" s="40">
        <f t="shared" si="177"/>
        <v>0</v>
      </c>
      <c r="S1362" s="100">
        <f t="shared" si="178"/>
        <v>48534</v>
      </c>
    </row>
    <row r="1363" spans="2:19" x14ac:dyDescent="0.2">
      <c r="B1363" s="83">
        <f t="shared" si="181"/>
        <v>771</v>
      </c>
      <c r="C1363" s="7"/>
      <c r="D1363" s="7"/>
      <c r="E1363" s="7"/>
      <c r="F1363" s="25" t="s">
        <v>56</v>
      </c>
      <c r="G1363" s="7">
        <v>610</v>
      </c>
      <c r="H1363" s="7" t="s">
        <v>142</v>
      </c>
      <c r="I1363" s="23">
        <f>26800+1154+170</f>
        <v>28124</v>
      </c>
      <c r="J1363" s="23"/>
      <c r="K1363" s="86">
        <f t="shared" si="179"/>
        <v>28124</v>
      </c>
      <c r="L1363" s="355"/>
      <c r="M1363" s="344"/>
      <c r="N1363" s="246"/>
      <c r="O1363" s="86">
        <f t="shared" si="180"/>
        <v>0</v>
      </c>
      <c r="P1363" s="355"/>
      <c r="Q1363" s="344">
        <f t="shared" si="176"/>
        <v>28124</v>
      </c>
      <c r="R1363" s="23">
        <f t="shared" si="177"/>
        <v>0</v>
      </c>
      <c r="S1363" s="86">
        <f t="shared" si="178"/>
        <v>28124</v>
      </c>
    </row>
    <row r="1364" spans="2:19" x14ac:dyDescent="0.2">
      <c r="B1364" s="83">
        <f t="shared" si="181"/>
        <v>772</v>
      </c>
      <c r="C1364" s="7"/>
      <c r="D1364" s="7"/>
      <c r="E1364" s="7"/>
      <c r="F1364" s="25" t="s">
        <v>56</v>
      </c>
      <c r="G1364" s="7">
        <v>620</v>
      </c>
      <c r="H1364" s="7" t="s">
        <v>135</v>
      </c>
      <c r="I1364" s="23">
        <f>11070+620-970</f>
        <v>10720</v>
      </c>
      <c r="J1364" s="23"/>
      <c r="K1364" s="86">
        <f t="shared" si="179"/>
        <v>10720</v>
      </c>
      <c r="L1364" s="355"/>
      <c r="M1364" s="344"/>
      <c r="N1364" s="246"/>
      <c r="O1364" s="86">
        <f t="shared" si="180"/>
        <v>0</v>
      </c>
      <c r="P1364" s="355"/>
      <c r="Q1364" s="344">
        <f t="shared" si="176"/>
        <v>10720</v>
      </c>
      <c r="R1364" s="23">
        <f t="shared" si="177"/>
        <v>0</v>
      </c>
      <c r="S1364" s="86">
        <f t="shared" si="178"/>
        <v>10720</v>
      </c>
    </row>
    <row r="1365" spans="2:19" x14ac:dyDescent="0.2">
      <c r="B1365" s="83">
        <f t="shared" si="181"/>
        <v>773</v>
      </c>
      <c r="C1365" s="7"/>
      <c r="D1365" s="7"/>
      <c r="E1365" s="7"/>
      <c r="F1365" s="25" t="s">
        <v>56</v>
      </c>
      <c r="G1365" s="7">
        <v>630</v>
      </c>
      <c r="H1365" s="7" t="s">
        <v>132</v>
      </c>
      <c r="I1365" s="23">
        <f>SUM(I1366:I1371)</f>
        <v>9690</v>
      </c>
      <c r="J1365" s="23"/>
      <c r="K1365" s="86">
        <f t="shared" si="179"/>
        <v>9690</v>
      </c>
      <c r="L1365" s="355"/>
      <c r="M1365" s="344"/>
      <c r="N1365" s="246"/>
      <c r="O1365" s="86">
        <f t="shared" si="180"/>
        <v>0</v>
      </c>
      <c r="P1365" s="355"/>
      <c r="Q1365" s="344">
        <f t="shared" si="176"/>
        <v>9690</v>
      </c>
      <c r="R1365" s="23">
        <f t="shared" si="177"/>
        <v>0</v>
      </c>
      <c r="S1365" s="86">
        <f t="shared" si="178"/>
        <v>9690</v>
      </c>
    </row>
    <row r="1366" spans="2:19" x14ac:dyDescent="0.2">
      <c r="B1366" s="83">
        <f t="shared" si="181"/>
        <v>774</v>
      </c>
      <c r="C1366" s="3"/>
      <c r="D1366" s="3"/>
      <c r="E1366" s="3"/>
      <c r="F1366" s="26" t="s">
        <v>56</v>
      </c>
      <c r="G1366" s="3">
        <v>631</v>
      </c>
      <c r="H1366" s="3" t="s">
        <v>138</v>
      </c>
      <c r="I1366" s="19">
        <v>50</v>
      </c>
      <c r="J1366" s="19"/>
      <c r="K1366" s="87">
        <f t="shared" si="179"/>
        <v>50</v>
      </c>
      <c r="L1366" s="356"/>
      <c r="M1366" s="345"/>
      <c r="N1366" s="208"/>
      <c r="O1366" s="87">
        <f t="shared" si="180"/>
        <v>0</v>
      </c>
      <c r="P1366" s="356"/>
      <c r="Q1366" s="345">
        <f t="shared" si="176"/>
        <v>50</v>
      </c>
      <c r="R1366" s="19">
        <f t="shared" si="177"/>
        <v>0</v>
      </c>
      <c r="S1366" s="87">
        <f t="shared" si="178"/>
        <v>50</v>
      </c>
    </row>
    <row r="1367" spans="2:19" x14ac:dyDescent="0.2">
      <c r="B1367" s="83">
        <f t="shared" si="181"/>
        <v>775</v>
      </c>
      <c r="C1367" s="3"/>
      <c r="D1367" s="3"/>
      <c r="E1367" s="3"/>
      <c r="F1367" s="26" t="s">
        <v>56</v>
      </c>
      <c r="G1367" s="3">
        <v>632</v>
      </c>
      <c r="H1367" s="3" t="s">
        <v>145</v>
      </c>
      <c r="I1367" s="19">
        <f>252-36+130</f>
        <v>346</v>
      </c>
      <c r="J1367" s="19"/>
      <c r="K1367" s="87">
        <f t="shared" si="179"/>
        <v>346</v>
      </c>
      <c r="L1367" s="356"/>
      <c r="M1367" s="345"/>
      <c r="N1367" s="208"/>
      <c r="O1367" s="87">
        <f t="shared" si="180"/>
        <v>0</v>
      </c>
      <c r="P1367" s="356"/>
      <c r="Q1367" s="345">
        <f t="shared" si="176"/>
        <v>346</v>
      </c>
      <c r="R1367" s="19">
        <f t="shared" si="177"/>
        <v>0</v>
      </c>
      <c r="S1367" s="87">
        <f t="shared" si="178"/>
        <v>346</v>
      </c>
    </row>
    <row r="1368" spans="2:19" x14ac:dyDescent="0.2">
      <c r="B1368" s="83">
        <f t="shared" si="181"/>
        <v>776</v>
      </c>
      <c r="C1368" s="3"/>
      <c r="D1368" s="3"/>
      <c r="E1368" s="3"/>
      <c r="F1368" s="26" t="s">
        <v>56</v>
      </c>
      <c r="G1368" s="3">
        <v>633</v>
      </c>
      <c r="H1368" s="3" t="s">
        <v>136</v>
      </c>
      <c r="I1368" s="19">
        <f>360+2330+670</f>
        <v>3360</v>
      </c>
      <c r="J1368" s="19"/>
      <c r="K1368" s="87">
        <f t="shared" si="179"/>
        <v>3360</v>
      </c>
      <c r="L1368" s="356"/>
      <c r="M1368" s="345"/>
      <c r="N1368" s="208"/>
      <c r="O1368" s="87">
        <f t="shared" si="180"/>
        <v>0</v>
      </c>
      <c r="P1368" s="356"/>
      <c r="Q1368" s="345">
        <f t="shared" si="176"/>
        <v>3360</v>
      </c>
      <c r="R1368" s="19">
        <f t="shared" si="177"/>
        <v>0</v>
      </c>
      <c r="S1368" s="87">
        <f t="shared" si="178"/>
        <v>3360</v>
      </c>
    </row>
    <row r="1369" spans="2:19" x14ac:dyDescent="0.2">
      <c r="B1369" s="83">
        <f t="shared" si="181"/>
        <v>777</v>
      </c>
      <c r="C1369" s="3"/>
      <c r="D1369" s="3"/>
      <c r="E1369" s="3"/>
      <c r="F1369" s="26" t="s">
        <v>56</v>
      </c>
      <c r="G1369" s="3">
        <v>637</v>
      </c>
      <c r="H1369" s="3" t="s">
        <v>133</v>
      </c>
      <c r="I1369" s="19">
        <v>1650</v>
      </c>
      <c r="J1369" s="19"/>
      <c r="K1369" s="87">
        <f t="shared" si="179"/>
        <v>1650</v>
      </c>
      <c r="L1369" s="356"/>
      <c r="M1369" s="345"/>
      <c r="N1369" s="208"/>
      <c r="O1369" s="87">
        <f t="shared" si="180"/>
        <v>0</v>
      </c>
      <c r="P1369" s="356"/>
      <c r="Q1369" s="345">
        <f t="shared" si="176"/>
        <v>1650</v>
      </c>
      <c r="R1369" s="19">
        <f t="shared" si="177"/>
        <v>0</v>
      </c>
      <c r="S1369" s="87">
        <f t="shared" si="178"/>
        <v>1650</v>
      </c>
    </row>
    <row r="1370" spans="2:19" x14ac:dyDescent="0.2">
      <c r="B1370" s="83">
        <f t="shared" si="181"/>
        <v>778</v>
      </c>
      <c r="C1370" s="3"/>
      <c r="D1370" s="3"/>
      <c r="E1370" s="3"/>
      <c r="F1370" s="26" t="s">
        <v>56</v>
      </c>
      <c r="G1370" s="3">
        <v>630</v>
      </c>
      <c r="H1370" s="3" t="s">
        <v>583</v>
      </c>
      <c r="I1370" s="19">
        <v>4186</v>
      </c>
      <c r="J1370" s="19"/>
      <c r="K1370" s="87">
        <f t="shared" si="179"/>
        <v>4186</v>
      </c>
      <c r="L1370" s="356"/>
      <c r="M1370" s="345"/>
      <c r="N1370" s="208"/>
      <c r="O1370" s="87">
        <f t="shared" si="180"/>
        <v>0</v>
      </c>
      <c r="P1370" s="356"/>
      <c r="Q1370" s="345">
        <f t="shared" si="176"/>
        <v>4186</v>
      </c>
      <c r="R1370" s="19">
        <f t="shared" si="177"/>
        <v>0</v>
      </c>
      <c r="S1370" s="87">
        <f t="shared" si="178"/>
        <v>4186</v>
      </c>
    </row>
    <row r="1371" spans="2:19" x14ac:dyDescent="0.2">
      <c r="B1371" s="83">
        <f t="shared" si="181"/>
        <v>779</v>
      </c>
      <c r="C1371" s="3"/>
      <c r="D1371" s="3"/>
      <c r="E1371" s="3"/>
      <c r="F1371" s="26" t="s">
        <v>56</v>
      </c>
      <c r="G1371" s="3">
        <v>637</v>
      </c>
      <c r="H1371" s="3" t="s">
        <v>586</v>
      </c>
      <c r="I1371" s="19">
        <v>98</v>
      </c>
      <c r="J1371" s="19"/>
      <c r="K1371" s="87">
        <f t="shared" si="179"/>
        <v>98</v>
      </c>
      <c r="L1371" s="356"/>
      <c r="M1371" s="345"/>
      <c r="N1371" s="208"/>
      <c r="O1371" s="87">
        <f t="shared" si="180"/>
        <v>0</v>
      </c>
      <c r="P1371" s="356"/>
      <c r="Q1371" s="345">
        <f t="shared" ref="Q1371:Q1383" si="182">I1371+M1371</f>
        <v>98</v>
      </c>
      <c r="R1371" s="19">
        <f t="shared" si="177"/>
        <v>0</v>
      </c>
      <c r="S1371" s="87">
        <f t="shared" si="178"/>
        <v>98</v>
      </c>
    </row>
    <row r="1372" spans="2:19" ht="15" x14ac:dyDescent="0.25">
      <c r="B1372" s="83">
        <f t="shared" si="181"/>
        <v>780</v>
      </c>
      <c r="C1372" s="10"/>
      <c r="D1372" s="10"/>
      <c r="E1372" s="10">
        <v>4</v>
      </c>
      <c r="F1372" s="28"/>
      <c r="G1372" s="10"/>
      <c r="H1372" s="10" t="s">
        <v>90</v>
      </c>
      <c r="I1372" s="38">
        <f>I1373+I1374+I1375+I1383</f>
        <v>195436</v>
      </c>
      <c r="J1372" s="38">
        <f>J1373+J1374+J1375+J1383</f>
        <v>-1400</v>
      </c>
      <c r="K1372" s="94">
        <f t="shared" si="179"/>
        <v>194036</v>
      </c>
      <c r="L1372" s="365"/>
      <c r="M1372" s="362">
        <v>0</v>
      </c>
      <c r="N1372" s="253"/>
      <c r="O1372" s="94">
        <f t="shared" si="180"/>
        <v>0</v>
      </c>
      <c r="P1372" s="365"/>
      <c r="Q1372" s="362">
        <f t="shared" si="182"/>
        <v>195436</v>
      </c>
      <c r="R1372" s="38">
        <f t="shared" ref="R1372:R1383" si="183">J1372+N1372</f>
        <v>-1400</v>
      </c>
      <c r="S1372" s="94">
        <f t="shared" ref="S1372:S1383" si="184">K1372+O1372</f>
        <v>194036</v>
      </c>
    </row>
    <row r="1373" spans="2:19" x14ac:dyDescent="0.2">
      <c r="B1373" s="83">
        <f t="shared" si="181"/>
        <v>781</v>
      </c>
      <c r="C1373" s="7"/>
      <c r="D1373" s="7"/>
      <c r="E1373" s="7"/>
      <c r="F1373" s="25" t="s">
        <v>80</v>
      </c>
      <c r="G1373" s="7">
        <v>610</v>
      </c>
      <c r="H1373" s="7" t="s">
        <v>142</v>
      </c>
      <c r="I1373" s="23">
        <f>102410-2700</f>
        <v>99710</v>
      </c>
      <c r="J1373" s="23"/>
      <c r="K1373" s="86">
        <f t="shared" si="179"/>
        <v>99710</v>
      </c>
      <c r="L1373" s="355"/>
      <c r="M1373" s="344"/>
      <c r="N1373" s="246"/>
      <c r="O1373" s="86">
        <f t="shared" si="180"/>
        <v>0</v>
      </c>
      <c r="P1373" s="355"/>
      <c r="Q1373" s="344">
        <f t="shared" si="182"/>
        <v>99710</v>
      </c>
      <c r="R1373" s="23">
        <f t="shared" si="183"/>
        <v>0</v>
      </c>
      <c r="S1373" s="86">
        <f t="shared" si="184"/>
        <v>99710</v>
      </c>
    </row>
    <row r="1374" spans="2:19" x14ac:dyDescent="0.2">
      <c r="B1374" s="83">
        <f t="shared" si="181"/>
        <v>782</v>
      </c>
      <c r="C1374" s="7"/>
      <c r="D1374" s="7"/>
      <c r="E1374" s="7"/>
      <c r="F1374" s="25" t="s">
        <v>80</v>
      </c>
      <c r="G1374" s="7">
        <v>620</v>
      </c>
      <c r="H1374" s="7" t="s">
        <v>135</v>
      </c>
      <c r="I1374" s="23">
        <v>41720</v>
      </c>
      <c r="J1374" s="23"/>
      <c r="K1374" s="86">
        <f t="shared" si="179"/>
        <v>41720</v>
      </c>
      <c r="L1374" s="355"/>
      <c r="M1374" s="344"/>
      <c r="N1374" s="246"/>
      <c r="O1374" s="86">
        <f t="shared" si="180"/>
        <v>0</v>
      </c>
      <c r="P1374" s="355"/>
      <c r="Q1374" s="344">
        <f t="shared" si="182"/>
        <v>41720</v>
      </c>
      <c r="R1374" s="23">
        <f t="shared" si="183"/>
        <v>0</v>
      </c>
      <c r="S1374" s="86">
        <f t="shared" si="184"/>
        <v>41720</v>
      </c>
    </row>
    <row r="1375" spans="2:19" x14ac:dyDescent="0.2">
      <c r="B1375" s="83">
        <f t="shared" si="181"/>
        <v>783</v>
      </c>
      <c r="C1375" s="7"/>
      <c r="D1375" s="7"/>
      <c r="E1375" s="7"/>
      <c r="F1375" s="25" t="s">
        <v>80</v>
      </c>
      <c r="G1375" s="7">
        <v>630</v>
      </c>
      <c r="H1375" s="7" t="s">
        <v>132</v>
      </c>
      <c r="I1375" s="23">
        <f>SUM(I1376:I1382)</f>
        <v>50103</v>
      </c>
      <c r="J1375" s="23">
        <f>SUM(J1376:J1382)</f>
        <v>-1400</v>
      </c>
      <c r="K1375" s="86">
        <f t="shared" si="179"/>
        <v>48703</v>
      </c>
      <c r="L1375" s="355"/>
      <c r="M1375" s="344"/>
      <c r="N1375" s="246"/>
      <c r="O1375" s="86">
        <f t="shared" si="180"/>
        <v>0</v>
      </c>
      <c r="P1375" s="355"/>
      <c r="Q1375" s="344">
        <f t="shared" si="182"/>
        <v>50103</v>
      </c>
      <c r="R1375" s="23">
        <f t="shared" si="183"/>
        <v>-1400</v>
      </c>
      <c r="S1375" s="86">
        <f t="shared" si="184"/>
        <v>48703</v>
      </c>
    </row>
    <row r="1376" spans="2:19" x14ac:dyDescent="0.2">
      <c r="B1376" s="83">
        <f t="shared" si="181"/>
        <v>784</v>
      </c>
      <c r="C1376" s="3"/>
      <c r="D1376" s="3"/>
      <c r="E1376" s="3"/>
      <c r="F1376" s="26" t="s">
        <v>80</v>
      </c>
      <c r="G1376" s="3">
        <v>631</v>
      </c>
      <c r="H1376" s="3" t="s">
        <v>138</v>
      </c>
      <c r="I1376" s="19">
        <v>50</v>
      </c>
      <c r="J1376" s="19"/>
      <c r="K1376" s="87">
        <f t="shared" ref="K1376:K1383" si="185">J1376+I1376</f>
        <v>50</v>
      </c>
      <c r="L1376" s="356"/>
      <c r="M1376" s="345"/>
      <c r="N1376" s="208"/>
      <c r="O1376" s="87">
        <f t="shared" ref="O1376:O1383" si="186">N1376+M1376</f>
        <v>0</v>
      </c>
      <c r="P1376" s="356"/>
      <c r="Q1376" s="345">
        <f t="shared" si="182"/>
        <v>50</v>
      </c>
      <c r="R1376" s="19">
        <f t="shared" si="183"/>
        <v>0</v>
      </c>
      <c r="S1376" s="87">
        <f t="shared" si="184"/>
        <v>50</v>
      </c>
    </row>
    <row r="1377" spans="2:19" x14ac:dyDescent="0.2">
      <c r="B1377" s="83">
        <f t="shared" ref="B1377:B1381" si="187">B1376+1</f>
        <v>785</v>
      </c>
      <c r="C1377" s="3"/>
      <c r="D1377" s="3"/>
      <c r="E1377" s="3"/>
      <c r="F1377" s="26" t="s">
        <v>80</v>
      </c>
      <c r="G1377" s="3">
        <v>632</v>
      </c>
      <c r="H1377" s="3" t="s">
        <v>145</v>
      </c>
      <c r="I1377" s="19">
        <v>1200</v>
      </c>
      <c r="J1377" s="19">
        <v>-580</v>
      </c>
      <c r="K1377" s="87">
        <f t="shared" si="185"/>
        <v>620</v>
      </c>
      <c r="L1377" s="356"/>
      <c r="M1377" s="345"/>
      <c r="N1377" s="208"/>
      <c r="O1377" s="87">
        <f t="shared" si="186"/>
        <v>0</v>
      </c>
      <c r="P1377" s="356"/>
      <c r="Q1377" s="345">
        <f t="shared" si="182"/>
        <v>1200</v>
      </c>
      <c r="R1377" s="19">
        <f t="shared" si="183"/>
        <v>-580</v>
      </c>
      <c r="S1377" s="87">
        <f t="shared" si="184"/>
        <v>620</v>
      </c>
    </row>
    <row r="1378" spans="2:19" x14ac:dyDescent="0.2">
      <c r="B1378" s="83">
        <f t="shared" si="187"/>
        <v>786</v>
      </c>
      <c r="C1378" s="3"/>
      <c r="D1378" s="3"/>
      <c r="E1378" s="3"/>
      <c r="F1378" s="26" t="s">
        <v>80</v>
      </c>
      <c r="G1378" s="3">
        <v>633</v>
      </c>
      <c r="H1378" s="3" t="s">
        <v>136</v>
      </c>
      <c r="I1378" s="19">
        <v>2900</v>
      </c>
      <c r="J1378" s="19"/>
      <c r="K1378" s="87">
        <f t="shared" si="185"/>
        <v>2900</v>
      </c>
      <c r="L1378" s="356"/>
      <c r="M1378" s="345"/>
      <c r="N1378" s="208"/>
      <c r="O1378" s="87">
        <f t="shared" si="186"/>
        <v>0</v>
      </c>
      <c r="P1378" s="356"/>
      <c r="Q1378" s="345">
        <f t="shared" si="182"/>
        <v>2900</v>
      </c>
      <c r="R1378" s="19">
        <f t="shared" si="183"/>
        <v>0</v>
      </c>
      <c r="S1378" s="87">
        <f t="shared" si="184"/>
        <v>2900</v>
      </c>
    </row>
    <row r="1379" spans="2:19" x14ac:dyDescent="0.2">
      <c r="B1379" s="83">
        <f t="shared" si="187"/>
        <v>787</v>
      </c>
      <c r="C1379" s="3"/>
      <c r="D1379" s="3"/>
      <c r="E1379" s="3"/>
      <c r="F1379" s="26" t="s">
        <v>80</v>
      </c>
      <c r="G1379" s="3">
        <v>634</v>
      </c>
      <c r="H1379" s="3" t="s">
        <v>143</v>
      </c>
      <c r="I1379" s="19">
        <v>4150</v>
      </c>
      <c r="J1379" s="19">
        <v>-1400</v>
      </c>
      <c r="K1379" s="87">
        <f t="shared" si="185"/>
        <v>2750</v>
      </c>
      <c r="L1379" s="356"/>
      <c r="M1379" s="345"/>
      <c r="N1379" s="208"/>
      <c r="O1379" s="87">
        <f t="shared" si="186"/>
        <v>0</v>
      </c>
      <c r="P1379" s="356"/>
      <c r="Q1379" s="345">
        <f t="shared" si="182"/>
        <v>4150</v>
      </c>
      <c r="R1379" s="19">
        <f t="shared" si="183"/>
        <v>-1400</v>
      </c>
      <c r="S1379" s="87">
        <f t="shared" si="184"/>
        <v>2750</v>
      </c>
    </row>
    <row r="1380" spans="2:19" x14ac:dyDescent="0.2">
      <c r="B1380" s="83">
        <f t="shared" si="187"/>
        <v>788</v>
      </c>
      <c r="C1380" s="3"/>
      <c r="D1380" s="3"/>
      <c r="E1380" s="3"/>
      <c r="F1380" s="26" t="s">
        <v>80</v>
      </c>
      <c r="G1380" s="3">
        <v>635</v>
      </c>
      <c r="H1380" s="3" t="s">
        <v>144</v>
      </c>
      <c r="I1380" s="19">
        <v>8356</v>
      </c>
      <c r="J1380" s="19">
        <v>1580</v>
      </c>
      <c r="K1380" s="87">
        <f t="shared" si="185"/>
        <v>9936</v>
      </c>
      <c r="L1380" s="356"/>
      <c r="M1380" s="345"/>
      <c r="N1380" s="208"/>
      <c r="O1380" s="87">
        <f t="shared" si="186"/>
        <v>0</v>
      </c>
      <c r="P1380" s="356"/>
      <c r="Q1380" s="345">
        <f t="shared" si="182"/>
        <v>8356</v>
      </c>
      <c r="R1380" s="19">
        <f t="shared" si="183"/>
        <v>1580</v>
      </c>
      <c r="S1380" s="87">
        <f t="shared" si="184"/>
        <v>9936</v>
      </c>
    </row>
    <row r="1381" spans="2:19" x14ac:dyDescent="0.2">
      <c r="B1381" s="83">
        <f t="shared" si="187"/>
        <v>789</v>
      </c>
      <c r="C1381" s="3"/>
      <c r="D1381" s="3"/>
      <c r="E1381" s="3"/>
      <c r="F1381" s="26" t="s">
        <v>80</v>
      </c>
      <c r="G1381" s="3">
        <v>636</v>
      </c>
      <c r="H1381" s="3" t="s">
        <v>137</v>
      </c>
      <c r="I1381" s="19">
        <v>2780</v>
      </c>
      <c r="J1381" s="19"/>
      <c r="K1381" s="87">
        <f t="shared" si="185"/>
        <v>2780</v>
      </c>
      <c r="L1381" s="356"/>
      <c r="M1381" s="345"/>
      <c r="N1381" s="208"/>
      <c r="O1381" s="87">
        <f t="shared" si="186"/>
        <v>0</v>
      </c>
      <c r="P1381" s="356"/>
      <c r="Q1381" s="345">
        <f t="shared" si="182"/>
        <v>2780</v>
      </c>
      <c r="R1381" s="19">
        <f t="shared" si="183"/>
        <v>0</v>
      </c>
      <c r="S1381" s="87">
        <f t="shared" si="184"/>
        <v>2780</v>
      </c>
    </row>
    <row r="1382" spans="2:19" x14ac:dyDescent="0.2">
      <c r="B1382" s="83">
        <f>B1381+1</f>
        <v>790</v>
      </c>
      <c r="C1382" s="3"/>
      <c r="D1382" s="3"/>
      <c r="E1382" s="3"/>
      <c r="F1382" s="26" t="s">
        <v>80</v>
      </c>
      <c r="G1382" s="3">
        <v>637</v>
      </c>
      <c r="H1382" s="3" t="s">
        <v>133</v>
      </c>
      <c r="I1382" s="19">
        <f>27967+2700</f>
        <v>30667</v>
      </c>
      <c r="J1382" s="19">
        <v>-1000</v>
      </c>
      <c r="K1382" s="87">
        <f t="shared" si="185"/>
        <v>29667</v>
      </c>
      <c r="L1382" s="356"/>
      <c r="M1382" s="345"/>
      <c r="N1382" s="208"/>
      <c r="O1382" s="87">
        <f t="shared" si="186"/>
        <v>0</v>
      </c>
      <c r="P1382" s="356"/>
      <c r="Q1382" s="345">
        <f t="shared" si="182"/>
        <v>30667</v>
      </c>
      <c r="R1382" s="19">
        <f t="shared" si="183"/>
        <v>-1000</v>
      </c>
      <c r="S1382" s="87">
        <f t="shared" si="184"/>
        <v>29667</v>
      </c>
    </row>
    <row r="1383" spans="2:19" ht="13.5" thickBot="1" x14ac:dyDescent="0.25">
      <c r="B1383" s="89">
        <f>B1382+1</f>
        <v>791</v>
      </c>
      <c r="C1383" s="115"/>
      <c r="D1383" s="115"/>
      <c r="E1383" s="115"/>
      <c r="F1383" s="116" t="s">
        <v>80</v>
      </c>
      <c r="G1383" s="115">
        <v>640</v>
      </c>
      <c r="H1383" s="115" t="s">
        <v>140</v>
      </c>
      <c r="I1383" s="117">
        <v>3903</v>
      </c>
      <c r="J1383" s="117"/>
      <c r="K1383" s="118">
        <f t="shared" si="185"/>
        <v>3903</v>
      </c>
      <c r="L1383" s="401"/>
      <c r="M1383" s="400"/>
      <c r="N1383" s="263"/>
      <c r="O1383" s="118">
        <f t="shared" si="186"/>
        <v>0</v>
      </c>
      <c r="P1383" s="401"/>
      <c r="Q1383" s="400">
        <f t="shared" si="182"/>
        <v>3903</v>
      </c>
      <c r="R1383" s="117">
        <f t="shared" si="183"/>
        <v>0</v>
      </c>
      <c r="S1383" s="118">
        <f t="shared" si="184"/>
        <v>3903</v>
      </c>
    </row>
    <row r="1407" spans="2:19" ht="27.75" thickBot="1" x14ac:dyDescent="0.4">
      <c r="B1407" s="455" t="s">
        <v>1</v>
      </c>
      <c r="C1407" s="456"/>
      <c r="D1407" s="456"/>
      <c r="E1407" s="456"/>
      <c r="F1407" s="456"/>
      <c r="G1407" s="456"/>
      <c r="H1407" s="456"/>
      <c r="I1407" s="456"/>
      <c r="J1407" s="456"/>
      <c r="K1407" s="456"/>
      <c r="L1407" s="456"/>
      <c r="M1407" s="456"/>
      <c r="N1407" s="456"/>
      <c r="O1407" s="456"/>
      <c r="P1407" s="456"/>
      <c r="Q1407" s="456"/>
    </row>
    <row r="1408" spans="2:19" ht="13.5" customHeight="1" thickBot="1" x14ac:dyDescent="0.25">
      <c r="B1408" s="452" t="s">
        <v>359</v>
      </c>
      <c r="C1408" s="453"/>
      <c r="D1408" s="453"/>
      <c r="E1408" s="453"/>
      <c r="F1408" s="453"/>
      <c r="G1408" s="453"/>
      <c r="H1408" s="453"/>
      <c r="I1408" s="453"/>
      <c r="J1408" s="453"/>
      <c r="K1408" s="453"/>
      <c r="L1408" s="453"/>
      <c r="M1408" s="453"/>
      <c r="N1408" s="453"/>
      <c r="O1408" s="454"/>
      <c r="P1408" s="339"/>
      <c r="Q1408" s="457" t="s">
        <v>667</v>
      </c>
      <c r="R1408" s="488" t="s">
        <v>668</v>
      </c>
      <c r="S1408" s="491" t="s">
        <v>669</v>
      </c>
    </row>
    <row r="1409" spans="2:19" ht="13.5" customHeight="1" thickBot="1" x14ac:dyDescent="0.25">
      <c r="B1409" s="466"/>
      <c r="C1409" s="460" t="s">
        <v>125</v>
      </c>
      <c r="D1409" s="460" t="s">
        <v>126</v>
      </c>
      <c r="E1409" s="460"/>
      <c r="F1409" s="460" t="s">
        <v>127</v>
      </c>
      <c r="G1409" s="470" t="s">
        <v>128</v>
      </c>
      <c r="H1409" s="473" t="s">
        <v>129</v>
      </c>
      <c r="I1409" s="463" t="s">
        <v>670</v>
      </c>
      <c r="J1409" s="495" t="s">
        <v>668</v>
      </c>
      <c r="K1409" s="491" t="s">
        <v>671</v>
      </c>
      <c r="L1409" s="53"/>
      <c r="M1409" s="474" t="s">
        <v>672</v>
      </c>
      <c r="N1409" s="488" t="s">
        <v>668</v>
      </c>
      <c r="O1409" s="491" t="s">
        <v>671</v>
      </c>
      <c r="P1409" s="53"/>
      <c r="Q1409" s="458"/>
      <c r="R1409" s="489"/>
      <c r="S1409" s="492"/>
    </row>
    <row r="1410" spans="2:19" ht="13.5" thickBot="1" x14ac:dyDescent="0.25">
      <c r="B1410" s="466"/>
      <c r="C1410" s="461"/>
      <c r="D1410" s="461"/>
      <c r="E1410" s="461"/>
      <c r="F1410" s="461"/>
      <c r="G1410" s="471"/>
      <c r="H1410" s="473"/>
      <c r="I1410" s="463"/>
      <c r="J1410" s="495"/>
      <c r="K1410" s="492"/>
      <c r="L1410" s="53"/>
      <c r="M1410" s="475"/>
      <c r="N1410" s="489"/>
      <c r="O1410" s="492"/>
      <c r="P1410" s="53"/>
      <c r="Q1410" s="458"/>
      <c r="R1410" s="489"/>
      <c r="S1410" s="492"/>
    </row>
    <row r="1411" spans="2:19" ht="13.5" thickBot="1" x14ac:dyDescent="0.25">
      <c r="B1411" s="466"/>
      <c r="C1411" s="461"/>
      <c r="D1411" s="461"/>
      <c r="E1411" s="461"/>
      <c r="F1411" s="461"/>
      <c r="G1411" s="471"/>
      <c r="H1411" s="473"/>
      <c r="I1411" s="463"/>
      <c r="J1411" s="495"/>
      <c r="K1411" s="492"/>
      <c r="L1411" s="53"/>
      <c r="M1411" s="475"/>
      <c r="N1411" s="489"/>
      <c r="O1411" s="492"/>
      <c r="P1411" s="53"/>
      <c r="Q1411" s="458"/>
      <c r="R1411" s="489"/>
      <c r="S1411" s="492"/>
    </row>
    <row r="1412" spans="2:19" ht="13.5" thickBot="1" x14ac:dyDescent="0.25">
      <c r="B1412" s="466"/>
      <c r="C1412" s="462"/>
      <c r="D1412" s="462"/>
      <c r="E1412" s="462"/>
      <c r="F1412" s="462"/>
      <c r="G1412" s="472"/>
      <c r="H1412" s="473"/>
      <c r="I1412" s="464"/>
      <c r="J1412" s="496"/>
      <c r="K1412" s="493"/>
      <c r="L1412" s="53"/>
      <c r="M1412" s="476"/>
      <c r="N1412" s="490"/>
      <c r="O1412" s="493"/>
      <c r="P1412" s="53"/>
      <c r="Q1412" s="459"/>
      <c r="R1412" s="490"/>
      <c r="S1412" s="493"/>
    </row>
    <row r="1413" spans="2:19" ht="16.5" thickTop="1" x14ac:dyDescent="0.2">
      <c r="B1413" s="193">
        <f t="shared" ref="B1413:B1473" si="188">B1412+1</f>
        <v>1</v>
      </c>
      <c r="C1413" s="477" t="s">
        <v>1</v>
      </c>
      <c r="D1413" s="482"/>
      <c r="E1413" s="482"/>
      <c r="F1413" s="482"/>
      <c r="G1413" s="482"/>
      <c r="H1413" s="483"/>
      <c r="I1413" s="35">
        <f>I1500+I1439+I1418+I1414</f>
        <v>2272381</v>
      </c>
      <c r="J1413" s="35">
        <f>J1500+J1439+J1418+J1414</f>
        <v>0</v>
      </c>
      <c r="K1413" s="93">
        <f>J1413+I1413</f>
        <v>2272381</v>
      </c>
      <c r="L1413" s="360"/>
      <c r="M1413" s="348">
        <f>M1414+M1418+M1439+M1500</f>
        <v>2971550</v>
      </c>
      <c r="N1413" s="249"/>
      <c r="O1413" s="93">
        <f>N1413+M1413</f>
        <v>2971550</v>
      </c>
      <c r="P1413" s="360"/>
      <c r="Q1413" s="348">
        <f t="shared" ref="Q1413:Q1473" si="189">I1413+M1413</f>
        <v>5243931</v>
      </c>
      <c r="R1413" s="35">
        <f t="shared" ref="R1413:R1473" si="190">J1413+N1413</f>
        <v>0</v>
      </c>
      <c r="S1413" s="93">
        <f t="shared" ref="S1413:S1473" si="191">K1413+O1413</f>
        <v>5243931</v>
      </c>
    </row>
    <row r="1414" spans="2:19" ht="15" x14ac:dyDescent="0.2">
      <c r="B1414" s="193">
        <f t="shared" si="188"/>
        <v>2</v>
      </c>
      <c r="C1414" s="239">
        <v>1</v>
      </c>
      <c r="D1414" s="444" t="s">
        <v>241</v>
      </c>
      <c r="E1414" s="445"/>
      <c r="F1414" s="445"/>
      <c r="G1414" s="445"/>
      <c r="H1414" s="446"/>
      <c r="I1414" s="36">
        <f>I1415</f>
        <v>3800</v>
      </c>
      <c r="J1414" s="36"/>
      <c r="K1414" s="84">
        <f t="shared" ref="K1414:K1474" si="192">J1414+I1414</f>
        <v>3800</v>
      </c>
      <c r="L1414" s="353"/>
      <c r="M1414" s="342">
        <v>0</v>
      </c>
      <c r="N1414" s="244"/>
      <c r="O1414" s="84">
        <f t="shared" ref="O1414:O1474" si="193">N1414+M1414</f>
        <v>0</v>
      </c>
      <c r="P1414" s="353"/>
      <c r="Q1414" s="342">
        <f t="shared" si="189"/>
        <v>3800</v>
      </c>
      <c r="R1414" s="36">
        <f t="shared" si="190"/>
        <v>0</v>
      </c>
      <c r="S1414" s="84">
        <f t="shared" si="191"/>
        <v>3800</v>
      </c>
    </row>
    <row r="1415" spans="2:19" x14ac:dyDescent="0.2">
      <c r="B1415" s="193">
        <f t="shared" si="188"/>
        <v>3</v>
      </c>
      <c r="C1415" s="7"/>
      <c r="D1415" s="7"/>
      <c r="E1415" s="7"/>
      <c r="F1415" s="25" t="s">
        <v>192</v>
      </c>
      <c r="G1415" s="7">
        <v>630</v>
      </c>
      <c r="H1415" s="7" t="s">
        <v>132</v>
      </c>
      <c r="I1415" s="23">
        <f>I1417+I1416</f>
        <v>3800</v>
      </c>
      <c r="J1415" s="23"/>
      <c r="K1415" s="86">
        <f t="shared" si="192"/>
        <v>3800</v>
      </c>
      <c r="L1415" s="355"/>
      <c r="M1415" s="344"/>
      <c r="N1415" s="246"/>
      <c r="O1415" s="86">
        <f t="shared" si="193"/>
        <v>0</v>
      </c>
      <c r="P1415" s="355"/>
      <c r="Q1415" s="344">
        <f t="shared" si="189"/>
        <v>3800</v>
      </c>
      <c r="R1415" s="23">
        <f t="shared" si="190"/>
        <v>0</v>
      </c>
      <c r="S1415" s="86">
        <f t="shared" si="191"/>
        <v>3800</v>
      </c>
    </row>
    <row r="1416" spans="2:19" x14ac:dyDescent="0.2">
      <c r="B1416" s="193">
        <f t="shared" si="188"/>
        <v>4</v>
      </c>
      <c r="C1416" s="3"/>
      <c r="D1416" s="3"/>
      <c r="E1416" s="3"/>
      <c r="F1416" s="26" t="s">
        <v>192</v>
      </c>
      <c r="G1416" s="3">
        <v>633</v>
      </c>
      <c r="H1416" s="3" t="s">
        <v>136</v>
      </c>
      <c r="I1416" s="19">
        <v>2300</v>
      </c>
      <c r="J1416" s="19"/>
      <c r="K1416" s="87">
        <f t="shared" si="192"/>
        <v>2300</v>
      </c>
      <c r="L1416" s="356"/>
      <c r="M1416" s="345"/>
      <c r="N1416" s="208"/>
      <c r="O1416" s="87">
        <f t="shared" si="193"/>
        <v>0</v>
      </c>
      <c r="P1416" s="356"/>
      <c r="Q1416" s="345">
        <f t="shared" si="189"/>
        <v>2300</v>
      </c>
      <c r="R1416" s="19">
        <f t="shared" si="190"/>
        <v>0</v>
      </c>
      <c r="S1416" s="87">
        <f t="shared" si="191"/>
        <v>2300</v>
      </c>
    </row>
    <row r="1417" spans="2:19" x14ac:dyDescent="0.2">
      <c r="B1417" s="193">
        <f t="shared" si="188"/>
        <v>5</v>
      </c>
      <c r="C1417" s="3"/>
      <c r="D1417" s="3"/>
      <c r="E1417" s="3"/>
      <c r="F1417" s="26" t="s">
        <v>192</v>
      </c>
      <c r="G1417" s="3">
        <v>637</v>
      </c>
      <c r="H1417" s="3" t="s">
        <v>133</v>
      </c>
      <c r="I1417" s="19">
        <v>1500</v>
      </c>
      <c r="J1417" s="19"/>
      <c r="K1417" s="87">
        <f t="shared" si="192"/>
        <v>1500</v>
      </c>
      <c r="L1417" s="356"/>
      <c r="M1417" s="345"/>
      <c r="N1417" s="208"/>
      <c r="O1417" s="87">
        <f t="shared" si="193"/>
        <v>0</v>
      </c>
      <c r="P1417" s="356"/>
      <c r="Q1417" s="345">
        <f t="shared" si="189"/>
        <v>1500</v>
      </c>
      <c r="R1417" s="19">
        <f t="shared" si="190"/>
        <v>0</v>
      </c>
      <c r="S1417" s="87">
        <f t="shared" si="191"/>
        <v>1500</v>
      </c>
    </row>
    <row r="1418" spans="2:19" ht="15" x14ac:dyDescent="0.2">
      <c r="B1418" s="193">
        <f t="shared" si="188"/>
        <v>6</v>
      </c>
      <c r="C1418" s="239">
        <v>2</v>
      </c>
      <c r="D1418" s="444" t="s">
        <v>20</v>
      </c>
      <c r="E1418" s="445"/>
      <c r="F1418" s="445"/>
      <c r="G1418" s="445"/>
      <c r="H1418" s="446"/>
      <c r="I1418" s="36">
        <f>I1419</f>
        <v>697951</v>
      </c>
      <c r="J1418" s="36"/>
      <c r="K1418" s="84">
        <f t="shared" si="192"/>
        <v>697951</v>
      </c>
      <c r="L1418" s="353"/>
      <c r="M1418" s="342">
        <f>M1437</f>
        <v>40150</v>
      </c>
      <c r="N1418" s="244"/>
      <c r="O1418" s="84">
        <f t="shared" si="193"/>
        <v>40150</v>
      </c>
      <c r="P1418" s="353"/>
      <c r="Q1418" s="342">
        <f t="shared" si="189"/>
        <v>738101</v>
      </c>
      <c r="R1418" s="36">
        <f t="shared" si="190"/>
        <v>0</v>
      </c>
      <c r="S1418" s="84">
        <f t="shared" si="191"/>
        <v>738101</v>
      </c>
    </row>
    <row r="1419" spans="2:19" x14ac:dyDescent="0.2">
      <c r="B1419" s="193">
        <f t="shared" si="188"/>
        <v>7</v>
      </c>
      <c r="C1419" s="7"/>
      <c r="D1419" s="7"/>
      <c r="E1419" s="7"/>
      <c r="F1419" s="25" t="s">
        <v>192</v>
      </c>
      <c r="G1419" s="7">
        <v>640</v>
      </c>
      <c r="H1419" s="7" t="s">
        <v>140</v>
      </c>
      <c r="I1419" s="23">
        <f>SUM(I1420:I1436)</f>
        <v>697951</v>
      </c>
      <c r="J1419" s="23"/>
      <c r="K1419" s="86">
        <f t="shared" si="192"/>
        <v>697951</v>
      </c>
      <c r="L1419" s="355"/>
      <c r="M1419" s="344"/>
      <c r="N1419" s="246"/>
      <c r="O1419" s="86">
        <f t="shared" si="193"/>
        <v>0</v>
      </c>
      <c r="P1419" s="355"/>
      <c r="Q1419" s="344">
        <f t="shared" si="189"/>
        <v>697951</v>
      </c>
      <c r="R1419" s="23">
        <f t="shared" si="190"/>
        <v>0</v>
      </c>
      <c r="S1419" s="86">
        <f t="shared" si="191"/>
        <v>697951</v>
      </c>
    </row>
    <row r="1420" spans="2:19" x14ac:dyDescent="0.2">
      <c r="B1420" s="193">
        <f t="shared" si="188"/>
        <v>8</v>
      </c>
      <c r="C1420" s="4"/>
      <c r="D1420" s="4"/>
      <c r="E1420" s="4"/>
      <c r="F1420" s="27"/>
      <c r="G1420" s="4"/>
      <c r="H1420" s="4" t="s">
        <v>193</v>
      </c>
      <c r="I1420" s="22">
        <v>50000</v>
      </c>
      <c r="J1420" s="22"/>
      <c r="K1420" s="113">
        <f t="shared" si="192"/>
        <v>50000</v>
      </c>
      <c r="L1420" s="357"/>
      <c r="M1420" s="346"/>
      <c r="N1420" s="247"/>
      <c r="O1420" s="88">
        <f t="shared" si="193"/>
        <v>0</v>
      </c>
      <c r="P1420" s="357"/>
      <c r="Q1420" s="346">
        <f t="shared" si="189"/>
        <v>50000</v>
      </c>
      <c r="R1420" s="21">
        <f t="shared" si="190"/>
        <v>0</v>
      </c>
      <c r="S1420" s="88">
        <f t="shared" si="191"/>
        <v>50000</v>
      </c>
    </row>
    <row r="1421" spans="2:19" x14ac:dyDescent="0.2">
      <c r="B1421" s="193">
        <f t="shared" si="188"/>
        <v>9</v>
      </c>
      <c r="C1421" s="4"/>
      <c r="D1421" s="4"/>
      <c r="E1421" s="4"/>
      <c r="F1421" s="27"/>
      <c r="G1421" s="4"/>
      <c r="H1421" s="4" t="s">
        <v>22</v>
      </c>
      <c r="I1421" s="22">
        <v>10000</v>
      </c>
      <c r="J1421" s="22"/>
      <c r="K1421" s="113">
        <f t="shared" si="192"/>
        <v>10000</v>
      </c>
      <c r="L1421" s="357"/>
      <c r="M1421" s="346"/>
      <c r="N1421" s="247"/>
      <c r="O1421" s="88">
        <f t="shared" si="193"/>
        <v>0</v>
      </c>
      <c r="P1421" s="357"/>
      <c r="Q1421" s="346">
        <f t="shared" si="189"/>
        <v>10000</v>
      </c>
      <c r="R1421" s="21">
        <f t="shared" si="190"/>
        <v>0</v>
      </c>
      <c r="S1421" s="88">
        <f t="shared" si="191"/>
        <v>10000</v>
      </c>
    </row>
    <row r="1422" spans="2:19" x14ac:dyDescent="0.2">
      <c r="B1422" s="193">
        <f t="shared" si="188"/>
        <v>10</v>
      </c>
      <c r="C1422" s="4"/>
      <c r="D1422" s="4"/>
      <c r="E1422" s="4"/>
      <c r="F1422" s="27"/>
      <c r="G1422" s="4"/>
      <c r="H1422" s="4" t="s">
        <v>21</v>
      </c>
      <c r="I1422" s="22">
        <v>20000</v>
      </c>
      <c r="J1422" s="22"/>
      <c r="K1422" s="113">
        <f t="shared" si="192"/>
        <v>20000</v>
      </c>
      <c r="L1422" s="357"/>
      <c r="M1422" s="346"/>
      <c r="N1422" s="247"/>
      <c r="O1422" s="88">
        <f t="shared" si="193"/>
        <v>0</v>
      </c>
      <c r="P1422" s="357"/>
      <c r="Q1422" s="346">
        <f t="shared" si="189"/>
        <v>20000</v>
      </c>
      <c r="R1422" s="21">
        <f t="shared" si="190"/>
        <v>0</v>
      </c>
      <c r="S1422" s="88">
        <f t="shared" si="191"/>
        <v>20000</v>
      </c>
    </row>
    <row r="1423" spans="2:19" x14ac:dyDescent="0.2">
      <c r="B1423" s="193">
        <f t="shared" si="188"/>
        <v>11</v>
      </c>
      <c r="C1423" s="4"/>
      <c r="D1423" s="4"/>
      <c r="E1423" s="4"/>
      <c r="F1423" s="27"/>
      <c r="G1423" s="4"/>
      <c r="H1423" s="4" t="s">
        <v>0</v>
      </c>
      <c r="I1423" s="22">
        <v>100000</v>
      </c>
      <c r="J1423" s="22"/>
      <c r="K1423" s="113">
        <f t="shared" si="192"/>
        <v>100000</v>
      </c>
      <c r="L1423" s="357"/>
      <c r="M1423" s="346"/>
      <c r="N1423" s="247"/>
      <c r="O1423" s="88">
        <f t="shared" si="193"/>
        <v>0</v>
      </c>
      <c r="P1423" s="357"/>
      <c r="Q1423" s="346">
        <f t="shared" si="189"/>
        <v>100000</v>
      </c>
      <c r="R1423" s="21">
        <f t="shared" si="190"/>
        <v>0</v>
      </c>
      <c r="S1423" s="88">
        <f t="shared" si="191"/>
        <v>100000</v>
      </c>
    </row>
    <row r="1424" spans="2:19" ht="22.5" x14ac:dyDescent="0.2">
      <c r="B1424" s="193">
        <f t="shared" si="188"/>
        <v>12</v>
      </c>
      <c r="C1424" s="149"/>
      <c r="D1424" s="149"/>
      <c r="E1424" s="149"/>
      <c r="F1424" s="150"/>
      <c r="G1424" s="149"/>
      <c r="H1424" s="177" t="s">
        <v>338</v>
      </c>
      <c r="I1424" s="178">
        <v>204342</v>
      </c>
      <c r="J1424" s="178"/>
      <c r="K1424" s="391">
        <f t="shared" si="192"/>
        <v>204342</v>
      </c>
      <c r="L1424" s="366"/>
      <c r="M1424" s="369"/>
      <c r="N1424" s="255"/>
      <c r="O1424" s="152">
        <f t="shared" si="193"/>
        <v>0</v>
      </c>
      <c r="P1424" s="366"/>
      <c r="Q1424" s="369">
        <f t="shared" si="189"/>
        <v>204342</v>
      </c>
      <c r="R1424" s="151">
        <f t="shared" si="190"/>
        <v>0</v>
      </c>
      <c r="S1424" s="152">
        <f t="shared" si="191"/>
        <v>204342</v>
      </c>
    </row>
    <row r="1425" spans="2:19" ht="22.5" x14ac:dyDescent="0.2">
      <c r="B1425" s="193">
        <f t="shared" si="188"/>
        <v>13</v>
      </c>
      <c r="C1425" s="149"/>
      <c r="D1425" s="149"/>
      <c r="E1425" s="149"/>
      <c r="F1425" s="150"/>
      <c r="G1425" s="149"/>
      <c r="H1425" s="177" t="s">
        <v>337</v>
      </c>
      <c r="I1425" s="178">
        <f>122923+20000</f>
        <v>142923</v>
      </c>
      <c r="J1425" s="178"/>
      <c r="K1425" s="391">
        <f t="shared" si="192"/>
        <v>142923</v>
      </c>
      <c r="L1425" s="366"/>
      <c r="M1425" s="369"/>
      <c r="N1425" s="255"/>
      <c r="O1425" s="152">
        <f t="shared" si="193"/>
        <v>0</v>
      </c>
      <c r="P1425" s="366"/>
      <c r="Q1425" s="369">
        <f t="shared" si="189"/>
        <v>142923</v>
      </c>
      <c r="R1425" s="151">
        <f t="shared" si="190"/>
        <v>0</v>
      </c>
      <c r="S1425" s="152">
        <f t="shared" si="191"/>
        <v>142923</v>
      </c>
    </row>
    <row r="1426" spans="2:19" ht="22.5" x14ac:dyDescent="0.2">
      <c r="B1426" s="193">
        <f t="shared" si="188"/>
        <v>14</v>
      </c>
      <c r="C1426" s="149"/>
      <c r="D1426" s="149"/>
      <c r="E1426" s="149"/>
      <c r="F1426" s="150"/>
      <c r="G1426" s="149"/>
      <c r="H1426" s="177" t="s">
        <v>562</v>
      </c>
      <c r="I1426" s="178">
        <v>50000</v>
      </c>
      <c r="J1426" s="178"/>
      <c r="K1426" s="391">
        <f t="shared" si="192"/>
        <v>50000</v>
      </c>
      <c r="L1426" s="366"/>
      <c r="M1426" s="369"/>
      <c r="N1426" s="255"/>
      <c r="O1426" s="152">
        <f t="shared" si="193"/>
        <v>0</v>
      </c>
      <c r="P1426" s="366"/>
      <c r="Q1426" s="369">
        <f t="shared" si="189"/>
        <v>50000</v>
      </c>
      <c r="R1426" s="151">
        <f t="shared" si="190"/>
        <v>0</v>
      </c>
      <c r="S1426" s="152">
        <f t="shared" si="191"/>
        <v>50000</v>
      </c>
    </row>
    <row r="1427" spans="2:19" ht="22.5" x14ac:dyDescent="0.2">
      <c r="B1427" s="193">
        <f t="shared" si="188"/>
        <v>15</v>
      </c>
      <c r="C1427" s="149"/>
      <c r="D1427" s="149"/>
      <c r="E1427" s="149"/>
      <c r="F1427" s="150"/>
      <c r="G1427" s="149"/>
      <c r="H1427" s="177" t="s">
        <v>339</v>
      </c>
      <c r="I1427" s="178">
        <v>28100</v>
      </c>
      <c r="J1427" s="178"/>
      <c r="K1427" s="391">
        <f t="shared" si="192"/>
        <v>28100</v>
      </c>
      <c r="L1427" s="366"/>
      <c r="M1427" s="369"/>
      <c r="N1427" s="255"/>
      <c r="O1427" s="152">
        <f t="shared" si="193"/>
        <v>0</v>
      </c>
      <c r="P1427" s="366"/>
      <c r="Q1427" s="369">
        <f t="shared" si="189"/>
        <v>28100</v>
      </c>
      <c r="R1427" s="151">
        <f t="shared" si="190"/>
        <v>0</v>
      </c>
      <c r="S1427" s="152">
        <f t="shared" si="191"/>
        <v>28100</v>
      </c>
    </row>
    <row r="1428" spans="2:19" ht="22.5" x14ac:dyDescent="0.2">
      <c r="B1428" s="193">
        <f t="shared" si="188"/>
        <v>16</v>
      </c>
      <c r="C1428" s="149"/>
      <c r="D1428" s="149"/>
      <c r="E1428" s="149"/>
      <c r="F1428" s="150"/>
      <c r="G1428" s="149"/>
      <c r="H1428" s="177" t="s">
        <v>340</v>
      </c>
      <c r="I1428" s="178">
        <v>51086</v>
      </c>
      <c r="J1428" s="178"/>
      <c r="K1428" s="391">
        <f t="shared" si="192"/>
        <v>51086</v>
      </c>
      <c r="L1428" s="366"/>
      <c r="M1428" s="369"/>
      <c r="N1428" s="255"/>
      <c r="O1428" s="152">
        <f t="shared" si="193"/>
        <v>0</v>
      </c>
      <c r="P1428" s="366"/>
      <c r="Q1428" s="369">
        <f t="shared" si="189"/>
        <v>51086</v>
      </c>
      <c r="R1428" s="151">
        <f t="shared" si="190"/>
        <v>0</v>
      </c>
      <c r="S1428" s="152">
        <f t="shared" si="191"/>
        <v>51086</v>
      </c>
    </row>
    <row r="1429" spans="2:19" x14ac:dyDescent="0.2">
      <c r="B1429" s="193">
        <f t="shared" si="188"/>
        <v>17</v>
      </c>
      <c r="C1429" s="4"/>
      <c r="D1429" s="4"/>
      <c r="E1429" s="4"/>
      <c r="F1429" s="27"/>
      <c r="G1429" s="4"/>
      <c r="H1429" s="34" t="s">
        <v>341</v>
      </c>
      <c r="I1429" s="22">
        <v>5000</v>
      </c>
      <c r="J1429" s="22"/>
      <c r="K1429" s="113">
        <f t="shared" si="192"/>
        <v>5000</v>
      </c>
      <c r="L1429" s="357"/>
      <c r="M1429" s="346"/>
      <c r="N1429" s="247"/>
      <c r="O1429" s="88">
        <f t="shared" si="193"/>
        <v>0</v>
      </c>
      <c r="P1429" s="357"/>
      <c r="Q1429" s="346">
        <f t="shared" si="189"/>
        <v>5000</v>
      </c>
      <c r="R1429" s="21">
        <f t="shared" si="190"/>
        <v>0</v>
      </c>
      <c r="S1429" s="88">
        <f t="shared" si="191"/>
        <v>5000</v>
      </c>
    </row>
    <row r="1430" spans="2:19" x14ac:dyDescent="0.2">
      <c r="B1430" s="193">
        <f t="shared" si="188"/>
        <v>18</v>
      </c>
      <c r="C1430" s="4"/>
      <c r="D1430" s="4"/>
      <c r="E1430" s="4"/>
      <c r="F1430" s="27"/>
      <c r="G1430" s="4"/>
      <c r="H1430" s="34" t="s">
        <v>342</v>
      </c>
      <c r="I1430" s="22">
        <v>5000</v>
      </c>
      <c r="J1430" s="22"/>
      <c r="K1430" s="113">
        <f t="shared" si="192"/>
        <v>5000</v>
      </c>
      <c r="L1430" s="357"/>
      <c r="M1430" s="346"/>
      <c r="N1430" s="247"/>
      <c r="O1430" s="88">
        <f t="shared" si="193"/>
        <v>0</v>
      </c>
      <c r="P1430" s="357"/>
      <c r="Q1430" s="346">
        <f t="shared" si="189"/>
        <v>5000</v>
      </c>
      <c r="R1430" s="21">
        <f t="shared" si="190"/>
        <v>0</v>
      </c>
      <c r="S1430" s="88">
        <f t="shared" si="191"/>
        <v>5000</v>
      </c>
    </row>
    <row r="1431" spans="2:19" x14ac:dyDescent="0.2">
      <c r="B1431" s="193">
        <f t="shared" si="188"/>
        <v>19</v>
      </c>
      <c r="C1431" s="4"/>
      <c r="D1431" s="4"/>
      <c r="E1431" s="4"/>
      <c r="F1431" s="27"/>
      <c r="G1431" s="4"/>
      <c r="H1431" s="34" t="s">
        <v>343</v>
      </c>
      <c r="I1431" s="22">
        <v>3000</v>
      </c>
      <c r="J1431" s="22"/>
      <c r="K1431" s="113">
        <f t="shared" si="192"/>
        <v>3000</v>
      </c>
      <c r="L1431" s="357"/>
      <c r="M1431" s="346"/>
      <c r="N1431" s="247"/>
      <c r="O1431" s="88">
        <f t="shared" si="193"/>
        <v>0</v>
      </c>
      <c r="P1431" s="357"/>
      <c r="Q1431" s="346">
        <f t="shared" si="189"/>
        <v>3000</v>
      </c>
      <c r="R1431" s="21">
        <f t="shared" si="190"/>
        <v>0</v>
      </c>
      <c r="S1431" s="88">
        <f t="shared" si="191"/>
        <v>3000</v>
      </c>
    </row>
    <row r="1432" spans="2:19" ht="22.5" x14ac:dyDescent="0.2">
      <c r="B1432" s="193">
        <f t="shared" si="188"/>
        <v>20</v>
      </c>
      <c r="C1432" s="4"/>
      <c r="D1432" s="4"/>
      <c r="E1432" s="4"/>
      <c r="F1432" s="27"/>
      <c r="G1432" s="4"/>
      <c r="H1432" s="34" t="s">
        <v>597</v>
      </c>
      <c r="I1432" s="22">
        <v>2500</v>
      </c>
      <c r="J1432" s="22"/>
      <c r="K1432" s="113">
        <f t="shared" si="192"/>
        <v>2500</v>
      </c>
      <c r="L1432" s="357"/>
      <c r="M1432" s="346"/>
      <c r="N1432" s="247"/>
      <c r="O1432" s="88">
        <f t="shared" si="193"/>
        <v>0</v>
      </c>
      <c r="P1432" s="357"/>
      <c r="Q1432" s="346">
        <f t="shared" si="189"/>
        <v>2500</v>
      </c>
      <c r="R1432" s="21">
        <f t="shared" si="190"/>
        <v>0</v>
      </c>
      <c r="S1432" s="88">
        <f t="shared" si="191"/>
        <v>2500</v>
      </c>
    </row>
    <row r="1433" spans="2:19" ht="22.5" x14ac:dyDescent="0.2">
      <c r="B1433" s="194">
        <f t="shared" si="188"/>
        <v>21</v>
      </c>
      <c r="C1433" s="4"/>
      <c r="D1433" s="4"/>
      <c r="E1433" s="4"/>
      <c r="F1433" s="27"/>
      <c r="G1433" s="4"/>
      <c r="H1433" s="34" t="s">
        <v>601</v>
      </c>
      <c r="I1433" s="22">
        <v>1000</v>
      </c>
      <c r="J1433" s="22"/>
      <c r="K1433" s="113">
        <f t="shared" si="192"/>
        <v>1000</v>
      </c>
      <c r="L1433" s="357"/>
      <c r="M1433" s="346"/>
      <c r="N1433" s="247"/>
      <c r="O1433" s="88">
        <f t="shared" si="193"/>
        <v>0</v>
      </c>
      <c r="P1433" s="357"/>
      <c r="Q1433" s="346">
        <f t="shared" si="189"/>
        <v>1000</v>
      </c>
      <c r="R1433" s="21">
        <f t="shared" si="190"/>
        <v>0</v>
      </c>
      <c r="S1433" s="88">
        <f t="shared" si="191"/>
        <v>1000</v>
      </c>
    </row>
    <row r="1434" spans="2:19" ht="22.5" x14ac:dyDescent="0.2">
      <c r="B1434" s="194">
        <f t="shared" si="188"/>
        <v>22</v>
      </c>
      <c r="C1434" s="4"/>
      <c r="D1434" s="4"/>
      <c r="E1434" s="4"/>
      <c r="F1434" s="27"/>
      <c r="G1434" s="4"/>
      <c r="H1434" s="34" t="s">
        <v>612</v>
      </c>
      <c r="I1434" s="22">
        <v>1000</v>
      </c>
      <c r="J1434" s="22"/>
      <c r="K1434" s="113">
        <f t="shared" si="192"/>
        <v>1000</v>
      </c>
      <c r="L1434" s="357"/>
      <c r="M1434" s="346"/>
      <c r="N1434" s="247"/>
      <c r="O1434" s="88">
        <f t="shared" si="193"/>
        <v>0</v>
      </c>
      <c r="P1434" s="357"/>
      <c r="Q1434" s="346">
        <f t="shared" si="189"/>
        <v>1000</v>
      </c>
      <c r="R1434" s="21">
        <f t="shared" si="190"/>
        <v>0</v>
      </c>
      <c r="S1434" s="88">
        <f t="shared" si="191"/>
        <v>1000</v>
      </c>
    </row>
    <row r="1435" spans="2:19" x14ac:dyDescent="0.2">
      <c r="B1435" s="194">
        <f t="shared" si="188"/>
        <v>23</v>
      </c>
      <c r="C1435" s="4"/>
      <c r="D1435" s="4"/>
      <c r="E1435" s="4"/>
      <c r="F1435" s="27"/>
      <c r="G1435" s="4"/>
      <c r="H1435" s="34" t="s">
        <v>613</v>
      </c>
      <c r="I1435" s="22">
        <v>20000</v>
      </c>
      <c r="J1435" s="22"/>
      <c r="K1435" s="113">
        <f t="shared" si="192"/>
        <v>20000</v>
      </c>
      <c r="L1435" s="357"/>
      <c r="M1435" s="346"/>
      <c r="N1435" s="247"/>
      <c r="O1435" s="88">
        <f t="shared" si="193"/>
        <v>0</v>
      </c>
      <c r="P1435" s="357"/>
      <c r="Q1435" s="346">
        <f t="shared" si="189"/>
        <v>20000</v>
      </c>
      <c r="R1435" s="21">
        <f t="shared" si="190"/>
        <v>0</v>
      </c>
      <c r="S1435" s="88">
        <f t="shared" si="191"/>
        <v>20000</v>
      </c>
    </row>
    <row r="1436" spans="2:19" ht="22.5" x14ac:dyDescent="0.2">
      <c r="B1436" s="194">
        <f t="shared" si="188"/>
        <v>24</v>
      </c>
      <c r="C1436" s="4"/>
      <c r="D1436" s="4"/>
      <c r="E1436" s="4"/>
      <c r="F1436" s="27"/>
      <c r="G1436" s="4"/>
      <c r="H1436" s="34" t="s">
        <v>614</v>
      </c>
      <c r="I1436" s="22">
        <v>4000</v>
      </c>
      <c r="J1436" s="22"/>
      <c r="K1436" s="113">
        <f t="shared" si="192"/>
        <v>4000</v>
      </c>
      <c r="L1436" s="357"/>
      <c r="M1436" s="346"/>
      <c r="N1436" s="247"/>
      <c r="O1436" s="88">
        <f t="shared" si="193"/>
        <v>0</v>
      </c>
      <c r="P1436" s="357"/>
      <c r="Q1436" s="346">
        <f t="shared" si="189"/>
        <v>4000</v>
      </c>
      <c r="R1436" s="21">
        <f t="shared" si="190"/>
        <v>0</v>
      </c>
      <c r="S1436" s="88">
        <f t="shared" si="191"/>
        <v>4000</v>
      </c>
    </row>
    <row r="1437" spans="2:19" x14ac:dyDescent="0.2">
      <c r="B1437" s="194">
        <f t="shared" si="188"/>
        <v>25</v>
      </c>
      <c r="C1437" s="4"/>
      <c r="D1437" s="4"/>
      <c r="E1437" s="4"/>
      <c r="F1437" s="25" t="s">
        <v>192</v>
      </c>
      <c r="G1437" s="7">
        <v>720</v>
      </c>
      <c r="H1437" s="7" t="s">
        <v>561</v>
      </c>
      <c r="I1437" s="23"/>
      <c r="J1437" s="23"/>
      <c r="K1437" s="86">
        <f t="shared" si="192"/>
        <v>0</v>
      </c>
      <c r="L1437" s="355"/>
      <c r="M1437" s="344">
        <f>M1438</f>
        <v>40150</v>
      </c>
      <c r="N1437" s="246"/>
      <c r="O1437" s="86">
        <f t="shared" si="193"/>
        <v>40150</v>
      </c>
      <c r="P1437" s="355"/>
      <c r="Q1437" s="344">
        <f t="shared" si="189"/>
        <v>40150</v>
      </c>
      <c r="R1437" s="23">
        <f t="shared" si="190"/>
        <v>0</v>
      </c>
      <c r="S1437" s="86">
        <f t="shared" si="191"/>
        <v>40150</v>
      </c>
    </row>
    <row r="1438" spans="2:19" ht="24" x14ac:dyDescent="0.2">
      <c r="B1438" s="194">
        <f t="shared" si="188"/>
        <v>26</v>
      </c>
      <c r="C1438" s="150"/>
      <c r="D1438" s="150"/>
      <c r="E1438" s="150"/>
      <c r="F1438" s="196"/>
      <c r="G1438" s="197">
        <v>720</v>
      </c>
      <c r="H1438" s="199" t="s">
        <v>560</v>
      </c>
      <c r="I1438" s="198"/>
      <c r="J1438" s="198"/>
      <c r="K1438" s="408">
        <f t="shared" si="192"/>
        <v>0</v>
      </c>
      <c r="L1438" s="407"/>
      <c r="M1438" s="405">
        <v>40150</v>
      </c>
      <c r="N1438" s="264"/>
      <c r="O1438" s="201">
        <f t="shared" si="193"/>
        <v>40150</v>
      </c>
      <c r="P1438" s="406"/>
      <c r="Q1438" s="405">
        <f t="shared" si="189"/>
        <v>40150</v>
      </c>
      <c r="R1438" s="200">
        <f t="shared" si="190"/>
        <v>0</v>
      </c>
      <c r="S1438" s="201">
        <f t="shared" si="191"/>
        <v>40150</v>
      </c>
    </row>
    <row r="1439" spans="2:19" ht="15" x14ac:dyDescent="0.2">
      <c r="B1439" s="193">
        <f t="shared" si="188"/>
        <v>27</v>
      </c>
      <c r="C1439" s="239">
        <v>3</v>
      </c>
      <c r="D1439" s="444" t="s">
        <v>213</v>
      </c>
      <c r="E1439" s="445"/>
      <c r="F1439" s="445"/>
      <c r="G1439" s="445"/>
      <c r="H1439" s="446"/>
      <c r="I1439" s="36">
        <f>I1490+I1470+I1452+I1444+I1440</f>
        <v>1501340</v>
      </c>
      <c r="J1439" s="36"/>
      <c r="K1439" s="84">
        <f t="shared" si="192"/>
        <v>1501340</v>
      </c>
      <c r="L1439" s="353"/>
      <c r="M1439" s="342">
        <f>M1440+M1444+M1452+M1470+M1490</f>
        <v>1363532</v>
      </c>
      <c r="N1439" s="244"/>
      <c r="O1439" s="84">
        <f t="shared" si="193"/>
        <v>1363532</v>
      </c>
      <c r="P1439" s="353"/>
      <c r="Q1439" s="342">
        <f t="shared" si="189"/>
        <v>2864872</v>
      </c>
      <c r="R1439" s="36">
        <f t="shared" si="190"/>
        <v>0</v>
      </c>
      <c r="S1439" s="84">
        <f t="shared" si="191"/>
        <v>2864872</v>
      </c>
    </row>
    <row r="1440" spans="2:19" ht="15" x14ac:dyDescent="0.25">
      <c r="B1440" s="193">
        <f t="shared" si="188"/>
        <v>28</v>
      </c>
      <c r="C1440" s="240"/>
      <c r="D1440" s="240">
        <v>1</v>
      </c>
      <c r="E1440" s="467" t="s">
        <v>212</v>
      </c>
      <c r="F1440" s="445"/>
      <c r="G1440" s="445"/>
      <c r="H1440" s="446"/>
      <c r="I1440" s="37">
        <f>I1441</f>
        <v>160950</v>
      </c>
      <c r="J1440" s="37"/>
      <c r="K1440" s="85">
        <f t="shared" si="192"/>
        <v>160950</v>
      </c>
      <c r="L1440" s="354"/>
      <c r="M1440" s="343">
        <v>0</v>
      </c>
      <c r="N1440" s="245"/>
      <c r="O1440" s="85">
        <f t="shared" si="193"/>
        <v>0</v>
      </c>
      <c r="P1440" s="354"/>
      <c r="Q1440" s="343">
        <f t="shared" si="189"/>
        <v>160950</v>
      </c>
      <c r="R1440" s="37">
        <f t="shared" si="190"/>
        <v>0</v>
      </c>
      <c r="S1440" s="85">
        <f t="shared" si="191"/>
        <v>160950</v>
      </c>
    </row>
    <row r="1441" spans="2:19" x14ac:dyDescent="0.2">
      <c r="B1441" s="193">
        <f t="shared" si="188"/>
        <v>29</v>
      </c>
      <c r="C1441" s="7"/>
      <c r="D1441" s="7"/>
      <c r="E1441" s="7"/>
      <c r="F1441" s="25" t="s">
        <v>192</v>
      </c>
      <c r="G1441" s="7">
        <v>630</v>
      </c>
      <c r="H1441" s="7" t="s">
        <v>132</v>
      </c>
      <c r="I1441" s="23">
        <f>SUM(I1442:I1443)</f>
        <v>160950</v>
      </c>
      <c r="J1441" s="23"/>
      <c r="K1441" s="86">
        <f t="shared" si="192"/>
        <v>160950</v>
      </c>
      <c r="L1441" s="355"/>
      <c r="M1441" s="344"/>
      <c r="N1441" s="246"/>
      <c r="O1441" s="86">
        <f t="shared" si="193"/>
        <v>0</v>
      </c>
      <c r="P1441" s="355"/>
      <c r="Q1441" s="344">
        <f t="shared" si="189"/>
        <v>160950</v>
      </c>
      <c r="R1441" s="23">
        <f t="shared" si="190"/>
        <v>0</v>
      </c>
      <c r="S1441" s="86">
        <f t="shared" si="191"/>
        <v>160950</v>
      </c>
    </row>
    <row r="1442" spans="2:19" x14ac:dyDescent="0.2">
      <c r="B1442" s="193">
        <f t="shared" si="188"/>
        <v>30</v>
      </c>
      <c r="C1442" s="3"/>
      <c r="D1442" s="3"/>
      <c r="E1442" s="3"/>
      <c r="F1442" s="26" t="s">
        <v>192</v>
      </c>
      <c r="G1442" s="3">
        <v>636</v>
      </c>
      <c r="H1442" s="3" t="s">
        <v>137</v>
      </c>
      <c r="I1442" s="19">
        <v>159950</v>
      </c>
      <c r="J1442" s="19"/>
      <c r="K1442" s="87">
        <f t="shared" si="192"/>
        <v>159950</v>
      </c>
      <c r="L1442" s="356"/>
      <c r="M1442" s="345"/>
      <c r="N1442" s="208"/>
      <c r="O1442" s="87">
        <f t="shared" si="193"/>
        <v>0</v>
      </c>
      <c r="P1442" s="356"/>
      <c r="Q1442" s="345">
        <f t="shared" si="189"/>
        <v>159950</v>
      </c>
      <c r="R1442" s="19">
        <f t="shared" si="190"/>
        <v>0</v>
      </c>
      <c r="S1442" s="87">
        <f t="shared" si="191"/>
        <v>159950</v>
      </c>
    </row>
    <row r="1443" spans="2:19" x14ac:dyDescent="0.2">
      <c r="B1443" s="193">
        <f t="shared" si="188"/>
        <v>31</v>
      </c>
      <c r="C1443" s="3"/>
      <c r="D1443" s="3"/>
      <c r="E1443" s="3"/>
      <c r="F1443" s="26" t="s">
        <v>192</v>
      </c>
      <c r="G1443" s="3">
        <v>637</v>
      </c>
      <c r="H1443" s="3" t="s">
        <v>133</v>
      </c>
      <c r="I1443" s="19">
        <v>1000</v>
      </c>
      <c r="J1443" s="19"/>
      <c r="K1443" s="87">
        <f t="shared" si="192"/>
        <v>1000</v>
      </c>
      <c r="L1443" s="356"/>
      <c r="M1443" s="345"/>
      <c r="N1443" s="208"/>
      <c r="O1443" s="87">
        <f t="shared" si="193"/>
        <v>0</v>
      </c>
      <c r="P1443" s="356"/>
      <c r="Q1443" s="345">
        <f t="shared" si="189"/>
        <v>1000</v>
      </c>
      <c r="R1443" s="19">
        <f t="shared" si="190"/>
        <v>0</v>
      </c>
      <c r="S1443" s="87">
        <f t="shared" si="191"/>
        <v>1000</v>
      </c>
    </row>
    <row r="1444" spans="2:19" ht="15" x14ac:dyDescent="0.25">
      <c r="B1444" s="193">
        <f t="shared" si="188"/>
        <v>32</v>
      </c>
      <c r="C1444" s="240"/>
      <c r="D1444" s="240">
        <v>2</v>
      </c>
      <c r="E1444" s="467" t="s">
        <v>214</v>
      </c>
      <c r="F1444" s="445"/>
      <c r="G1444" s="445"/>
      <c r="H1444" s="446"/>
      <c r="I1444" s="37">
        <f>I1445+I1449</f>
        <v>207350</v>
      </c>
      <c r="J1444" s="37"/>
      <c r="K1444" s="85">
        <f t="shared" si="192"/>
        <v>207350</v>
      </c>
      <c r="L1444" s="354"/>
      <c r="M1444" s="343">
        <f>M1449</f>
        <v>23850</v>
      </c>
      <c r="N1444" s="245"/>
      <c r="O1444" s="85">
        <f t="shared" si="193"/>
        <v>23850</v>
      </c>
      <c r="P1444" s="354"/>
      <c r="Q1444" s="343">
        <f t="shared" si="189"/>
        <v>231200</v>
      </c>
      <c r="R1444" s="37">
        <f t="shared" si="190"/>
        <v>0</v>
      </c>
      <c r="S1444" s="85">
        <f t="shared" si="191"/>
        <v>231200</v>
      </c>
    </row>
    <row r="1445" spans="2:19" x14ac:dyDescent="0.2">
      <c r="B1445" s="193">
        <f t="shared" si="188"/>
        <v>33</v>
      </c>
      <c r="C1445" s="7"/>
      <c r="D1445" s="7"/>
      <c r="E1445" s="7"/>
      <c r="F1445" s="25" t="s">
        <v>192</v>
      </c>
      <c r="G1445" s="7">
        <v>630</v>
      </c>
      <c r="H1445" s="7" t="s">
        <v>132</v>
      </c>
      <c r="I1445" s="23">
        <f>SUM(I1446:I1448)</f>
        <v>207350</v>
      </c>
      <c r="J1445" s="23"/>
      <c r="K1445" s="86">
        <f t="shared" si="192"/>
        <v>207350</v>
      </c>
      <c r="L1445" s="355"/>
      <c r="M1445" s="344"/>
      <c r="N1445" s="246"/>
      <c r="O1445" s="86">
        <f t="shared" si="193"/>
        <v>0</v>
      </c>
      <c r="P1445" s="355"/>
      <c r="Q1445" s="344">
        <f t="shared" si="189"/>
        <v>207350</v>
      </c>
      <c r="R1445" s="23">
        <f t="shared" si="190"/>
        <v>0</v>
      </c>
      <c r="S1445" s="86">
        <f t="shared" si="191"/>
        <v>207350</v>
      </c>
    </row>
    <row r="1446" spans="2:19" x14ac:dyDescent="0.2">
      <c r="B1446" s="193">
        <f t="shared" si="188"/>
        <v>34</v>
      </c>
      <c r="C1446" s="3"/>
      <c r="D1446" s="3"/>
      <c r="E1446" s="3"/>
      <c r="F1446" s="26" t="s">
        <v>192</v>
      </c>
      <c r="G1446" s="3">
        <v>632</v>
      </c>
      <c r="H1446" s="3" t="s">
        <v>145</v>
      </c>
      <c r="I1446" s="19">
        <f>3500+1000+1500</f>
        <v>6000</v>
      </c>
      <c r="J1446" s="19"/>
      <c r="K1446" s="87">
        <f t="shared" si="192"/>
        <v>6000</v>
      </c>
      <c r="L1446" s="356"/>
      <c r="M1446" s="345"/>
      <c r="N1446" s="208"/>
      <c r="O1446" s="87">
        <f t="shared" si="193"/>
        <v>0</v>
      </c>
      <c r="P1446" s="356"/>
      <c r="Q1446" s="345">
        <f t="shared" si="189"/>
        <v>6000</v>
      </c>
      <c r="R1446" s="19">
        <f t="shared" si="190"/>
        <v>0</v>
      </c>
      <c r="S1446" s="87">
        <f t="shared" si="191"/>
        <v>6000</v>
      </c>
    </row>
    <row r="1447" spans="2:19" x14ac:dyDescent="0.2">
      <c r="B1447" s="193">
        <f t="shared" si="188"/>
        <v>35</v>
      </c>
      <c r="C1447" s="3"/>
      <c r="D1447" s="3"/>
      <c r="E1447" s="3"/>
      <c r="F1447" s="26" t="s">
        <v>192</v>
      </c>
      <c r="G1447" s="3">
        <v>636</v>
      </c>
      <c r="H1447" s="3" t="s">
        <v>137</v>
      </c>
      <c r="I1447" s="19">
        <v>200000</v>
      </c>
      <c r="J1447" s="19"/>
      <c r="K1447" s="87">
        <f t="shared" si="192"/>
        <v>200000</v>
      </c>
      <c r="L1447" s="356"/>
      <c r="M1447" s="345"/>
      <c r="N1447" s="208"/>
      <c r="O1447" s="87">
        <f t="shared" si="193"/>
        <v>0</v>
      </c>
      <c r="P1447" s="356"/>
      <c r="Q1447" s="345">
        <f t="shared" si="189"/>
        <v>200000</v>
      </c>
      <c r="R1447" s="19">
        <f t="shared" si="190"/>
        <v>0</v>
      </c>
      <c r="S1447" s="87">
        <f t="shared" si="191"/>
        <v>200000</v>
      </c>
    </row>
    <row r="1448" spans="2:19" x14ac:dyDescent="0.2">
      <c r="B1448" s="193">
        <f t="shared" si="188"/>
        <v>36</v>
      </c>
      <c r="C1448" s="3"/>
      <c r="D1448" s="3"/>
      <c r="E1448" s="3"/>
      <c r="F1448" s="26" t="s">
        <v>192</v>
      </c>
      <c r="G1448" s="3">
        <v>637</v>
      </c>
      <c r="H1448" s="3" t="s">
        <v>133</v>
      </c>
      <c r="I1448" s="19">
        <v>1350</v>
      </c>
      <c r="J1448" s="19"/>
      <c r="K1448" s="87">
        <f t="shared" si="192"/>
        <v>1350</v>
      </c>
      <c r="L1448" s="356"/>
      <c r="M1448" s="345"/>
      <c r="N1448" s="208"/>
      <c r="O1448" s="87">
        <f t="shared" si="193"/>
        <v>0</v>
      </c>
      <c r="P1448" s="356"/>
      <c r="Q1448" s="345">
        <f t="shared" si="189"/>
        <v>1350</v>
      </c>
      <c r="R1448" s="19">
        <f t="shared" si="190"/>
        <v>0</v>
      </c>
      <c r="S1448" s="87">
        <f t="shared" si="191"/>
        <v>1350</v>
      </c>
    </row>
    <row r="1449" spans="2:19" x14ac:dyDescent="0.2">
      <c r="B1449" s="193">
        <f t="shared" si="188"/>
        <v>37</v>
      </c>
      <c r="C1449" s="7"/>
      <c r="D1449" s="7"/>
      <c r="E1449" s="7"/>
      <c r="F1449" s="25" t="s">
        <v>192</v>
      </c>
      <c r="G1449" s="7">
        <v>710</v>
      </c>
      <c r="H1449" s="7" t="s">
        <v>187</v>
      </c>
      <c r="I1449" s="23"/>
      <c r="J1449" s="23"/>
      <c r="K1449" s="86">
        <f t="shared" si="192"/>
        <v>0</v>
      </c>
      <c r="L1449" s="355"/>
      <c r="M1449" s="344">
        <f>M1450+M1451</f>
        <v>23850</v>
      </c>
      <c r="N1449" s="246"/>
      <c r="O1449" s="86">
        <f t="shared" si="193"/>
        <v>23850</v>
      </c>
      <c r="P1449" s="355"/>
      <c r="Q1449" s="344">
        <f t="shared" si="189"/>
        <v>23850</v>
      </c>
      <c r="R1449" s="23">
        <f t="shared" si="190"/>
        <v>0</v>
      </c>
      <c r="S1449" s="86">
        <f t="shared" si="191"/>
        <v>23850</v>
      </c>
    </row>
    <row r="1450" spans="2:19" x14ac:dyDescent="0.2">
      <c r="B1450" s="193">
        <f t="shared" si="188"/>
        <v>38</v>
      </c>
      <c r="C1450" s="51"/>
      <c r="D1450" s="51"/>
      <c r="E1450" s="51"/>
      <c r="F1450" s="179"/>
      <c r="G1450" s="51">
        <v>712</v>
      </c>
      <c r="H1450" s="45" t="s">
        <v>512</v>
      </c>
      <c r="I1450" s="20"/>
      <c r="J1450" s="20"/>
      <c r="K1450" s="123">
        <f t="shared" si="192"/>
        <v>0</v>
      </c>
      <c r="L1450" s="356"/>
      <c r="M1450" s="363">
        <v>19850</v>
      </c>
      <c r="N1450" s="254"/>
      <c r="O1450" s="123">
        <f t="shared" si="193"/>
        <v>19850</v>
      </c>
      <c r="P1450" s="356"/>
      <c r="Q1450" s="363">
        <f t="shared" si="189"/>
        <v>19850</v>
      </c>
      <c r="R1450" s="20">
        <f t="shared" si="190"/>
        <v>0</v>
      </c>
      <c r="S1450" s="123">
        <f t="shared" si="191"/>
        <v>19850</v>
      </c>
    </row>
    <row r="1451" spans="2:19" x14ac:dyDescent="0.2">
      <c r="B1451" s="193">
        <f t="shared" si="188"/>
        <v>39</v>
      </c>
      <c r="C1451" s="51"/>
      <c r="D1451" s="51"/>
      <c r="E1451" s="51"/>
      <c r="F1451" s="179"/>
      <c r="G1451" s="51">
        <v>716</v>
      </c>
      <c r="H1451" s="4" t="s">
        <v>455</v>
      </c>
      <c r="I1451" s="20"/>
      <c r="J1451" s="20"/>
      <c r="K1451" s="123">
        <f t="shared" si="192"/>
        <v>0</v>
      </c>
      <c r="L1451" s="356"/>
      <c r="M1451" s="363">
        <f>4000</f>
        <v>4000</v>
      </c>
      <c r="N1451" s="254"/>
      <c r="O1451" s="123">
        <f t="shared" si="193"/>
        <v>4000</v>
      </c>
      <c r="P1451" s="356"/>
      <c r="Q1451" s="363">
        <f t="shared" si="189"/>
        <v>4000</v>
      </c>
      <c r="R1451" s="20">
        <f t="shared" si="190"/>
        <v>0</v>
      </c>
      <c r="S1451" s="123">
        <f t="shared" si="191"/>
        <v>4000</v>
      </c>
    </row>
    <row r="1452" spans="2:19" ht="15" x14ac:dyDescent="0.25">
      <c r="B1452" s="193">
        <f t="shared" si="188"/>
        <v>40</v>
      </c>
      <c r="C1452" s="240"/>
      <c r="D1452" s="240">
        <v>3</v>
      </c>
      <c r="E1452" s="467" t="s">
        <v>215</v>
      </c>
      <c r="F1452" s="445"/>
      <c r="G1452" s="445"/>
      <c r="H1452" s="446"/>
      <c r="I1452" s="37">
        <f>I1453+I1455+I1460</f>
        <v>468940</v>
      </c>
      <c r="J1452" s="37"/>
      <c r="K1452" s="85">
        <f t="shared" si="192"/>
        <v>468940</v>
      </c>
      <c r="L1452" s="354"/>
      <c r="M1452" s="343">
        <f>M1455</f>
        <v>718090</v>
      </c>
      <c r="N1452" s="245"/>
      <c r="O1452" s="85">
        <f t="shared" si="193"/>
        <v>718090</v>
      </c>
      <c r="P1452" s="354"/>
      <c r="Q1452" s="343">
        <f t="shared" si="189"/>
        <v>1187030</v>
      </c>
      <c r="R1452" s="37">
        <f t="shared" si="190"/>
        <v>0</v>
      </c>
      <c r="S1452" s="85">
        <f t="shared" si="191"/>
        <v>1187030</v>
      </c>
    </row>
    <row r="1453" spans="2:19" x14ac:dyDescent="0.2">
      <c r="B1453" s="193">
        <f t="shared" si="188"/>
        <v>41</v>
      </c>
      <c r="C1453" s="7"/>
      <c r="D1453" s="7"/>
      <c r="E1453" s="7"/>
      <c r="F1453" s="25" t="s">
        <v>192</v>
      </c>
      <c r="G1453" s="7">
        <v>630</v>
      </c>
      <c r="H1453" s="7" t="s">
        <v>132</v>
      </c>
      <c r="I1453" s="23">
        <f>I1454</f>
        <v>3340</v>
      </c>
      <c r="J1453" s="23"/>
      <c r="K1453" s="86">
        <f t="shared" si="192"/>
        <v>3340</v>
      </c>
      <c r="L1453" s="355"/>
      <c r="M1453" s="344"/>
      <c r="N1453" s="246"/>
      <c r="O1453" s="86">
        <f t="shared" si="193"/>
        <v>0</v>
      </c>
      <c r="P1453" s="355"/>
      <c r="Q1453" s="344">
        <f t="shared" si="189"/>
        <v>3340</v>
      </c>
      <c r="R1453" s="23">
        <f t="shared" si="190"/>
        <v>0</v>
      </c>
      <c r="S1453" s="86">
        <f t="shared" si="191"/>
        <v>3340</v>
      </c>
    </row>
    <row r="1454" spans="2:19" x14ac:dyDescent="0.2">
      <c r="B1454" s="193">
        <f t="shared" si="188"/>
        <v>42</v>
      </c>
      <c r="C1454" s="3"/>
      <c r="D1454" s="3"/>
      <c r="E1454" s="3"/>
      <c r="F1454" s="26" t="s">
        <v>192</v>
      </c>
      <c r="G1454" s="3">
        <v>637</v>
      </c>
      <c r="H1454" s="3" t="s">
        <v>133</v>
      </c>
      <c r="I1454" s="19">
        <v>3340</v>
      </c>
      <c r="J1454" s="19"/>
      <c r="K1454" s="87">
        <f t="shared" si="192"/>
        <v>3340</v>
      </c>
      <c r="L1454" s="356"/>
      <c r="M1454" s="345"/>
      <c r="N1454" s="208"/>
      <c r="O1454" s="87">
        <f t="shared" si="193"/>
        <v>0</v>
      </c>
      <c r="P1454" s="356"/>
      <c r="Q1454" s="345">
        <f t="shared" si="189"/>
        <v>3340</v>
      </c>
      <c r="R1454" s="19">
        <f t="shared" si="190"/>
        <v>0</v>
      </c>
      <c r="S1454" s="87">
        <f t="shared" si="191"/>
        <v>3340</v>
      </c>
    </row>
    <row r="1455" spans="2:19" x14ac:dyDescent="0.2">
      <c r="B1455" s="193">
        <f t="shared" si="188"/>
        <v>43</v>
      </c>
      <c r="C1455" s="7"/>
      <c r="D1455" s="7"/>
      <c r="E1455" s="7"/>
      <c r="F1455" s="25" t="s">
        <v>192</v>
      </c>
      <c r="G1455" s="7">
        <v>710</v>
      </c>
      <c r="H1455" s="7" t="s">
        <v>187</v>
      </c>
      <c r="I1455" s="23"/>
      <c r="J1455" s="23"/>
      <c r="K1455" s="86">
        <f t="shared" si="192"/>
        <v>0</v>
      </c>
      <c r="L1455" s="355"/>
      <c r="M1455" s="344">
        <f>M1456+M1458</f>
        <v>718090</v>
      </c>
      <c r="N1455" s="246"/>
      <c r="O1455" s="86">
        <f t="shared" si="193"/>
        <v>718090</v>
      </c>
      <c r="P1455" s="355"/>
      <c r="Q1455" s="344">
        <f t="shared" si="189"/>
        <v>718090</v>
      </c>
      <c r="R1455" s="23">
        <f t="shared" si="190"/>
        <v>0</v>
      </c>
      <c r="S1455" s="86">
        <f t="shared" si="191"/>
        <v>718090</v>
      </c>
    </row>
    <row r="1456" spans="2:19" x14ac:dyDescent="0.2">
      <c r="B1456" s="193">
        <f t="shared" si="188"/>
        <v>44</v>
      </c>
      <c r="C1456" s="3"/>
      <c r="D1456" s="3"/>
      <c r="E1456" s="3"/>
      <c r="F1456" s="26" t="s">
        <v>192</v>
      </c>
      <c r="G1456" s="3">
        <v>716</v>
      </c>
      <c r="H1456" s="3" t="s">
        <v>231</v>
      </c>
      <c r="I1456" s="19"/>
      <c r="J1456" s="19"/>
      <c r="K1456" s="87">
        <f t="shared" si="192"/>
        <v>0</v>
      </c>
      <c r="L1456" s="356"/>
      <c r="M1456" s="345">
        <f>SUM(M1457:M1457)</f>
        <v>23800</v>
      </c>
      <c r="N1456" s="208"/>
      <c r="O1456" s="87">
        <f t="shared" si="193"/>
        <v>23800</v>
      </c>
      <c r="P1456" s="356"/>
      <c r="Q1456" s="345">
        <f t="shared" si="189"/>
        <v>23800</v>
      </c>
      <c r="R1456" s="19">
        <f t="shared" si="190"/>
        <v>0</v>
      </c>
      <c r="S1456" s="87">
        <f t="shared" si="191"/>
        <v>23800</v>
      </c>
    </row>
    <row r="1457" spans="2:19" x14ac:dyDescent="0.2">
      <c r="B1457" s="193">
        <f t="shared" si="188"/>
        <v>45</v>
      </c>
      <c r="C1457" s="4"/>
      <c r="D1457" s="4"/>
      <c r="E1457" s="4"/>
      <c r="F1457" s="27"/>
      <c r="G1457" s="4"/>
      <c r="H1457" s="4" t="s">
        <v>344</v>
      </c>
      <c r="I1457" s="21"/>
      <c r="J1457" s="21"/>
      <c r="K1457" s="88">
        <f t="shared" si="192"/>
        <v>0</v>
      </c>
      <c r="L1457" s="357"/>
      <c r="M1457" s="346">
        <f>25000-1200</f>
        <v>23800</v>
      </c>
      <c r="N1457" s="247"/>
      <c r="O1457" s="88">
        <f t="shared" si="193"/>
        <v>23800</v>
      </c>
      <c r="P1457" s="357"/>
      <c r="Q1457" s="346">
        <f t="shared" si="189"/>
        <v>23800</v>
      </c>
      <c r="R1457" s="21">
        <f t="shared" si="190"/>
        <v>0</v>
      </c>
      <c r="S1457" s="88">
        <f t="shared" si="191"/>
        <v>23800</v>
      </c>
    </row>
    <row r="1458" spans="2:19" x14ac:dyDescent="0.2">
      <c r="B1458" s="193">
        <f t="shared" si="188"/>
        <v>46</v>
      </c>
      <c r="C1458" s="4"/>
      <c r="D1458" s="4"/>
      <c r="E1458" s="4"/>
      <c r="F1458" s="26" t="s">
        <v>192</v>
      </c>
      <c r="G1458" s="3">
        <v>717</v>
      </c>
      <c r="H1458" s="3" t="s">
        <v>197</v>
      </c>
      <c r="I1458" s="21"/>
      <c r="J1458" s="21"/>
      <c r="K1458" s="88">
        <f t="shared" si="192"/>
        <v>0</v>
      </c>
      <c r="L1458" s="357"/>
      <c r="M1458" s="345">
        <f>SUM(M1459:M1459)</f>
        <v>694290</v>
      </c>
      <c r="N1458" s="208"/>
      <c r="O1458" s="87">
        <f t="shared" si="193"/>
        <v>694290</v>
      </c>
      <c r="P1458" s="356"/>
      <c r="Q1458" s="345">
        <f t="shared" si="189"/>
        <v>694290</v>
      </c>
      <c r="R1458" s="19">
        <f t="shared" si="190"/>
        <v>0</v>
      </c>
      <c r="S1458" s="87">
        <f t="shared" si="191"/>
        <v>694290</v>
      </c>
    </row>
    <row r="1459" spans="2:19" x14ac:dyDescent="0.2">
      <c r="B1459" s="193">
        <f t="shared" si="188"/>
        <v>47</v>
      </c>
      <c r="C1459" s="4"/>
      <c r="D1459" s="4"/>
      <c r="E1459" s="4"/>
      <c r="F1459" s="27"/>
      <c r="G1459" s="4"/>
      <c r="H1459" s="4" t="s">
        <v>587</v>
      </c>
      <c r="I1459" s="21"/>
      <c r="J1459" s="21"/>
      <c r="K1459" s="88">
        <f t="shared" si="192"/>
        <v>0</v>
      </c>
      <c r="L1459" s="357"/>
      <c r="M1459" s="346">
        <f>666790+27500</f>
        <v>694290</v>
      </c>
      <c r="N1459" s="247"/>
      <c r="O1459" s="88">
        <f t="shared" si="193"/>
        <v>694290</v>
      </c>
      <c r="P1459" s="357"/>
      <c r="Q1459" s="346">
        <f t="shared" si="189"/>
        <v>694290</v>
      </c>
      <c r="R1459" s="21">
        <f t="shared" si="190"/>
        <v>0</v>
      </c>
      <c r="S1459" s="88">
        <f t="shared" si="191"/>
        <v>694290</v>
      </c>
    </row>
    <row r="1460" spans="2:19" ht="15" x14ac:dyDescent="0.25">
      <c r="B1460" s="193">
        <f t="shared" si="188"/>
        <v>48</v>
      </c>
      <c r="C1460" s="10"/>
      <c r="D1460" s="10"/>
      <c r="E1460" s="10">
        <v>2</v>
      </c>
      <c r="F1460" s="28"/>
      <c r="G1460" s="10"/>
      <c r="H1460" s="10" t="s">
        <v>18</v>
      </c>
      <c r="I1460" s="38">
        <f>I1461+I1462+I1463+I1469</f>
        <v>465600</v>
      </c>
      <c r="J1460" s="38"/>
      <c r="K1460" s="94">
        <f t="shared" si="192"/>
        <v>465600</v>
      </c>
      <c r="L1460" s="365"/>
      <c r="M1460" s="362"/>
      <c r="N1460" s="253"/>
      <c r="O1460" s="94">
        <f t="shared" si="193"/>
        <v>0</v>
      </c>
      <c r="P1460" s="365"/>
      <c r="Q1460" s="362">
        <f t="shared" si="189"/>
        <v>465600</v>
      </c>
      <c r="R1460" s="38">
        <f t="shared" si="190"/>
        <v>0</v>
      </c>
      <c r="S1460" s="94">
        <f t="shared" si="191"/>
        <v>465600</v>
      </c>
    </row>
    <row r="1461" spans="2:19" x14ac:dyDescent="0.2">
      <c r="B1461" s="193">
        <f t="shared" si="188"/>
        <v>49</v>
      </c>
      <c r="C1461" s="7"/>
      <c r="D1461" s="7"/>
      <c r="E1461" s="7"/>
      <c r="F1461" s="25" t="s">
        <v>192</v>
      </c>
      <c r="G1461" s="7">
        <v>610</v>
      </c>
      <c r="H1461" s="7" t="s">
        <v>142</v>
      </c>
      <c r="I1461" s="23">
        <f>123010-18010</f>
        <v>105000</v>
      </c>
      <c r="J1461" s="23"/>
      <c r="K1461" s="86">
        <f t="shared" si="192"/>
        <v>105000</v>
      </c>
      <c r="L1461" s="355"/>
      <c r="M1461" s="344"/>
      <c r="N1461" s="246"/>
      <c r="O1461" s="86">
        <f t="shared" si="193"/>
        <v>0</v>
      </c>
      <c r="P1461" s="355"/>
      <c r="Q1461" s="344">
        <f t="shared" si="189"/>
        <v>105000</v>
      </c>
      <c r="R1461" s="23">
        <f t="shared" si="190"/>
        <v>0</v>
      </c>
      <c r="S1461" s="86">
        <f t="shared" si="191"/>
        <v>105000</v>
      </c>
    </row>
    <row r="1462" spans="2:19" x14ac:dyDescent="0.2">
      <c r="B1462" s="193">
        <f t="shared" si="188"/>
        <v>50</v>
      </c>
      <c r="C1462" s="7"/>
      <c r="D1462" s="7"/>
      <c r="E1462" s="7"/>
      <c r="F1462" s="25" t="s">
        <v>192</v>
      </c>
      <c r="G1462" s="7">
        <v>620</v>
      </c>
      <c r="H1462" s="7" t="s">
        <v>135</v>
      </c>
      <c r="I1462" s="23">
        <f>43900-3900</f>
        <v>40000</v>
      </c>
      <c r="J1462" s="23"/>
      <c r="K1462" s="86">
        <f t="shared" si="192"/>
        <v>40000</v>
      </c>
      <c r="L1462" s="355"/>
      <c r="M1462" s="344"/>
      <c r="N1462" s="246"/>
      <c r="O1462" s="86">
        <f t="shared" si="193"/>
        <v>0</v>
      </c>
      <c r="P1462" s="355"/>
      <c r="Q1462" s="344">
        <f t="shared" si="189"/>
        <v>40000</v>
      </c>
      <c r="R1462" s="23">
        <f t="shared" si="190"/>
        <v>0</v>
      </c>
      <c r="S1462" s="86">
        <f t="shared" si="191"/>
        <v>40000</v>
      </c>
    </row>
    <row r="1463" spans="2:19" x14ac:dyDescent="0.2">
      <c r="B1463" s="193">
        <f t="shared" si="188"/>
        <v>51</v>
      </c>
      <c r="C1463" s="7"/>
      <c r="D1463" s="7"/>
      <c r="E1463" s="7"/>
      <c r="F1463" s="25" t="s">
        <v>192</v>
      </c>
      <c r="G1463" s="7">
        <v>630</v>
      </c>
      <c r="H1463" s="7" t="s">
        <v>132</v>
      </c>
      <c r="I1463" s="23">
        <f>SUM(I1464:I1468)</f>
        <v>312000</v>
      </c>
      <c r="J1463" s="23"/>
      <c r="K1463" s="86">
        <f t="shared" si="192"/>
        <v>312000</v>
      </c>
      <c r="L1463" s="355"/>
      <c r="M1463" s="344"/>
      <c r="N1463" s="246"/>
      <c r="O1463" s="86">
        <f t="shared" si="193"/>
        <v>0</v>
      </c>
      <c r="P1463" s="355"/>
      <c r="Q1463" s="344">
        <f t="shared" si="189"/>
        <v>312000</v>
      </c>
      <c r="R1463" s="23">
        <f t="shared" si="190"/>
        <v>0</v>
      </c>
      <c r="S1463" s="86">
        <f t="shared" si="191"/>
        <v>312000</v>
      </c>
    </row>
    <row r="1464" spans="2:19" x14ac:dyDescent="0.2">
      <c r="B1464" s="193">
        <f t="shared" si="188"/>
        <v>52</v>
      </c>
      <c r="C1464" s="3"/>
      <c r="D1464" s="3"/>
      <c r="E1464" s="3"/>
      <c r="F1464" s="26" t="s">
        <v>192</v>
      </c>
      <c r="G1464" s="3">
        <v>632</v>
      </c>
      <c r="H1464" s="3" t="s">
        <v>145</v>
      </c>
      <c r="I1464" s="19">
        <v>213000</v>
      </c>
      <c r="J1464" s="19"/>
      <c r="K1464" s="87">
        <f t="shared" si="192"/>
        <v>213000</v>
      </c>
      <c r="L1464" s="356"/>
      <c r="M1464" s="345"/>
      <c r="N1464" s="208"/>
      <c r="O1464" s="87">
        <f t="shared" si="193"/>
        <v>0</v>
      </c>
      <c r="P1464" s="356"/>
      <c r="Q1464" s="345">
        <f t="shared" si="189"/>
        <v>213000</v>
      </c>
      <c r="R1464" s="19">
        <f t="shared" si="190"/>
        <v>0</v>
      </c>
      <c r="S1464" s="87">
        <f t="shared" si="191"/>
        <v>213000</v>
      </c>
    </row>
    <row r="1465" spans="2:19" x14ac:dyDescent="0.2">
      <c r="B1465" s="193">
        <f t="shared" si="188"/>
        <v>53</v>
      </c>
      <c r="C1465" s="3"/>
      <c r="D1465" s="3"/>
      <c r="E1465" s="3"/>
      <c r="F1465" s="26" t="s">
        <v>192</v>
      </c>
      <c r="G1465" s="3">
        <v>633</v>
      </c>
      <c r="H1465" s="3" t="s">
        <v>136</v>
      </c>
      <c r="I1465" s="19">
        <f>15700+4500</f>
        <v>20200</v>
      </c>
      <c r="J1465" s="19"/>
      <c r="K1465" s="87">
        <f t="shared" si="192"/>
        <v>20200</v>
      </c>
      <c r="L1465" s="356"/>
      <c r="M1465" s="345"/>
      <c r="N1465" s="208"/>
      <c r="O1465" s="87">
        <f t="shared" si="193"/>
        <v>0</v>
      </c>
      <c r="P1465" s="356"/>
      <c r="Q1465" s="345">
        <f t="shared" si="189"/>
        <v>20200</v>
      </c>
      <c r="R1465" s="19">
        <f t="shared" si="190"/>
        <v>0</v>
      </c>
      <c r="S1465" s="87">
        <f t="shared" si="191"/>
        <v>20200</v>
      </c>
    </row>
    <row r="1466" spans="2:19" x14ac:dyDescent="0.2">
      <c r="B1466" s="193">
        <f t="shared" si="188"/>
        <v>54</v>
      </c>
      <c r="C1466" s="3"/>
      <c r="D1466" s="3"/>
      <c r="E1466" s="3"/>
      <c r="F1466" s="26" t="s">
        <v>192</v>
      </c>
      <c r="G1466" s="3">
        <v>635</v>
      </c>
      <c r="H1466" s="3" t="s">
        <v>144</v>
      </c>
      <c r="I1466" s="19">
        <f>11000+4600+7000+5100</f>
        <v>27700</v>
      </c>
      <c r="J1466" s="19"/>
      <c r="K1466" s="87">
        <f t="shared" si="192"/>
        <v>27700</v>
      </c>
      <c r="L1466" s="356"/>
      <c r="M1466" s="345"/>
      <c r="N1466" s="208"/>
      <c r="O1466" s="87">
        <f t="shared" si="193"/>
        <v>0</v>
      </c>
      <c r="P1466" s="356"/>
      <c r="Q1466" s="345">
        <f t="shared" si="189"/>
        <v>27700</v>
      </c>
      <c r="R1466" s="19">
        <f t="shared" si="190"/>
        <v>0</v>
      </c>
      <c r="S1466" s="87">
        <f t="shared" si="191"/>
        <v>27700</v>
      </c>
    </row>
    <row r="1467" spans="2:19" x14ac:dyDescent="0.2">
      <c r="B1467" s="193">
        <f t="shared" si="188"/>
        <v>55</v>
      </c>
      <c r="C1467" s="3"/>
      <c r="D1467" s="3"/>
      <c r="E1467" s="3"/>
      <c r="F1467" s="26" t="s">
        <v>192</v>
      </c>
      <c r="G1467" s="3">
        <v>636</v>
      </c>
      <c r="H1467" s="3" t="s">
        <v>137</v>
      </c>
      <c r="I1467" s="19">
        <f>200+1000</f>
        <v>1200</v>
      </c>
      <c r="J1467" s="19"/>
      <c r="K1467" s="87">
        <f t="shared" si="192"/>
        <v>1200</v>
      </c>
      <c r="L1467" s="356"/>
      <c r="M1467" s="345"/>
      <c r="N1467" s="208"/>
      <c r="O1467" s="87">
        <f t="shared" si="193"/>
        <v>0</v>
      </c>
      <c r="P1467" s="356"/>
      <c r="Q1467" s="345">
        <f t="shared" si="189"/>
        <v>1200</v>
      </c>
      <c r="R1467" s="19">
        <f t="shared" si="190"/>
        <v>0</v>
      </c>
      <c r="S1467" s="87">
        <f t="shared" si="191"/>
        <v>1200</v>
      </c>
    </row>
    <row r="1468" spans="2:19" x14ac:dyDescent="0.2">
      <c r="B1468" s="193">
        <f t="shared" si="188"/>
        <v>56</v>
      </c>
      <c r="C1468" s="3"/>
      <c r="D1468" s="3"/>
      <c r="E1468" s="3"/>
      <c r="F1468" s="26" t="s">
        <v>192</v>
      </c>
      <c r="G1468" s="3">
        <v>637</v>
      </c>
      <c r="H1468" s="3" t="s">
        <v>133</v>
      </c>
      <c r="I1468" s="19">
        <f>42800+1300+5800</f>
        <v>49900</v>
      </c>
      <c r="J1468" s="19"/>
      <c r="K1468" s="87">
        <f t="shared" si="192"/>
        <v>49900</v>
      </c>
      <c r="L1468" s="356"/>
      <c r="M1468" s="345"/>
      <c r="N1468" s="208"/>
      <c r="O1468" s="87">
        <f t="shared" si="193"/>
        <v>0</v>
      </c>
      <c r="P1468" s="356"/>
      <c r="Q1468" s="345">
        <f t="shared" si="189"/>
        <v>49900</v>
      </c>
      <c r="R1468" s="19">
        <f t="shared" si="190"/>
        <v>0</v>
      </c>
      <c r="S1468" s="87">
        <f t="shared" si="191"/>
        <v>49900</v>
      </c>
    </row>
    <row r="1469" spans="2:19" x14ac:dyDescent="0.2">
      <c r="B1469" s="193">
        <f t="shared" si="188"/>
        <v>57</v>
      </c>
      <c r="C1469" s="7"/>
      <c r="D1469" s="7"/>
      <c r="E1469" s="7"/>
      <c r="F1469" s="25" t="s">
        <v>192</v>
      </c>
      <c r="G1469" s="7">
        <v>640</v>
      </c>
      <c r="H1469" s="7" t="s">
        <v>140</v>
      </c>
      <c r="I1469" s="23">
        <f>1550+7050</f>
        <v>8600</v>
      </c>
      <c r="J1469" s="23"/>
      <c r="K1469" s="86">
        <f t="shared" si="192"/>
        <v>8600</v>
      </c>
      <c r="L1469" s="355"/>
      <c r="M1469" s="344"/>
      <c r="N1469" s="246"/>
      <c r="O1469" s="86">
        <f t="shared" si="193"/>
        <v>0</v>
      </c>
      <c r="P1469" s="355"/>
      <c r="Q1469" s="344">
        <f t="shared" si="189"/>
        <v>8600</v>
      </c>
      <c r="R1469" s="23">
        <f t="shared" si="190"/>
        <v>0</v>
      </c>
      <c r="S1469" s="86">
        <f t="shared" si="191"/>
        <v>8600</v>
      </c>
    </row>
    <row r="1470" spans="2:19" ht="15" x14ac:dyDescent="0.25">
      <c r="B1470" s="193">
        <f t="shared" si="188"/>
        <v>58</v>
      </c>
      <c r="C1470" s="240"/>
      <c r="D1470" s="240">
        <v>4</v>
      </c>
      <c r="E1470" s="467" t="s">
        <v>216</v>
      </c>
      <c r="F1470" s="445"/>
      <c r="G1470" s="445"/>
      <c r="H1470" s="446"/>
      <c r="I1470" s="37">
        <f>I1471+I1477</f>
        <v>617500</v>
      </c>
      <c r="J1470" s="37"/>
      <c r="K1470" s="85">
        <f t="shared" si="192"/>
        <v>617500</v>
      </c>
      <c r="L1470" s="354"/>
      <c r="M1470" s="343">
        <f>M1471+M1477</f>
        <v>621592</v>
      </c>
      <c r="N1470" s="245"/>
      <c r="O1470" s="85">
        <f t="shared" si="193"/>
        <v>621592</v>
      </c>
      <c r="P1470" s="354"/>
      <c r="Q1470" s="343">
        <f t="shared" si="189"/>
        <v>1239092</v>
      </c>
      <c r="R1470" s="37">
        <f t="shared" si="190"/>
        <v>0</v>
      </c>
      <c r="S1470" s="85">
        <f t="shared" si="191"/>
        <v>1239092</v>
      </c>
    </row>
    <row r="1471" spans="2:19" x14ac:dyDescent="0.2">
      <c r="B1471" s="193">
        <f t="shared" si="188"/>
        <v>59</v>
      </c>
      <c r="C1471" s="7"/>
      <c r="D1471" s="7"/>
      <c r="E1471" s="7"/>
      <c r="F1471" s="25" t="s">
        <v>192</v>
      </c>
      <c r="G1471" s="7">
        <v>710</v>
      </c>
      <c r="H1471" s="7" t="s">
        <v>187</v>
      </c>
      <c r="I1471" s="23"/>
      <c r="J1471" s="23"/>
      <c r="K1471" s="86">
        <f t="shared" si="192"/>
        <v>0</v>
      </c>
      <c r="L1471" s="355"/>
      <c r="M1471" s="344">
        <f>M1472+M1474</f>
        <v>606792</v>
      </c>
      <c r="N1471" s="246"/>
      <c r="O1471" s="86">
        <f t="shared" si="193"/>
        <v>606792</v>
      </c>
      <c r="P1471" s="355"/>
      <c r="Q1471" s="344">
        <f t="shared" si="189"/>
        <v>606792</v>
      </c>
      <c r="R1471" s="23">
        <f t="shared" si="190"/>
        <v>0</v>
      </c>
      <c r="S1471" s="86">
        <f t="shared" si="191"/>
        <v>606792</v>
      </c>
    </row>
    <row r="1472" spans="2:19" x14ac:dyDescent="0.2">
      <c r="B1472" s="193">
        <f t="shared" si="188"/>
        <v>60</v>
      </c>
      <c r="C1472" s="7"/>
      <c r="D1472" s="7"/>
      <c r="E1472" s="7"/>
      <c r="F1472" s="26" t="s">
        <v>192</v>
      </c>
      <c r="G1472" s="3">
        <v>716</v>
      </c>
      <c r="H1472" s="3" t="s">
        <v>231</v>
      </c>
      <c r="I1472" s="19"/>
      <c r="J1472" s="19"/>
      <c r="K1472" s="87">
        <f t="shared" si="192"/>
        <v>0</v>
      </c>
      <c r="L1472" s="356"/>
      <c r="M1472" s="345">
        <f>M1473</f>
        <v>17000</v>
      </c>
      <c r="N1472" s="208"/>
      <c r="O1472" s="87">
        <f t="shared" si="193"/>
        <v>17000</v>
      </c>
      <c r="P1472" s="356"/>
      <c r="Q1472" s="345">
        <f t="shared" si="189"/>
        <v>17000</v>
      </c>
      <c r="R1472" s="19">
        <f t="shared" si="190"/>
        <v>0</v>
      </c>
      <c r="S1472" s="87">
        <f t="shared" si="191"/>
        <v>17000</v>
      </c>
    </row>
    <row r="1473" spans="2:19" x14ac:dyDescent="0.2">
      <c r="B1473" s="193">
        <f t="shared" si="188"/>
        <v>61</v>
      </c>
      <c r="C1473" s="7"/>
      <c r="D1473" s="7"/>
      <c r="E1473" s="7"/>
      <c r="F1473" s="27"/>
      <c r="G1473" s="4"/>
      <c r="H1473" s="4" t="s">
        <v>519</v>
      </c>
      <c r="I1473" s="21"/>
      <c r="J1473" s="21"/>
      <c r="K1473" s="88">
        <f t="shared" si="192"/>
        <v>0</v>
      </c>
      <c r="L1473" s="357"/>
      <c r="M1473" s="388">
        <v>17000</v>
      </c>
      <c r="N1473" s="259"/>
      <c r="O1473" s="389">
        <f t="shared" si="193"/>
        <v>17000</v>
      </c>
      <c r="P1473" s="357"/>
      <c r="Q1473" s="346">
        <f t="shared" si="189"/>
        <v>17000</v>
      </c>
      <c r="R1473" s="21">
        <f t="shared" si="190"/>
        <v>0</v>
      </c>
      <c r="S1473" s="88">
        <f t="shared" si="191"/>
        <v>17000</v>
      </c>
    </row>
    <row r="1474" spans="2:19" x14ac:dyDescent="0.2">
      <c r="B1474" s="193">
        <f t="shared" ref="B1474:B1533" si="194">B1473+1</f>
        <v>62</v>
      </c>
      <c r="C1474" s="3"/>
      <c r="D1474" s="3"/>
      <c r="E1474" s="3"/>
      <c r="F1474" s="26" t="s">
        <v>192</v>
      </c>
      <c r="G1474" s="3">
        <v>717</v>
      </c>
      <c r="H1474" s="3" t="s">
        <v>197</v>
      </c>
      <c r="I1474" s="19"/>
      <c r="J1474" s="19"/>
      <c r="K1474" s="87">
        <f t="shared" si="192"/>
        <v>0</v>
      </c>
      <c r="L1474" s="356"/>
      <c r="M1474" s="345">
        <f>SUM(M1475:M1476)</f>
        <v>589792</v>
      </c>
      <c r="N1474" s="208"/>
      <c r="O1474" s="87">
        <f t="shared" si="193"/>
        <v>589792</v>
      </c>
      <c r="P1474" s="356"/>
      <c r="Q1474" s="345">
        <f t="shared" ref="Q1474:Q1529" si="195">I1474+M1474</f>
        <v>589792</v>
      </c>
      <c r="R1474" s="19">
        <f t="shared" ref="R1474:R1534" si="196">J1474+N1474</f>
        <v>0</v>
      </c>
      <c r="S1474" s="87">
        <f t="shared" ref="S1474:S1534" si="197">K1474+O1474</f>
        <v>589792</v>
      </c>
    </row>
    <row r="1475" spans="2:19" x14ac:dyDescent="0.2">
      <c r="B1475" s="193">
        <f t="shared" si="194"/>
        <v>63</v>
      </c>
      <c r="C1475" s="4"/>
      <c r="D1475" s="4"/>
      <c r="E1475" s="4"/>
      <c r="F1475" s="27"/>
      <c r="G1475" s="4"/>
      <c r="H1475" s="4" t="s">
        <v>4</v>
      </c>
      <c r="I1475" s="21"/>
      <c r="J1475" s="21"/>
      <c r="K1475" s="88">
        <f t="shared" ref="K1475:K1534" si="198">J1475+I1475</f>
        <v>0</v>
      </c>
      <c r="L1475" s="357"/>
      <c r="M1475" s="388">
        <f>540255+4537</f>
        <v>544792</v>
      </c>
      <c r="N1475" s="259"/>
      <c r="O1475" s="389">
        <f t="shared" ref="O1475:O1534" si="199">N1475+M1475</f>
        <v>544792</v>
      </c>
      <c r="P1475" s="357"/>
      <c r="Q1475" s="346">
        <f t="shared" si="195"/>
        <v>544792</v>
      </c>
      <c r="R1475" s="21">
        <f t="shared" si="196"/>
        <v>0</v>
      </c>
      <c r="S1475" s="88">
        <f t="shared" si="197"/>
        <v>544792</v>
      </c>
    </row>
    <row r="1476" spans="2:19" x14ac:dyDescent="0.2">
      <c r="B1476" s="193">
        <f t="shared" si="194"/>
        <v>64</v>
      </c>
      <c r="C1476" s="4"/>
      <c r="D1476" s="4"/>
      <c r="E1476" s="4"/>
      <c r="F1476" s="27"/>
      <c r="G1476" s="4"/>
      <c r="H1476" s="4" t="s">
        <v>433</v>
      </c>
      <c r="I1476" s="21"/>
      <c r="J1476" s="21"/>
      <c r="K1476" s="88">
        <f t="shared" si="198"/>
        <v>0</v>
      </c>
      <c r="L1476" s="357"/>
      <c r="M1476" s="388">
        <f>100000-50000-5000</f>
        <v>45000</v>
      </c>
      <c r="N1476" s="259"/>
      <c r="O1476" s="389">
        <f t="shared" si="199"/>
        <v>45000</v>
      </c>
      <c r="P1476" s="357"/>
      <c r="Q1476" s="346">
        <f t="shared" si="195"/>
        <v>45000</v>
      </c>
      <c r="R1476" s="21">
        <f t="shared" si="196"/>
        <v>0</v>
      </c>
      <c r="S1476" s="88">
        <f t="shared" si="197"/>
        <v>45000</v>
      </c>
    </row>
    <row r="1477" spans="2:19" ht="15" x14ac:dyDescent="0.25">
      <c r="B1477" s="193">
        <f t="shared" si="194"/>
        <v>65</v>
      </c>
      <c r="C1477" s="10"/>
      <c r="D1477" s="10"/>
      <c r="E1477" s="10">
        <v>2</v>
      </c>
      <c r="F1477" s="28"/>
      <c r="G1477" s="10"/>
      <c r="H1477" s="10" t="s">
        <v>408</v>
      </c>
      <c r="I1477" s="38">
        <f>I1478+I1479+I1480+I1485+I1486</f>
        <v>617500</v>
      </c>
      <c r="J1477" s="38"/>
      <c r="K1477" s="94">
        <f t="shared" si="198"/>
        <v>617500</v>
      </c>
      <c r="L1477" s="365"/>
      <c r="M1477" s="362">
        <f>M1486</f>
        <v>14800</v>
      </c>
      <c r="N1477" s="253"/>
      <c r="O1477" s="94">
        <f t="shared" si="199"/>
        <v>14800</v>
      </c>
      <c r="P1477" s="365"/>
      <c r="Q1477" s="362">
        <f t="shared" si="195"/>
        <v>632300</v>
      </c>
      <c r="R1477" s="38">
        <f t="shared" si="196"/>
        <v>0</v>
      </c>
      <c r="S1477" s="94">
        <f t="shared" si="197"/>
        <v>632300</v>
      </c>
    </row>
    <row r="1478" spans="2:19" x14ac:dyDescent="0.2">
      <c r="B1478" s="193">
        <f t="shared" si="194"/>
        <v>66</v>
      </c>
      <c r="C1478" s="7"/>
      <c r="D1478" s="7"/>
      <c r="E1478" s="7"/>
      <c r="F1478" s="25" t="s">
        <v>192</v>
      </c>
      <c r="G1478" s="7">
        <v>610</v>
      </c>
      <c r="H1478" s="7" t="s">
        <v>142</v>
      </c>
      <c r="I1478" s="23">
        <v>142300</v>
      </c>
      <c r="J1478" s="23"/>
      <c r="K1478" s="86">
        <f t="shared" si="198"/>
        <v>142300</v>
      </c>
      <c r="L1478" s="355"/>
      <c r="M1478" s="344"/>
      <c r="N1478" s="246"/>
      <c r="O1478" s="86">
        <f t="shared" si="199"/>
        <v>0</v>
      </c>
      <c r="P1478" s="355"/>
      <c r="Q1478" s="344">
        <f t="shared" si="195"/>
        <v>142300</v>
      </c>
      <c r="R1478" s="23">
        <f t="shared" si="196"/>
        <v>0</v>
      </c>
      <c r="S1478" s="86">
        <f t="shared" si="197"/>
        <v>142300</v>
      </c>
    </row>
    <row r="1479" spans="2:19" x14ac:dyDescent="0.2">
      <c r="B1479" s="193">
        <f t="shared" si="194"/>
        <v>67</v>
      </c>
      <c r="C1479" s="7"/>
      <c r="D1479" s="7"/>
      <c r="E1479" s="7"/>
      <c r="F1479" s="25" t="s">
        <v>192</v>
      </c>
      <c r="G1479" s="7">
        <v>620</v>
      </c>
      <c r="H1479" s="7" t="s">
        <v>135</v>
      </c>
      <c r="I1479" s="23">
        <v>68690</v>
      </c>
      <c r="J1479" s="23"/>
      <c r="K1479" s="86">
        <f t="shared" si="198"/>
        <v>68690</v>
      </c>
      <c r="L1479" s="355"/>
      <c r="M1479" s="344"/>
      <c r="N1479" s="246"/>
      <c r="O1479" s="86">
        <f t="shared" si="199"/>
        <v>0</v>
      </c>
      <c r="P1479" s="355"/>
      <c r="Q1479" s="344">
        <f t="shared" si="195"/>
        <v>68690</v>
      </c>
      <c r="R1479" s="23">
        <f t="shared" si="196"/>
        <v>0</v>
      </c>
      <c r="S1479" s="86">
        <f t="shared" si="197"/>
        <v>68690</v>
      </c>
    </row>
    <row r="1480" spans="2:19" x14ac:dyDescent="0.2">
      <c r="B1480" s="193">
        <f t="shared" si="194"/>
        <v>68</v>
      </c>
      <c r="C1480" s="7"/>
      <c r="D1480" s="7"/>
      <c r="E1480" s="7"/>
      <c r="F1480" s="25" t="s">
        <v>192</v>
      </c>
      <c r="G1480" s="7">
        <v>630</v>
      </c>
      <c r="H1480" s="7" t="s">
        <v>132</v>
      </c>
      <c r="I1480" s="23">
        <f>SUM(I1481:I1484)</f>
        <v>406160</v>
      </c>
      <c r="J1480" s="23"/>
      <c r="K1480" s="86">
        <f t="shared" si="198"/>
        <v>406160</v>
      </c>
      <c r="L1480" s="355"/>
      <c r="M1480" s="344"/>
      <c r="N1480" s="246"/>
      <c r="O1480" s="86">
        <f t="shared" si="199"/>
        <v>0</v>
      </c>
      <c r="P1480" s="355"/>
      <c r="Q1480" s="344">
        <f t="shared" si="195"/>
        <v>406160</v>
      </c>
      <c r="R1480" s="23">
        <f t="shared" si="196"/>
        <v>0</v>
      </c>
      <c r="S1480" s="86">
        <f t="shared" si="197"/>
        <v>406160</v>
      </c>
    </row>
    <row r="1481" spans="2:19" x14ac:dyDescent="0.2">
      <c r="B1481" s="193">
        <f t="shared" si="194"/>
        <v>69</v>
      </c>
      <c r="C1481" s="3"/>
      <c r="D1481" s="3"/>
      <c r="E1481" s="3"/>
      <c r="F1481" s="26" t="s">
        <v>192</v>
      </c>
      <c r="G1481" s="3">
        <v>632</v>
      </c>
      <c r="H1481" s="3" t="s">
        <v>145</v>
      </c>
      <c r="I1481" s="19">
        <v>243000</v>
      </c>
      <c r="J1481" s="19"/>
      <c r="K1481" s="87">
        <f t="shared" si="198"/>
        <v>243000</v>
      </c>
      <c r="L1481" s="356"/>
      <c r="M1481" s="345"/>
      <c r="N1481" s="208"/>
      <c r="O1481" s="87">
        <f t="shared" si="199"/>
        <v>0</v>
      </c>
      <c r="P1481" s="356"/>
      <c r="Q1481" s="345">
        <f t="shared" si="195"/>
        <v>243000</v>
      </c>
      <c r="R1481" s="19">
        <f t="shared" si="196"/>
        <v>0</v>
      </c>
      <c r="S1481" s="87">
        <f t="shared" si="197"/>
        <v>243000</v>
      </c>
    </row>
    <row r="1482" spans="2:19" x14ac:dyDescent="0.2">
      <c r="B1482" s="193">
        <f t="shared" si="194"/>
        <v>70</v>
      </c>
      <c r="C1482" s="3"/>
      <c r="D1482" s="3"/>
      <c r="E1482" s="3"/>
      <c r="F1482" s="26" t="s">
        <v>192</v>
      </c>
      <c r="G1482" s="3">
        <v>633</v>
      </c>
      <c r="H1482" s="3" t="s">
        <v>136</v>
      </c>
      <c r="I1482" s="19">
        <v>54750</v>
      </c>
      <c r="J1482" s="19"/>
      <c r="K1482" s="87">
        <f t="shared" si="198"/>
        <v>54750</v>
      </c>
      <c r="L1482" s="356"/>
      <c r="M1482" s="345"/>
      <c r="N1482" s="208"/>
      <c r="O1482" s="87">
        <f t="shared" si="199"/>
        <v>0</v>
      </c>
      <c r="P1482" s="356"/>
      <c r="Q1482" s="345">
        <f t="shared" si="195"/>
        <v>54750</v>
      </c>
      <c r="R1482" s="19">
        <f t="shared" si="196"/>
        <v>0</v>
      </c>
      <c r="S1482" s="87">
        <f t="shared" si="197"/>
        <v>54750</v>
      </c>
    </row>
    <row r="1483" spans="2:19" x14ac:dyDescent="0.2">
      <c r="B1483" s="193">
        <f t="shared" si="194"/>
        <v>71</v>
      </c>
      <c r="C1483" s="3"/>
      <c r="D1483" s="3"/>
      <c r="E1483" s="3"/>
      <c r="F1483" s="26" t="s">
        <v>192</v>
      </c>
      <c r="G1483" s="3">
        <v>635</v>
      </c>
      <c r="H1483" s="3" t="s">
        <v>144</v>
      </c>
      <c r="I1483" s="19">
        <f>28000+5100</f>
        <v>33100</v>
      </c>
      <c r="J1483" s="19"/>
      <c r="K1483" s="87">
        <f t="shared" si="198"/>
        <v>33100</v>
      </c>
      <c r="L1483" s="356"/>
      <c r="M1483" s="345"/>
      <c r="N1483" s="208"/>
      <c r="O1483" s="87">
        <f t="shared" si="199"/>
        <v>0</v>
      </c>
      <c r="P1483" s="356"/>
      <c r="Q1483" s="345">
        <f t="shared" si="195"/>
        <v>33100</v>
      </c>
      <c r="R1483" s="19">
        <f t="shared" si="196"/>
        <v>0</v>
      </c>
      <c r="S1483" s="87">
        <f t="shared" si="197"/>
        <v>33100</v>
      </c>
    </row>
    <row r="1484" spans="2:19" x14ac:dyDescent="0.2">
      <c r="B1484" s="193">
        <f t="shared" si="194"/>
        <v>72</v>
      </c>
      <c r="C1484" s="3"/>
      <c r="D1484" s="3"/>
      <c r="E1484" s="3"/>
      <c r="F1484" s="26" t="s">
        <v>192</v>
      </c>
      <c r="G1484" s="3">
        <v>637</v>
      </c>
      <c r="H1484" s="3" t="s">
        <v>133</v>
      </c>
      <c r="I1484" s="19">
        <f>82910-7600</f>
        <v>75310</v>
      </c>
      <c r="J1484" s="19"/>
      <c r="K1484" s="87">
        <f t="shared" si="198"/>
        <v>75310</v>
      </c>
      <c r="L1484" s="356"/>
      <c r="M1484" s="345"/>
      <c r="N1484" s="208"/>
      <c r="O1484" s="87">
        <f t="shared" si="199"/>
        <v>0</v>
      </c>
      <c r="P1484" s="356"/>
      <c r="Q1484" s="345">
        <f t="shared" si="195"/>
        <v>75310</v>
      </c>
      <c r="R1484" s="19">
        <f t="shared" si="196"/>
        <v>0</v>
      </c>
      <c r="S1484" s="87">
        <f t="shared" si="197"/>
        <v>75310</v>
      </c>
    </row>
    <row r="1485" spans="2:19" x14ac:dyDescent="0.2">
      <c r="B1485" s="193">
        <f t="shared" si="194"/>
        <v>73</v>
      </c>
      <c r="C1485" s="7"/>
      <c r="D1485" s="7"/>
      <c r="E1485" s="7"/>
      <c r="F1485" s="25" t="s">
        <v>192</v>
      </c>
      <c r="G1485" s="7">
        <v>640</v>
      </c>
      <c r="H1485" s="7" t="s">
        <v>140</v>
      </c>
      <c r="I1485" s="23">
        <v>350</v>
      </c>
      <c r="J1485" s="23"/>
      <c r="K1485" s="86">
        <f t="shared" si="198"/>
        <v>350</v>
      </c>
      <c r="L1485" s="355"/>
      <c r="M1485" s="344"/>
      <c r="N1485" s="246"/>
      <c r="O1485" s="86">
        <f t="shared" si="199"/>
        <v>0</v>
      </c>
      <c r="P1485" s="355"/>
      <c r="Q1485" s="344">
        <f t="shared" si="195"/>
        <v>350</v>
      </c>
      <c r="R1485" s="23">
        <f t="shared" si="196"/>
        <v>0</v>
      </c>
      <c r="S1485" s="86">
        <f t="shared" si="197"/>
        <v>350</v>
      </c>
    </row>
    <row r="1486" spans="2:19" x14ac:dyDescent="0.2">
      <c r="B1486" s="193">
        <f t="shared" si="194"/>
        <v>74</v>
      </c>
      <c r="C1486" s="7"/>
      <c r="D1486" s="7"/>
      <c r="E1486" s="7"/>
      <c r="F1486" s="25" t="s">
        <v>192</v>
      </c>
      <c r="G1486" s="7">
        <v>710</v>
      </c>
      <c r="H1486" s="7" t="s">
        <v>187</v>
      </c>
      <c r="I1486" s="23"/>
      <c r="J1486" s="23"/>
      <c r="K1486" s="86">
        <f t="shared" si="198"/>
        <v>0</v>
      </c>
      <c r="L1486" s="355"/>
      <c r="M1486" s="344">
        <f>M1487</f>
        <v>14800</v>
      </c>
      <c r="N1486" s="246"/>
      <c r="O1486" s="86">
        <f t="shared" si="199"/>
        <v>14800</v>
      </c>
      <c r="P1486" s="355"/>
      <c r="Q1486" s="344">
        <f t="shared" si="195"/>
        <v>14800</v>
      </c>
      <c r="R1486" s="23">
        <f t="shared" si="196"/>
        <v>0</v>
      </c>
      <c r="S1486" s="86">
        <f t="shared" si="197"/>
        <v>14800</v>
      </c>
    </row>
    <row r="1487" spans="2:19" x14ac:dyDescent="0.2">
      <c r="B1487" s="193">
        <f t="shared" si="194"/>
        <v>75</v>
      </c>
      <c r="C1487" s="3"/>
      <c r="D1487" s="3"/>
      <c r="E1487" s="3"/>
      <c r="F1487" s="26" t="s">
        <v>192</v>
      </c>
      <c r="G1487" s="3">
        <v>713</v>
      </c>
      <c r="H1487" s="3" t="s">
        <v>234</v>
      </c>
      <c r="I1487" s="19"/>
      <c r="J1487" s="19"/>
      <c r="K1487" s="87">
        <f t="shared" si="198"/>
        <v>0</v>
      </c>
      <c r="L1487" s="356"/>
      <c r="M1487" s="345">
        <f>M1488+M1489</f>
        <v>14800</v>
      </c>
      <c r="N1487" s="208"/>
      <c r="O1487" s="87">
        <f t="shared" si="199"/>
        <v>14800</v>
      </c>
      <c r="P1487" s="356"/>
      <c r="Q1487" s="345">
        <f t="shared" si="195"/>
        <v>14800</v>
      </c>
      <c r="R1487" s="19">
        <f t="shared" si="196"/>
        <v>0</v>
      </c>
      <c r="S1487" s="87">
        <f t="shared" si="197"/>
        <v>14800</v>
      </c>
    </row>
    <row r="1488" spans="2:19" x14ac:dyDescent="0.2">
      <c r="B1488" s="193">
        <f t="shared" si="194"/>
        <v>76</v>
      </c>
      <c r="C1488" s="4"/>
      <c r="D1488" s="4"/>
      <c r="E1488" s="4"/>
      <c r="F1488" s="31"/>
      <c r="G1488" s="4"/>
      <c r="H1488" s="4" t="s">
        <v>456</v>
      </c>
      <c r="I1488" s="21"/>
      <c r="J1488" s="21"/>
      <c r="K1488" s="88">
        <f t="shared" si="198"/>
        <v>0</v>
      </c>
      <c r="L1488" s="357"/>
      <c r="M1488" s="346">
        <v>3000</v>
      </c>
      <c r="N1488" s="247"/>
      <c r="O1488" s="88">
        <f t="shared" si="199"/>
        <v>3000</v>
      </c>
      <c r="P1488" s="357"/>
      <c r="Q1488" s="346">
        <f t="shared" si="195"/>
        <v>3000</v>
      </c>
      <c r="R1488" s="21">
        <f t="shared" si="196"/>
        <v>0</v>
      </c>
      <c r="S1488" s="88">
        <f t="shared" si="197"/>
        <v>3000</v>
      </c>
    </row>
    <row r="1489" spans="2:19" x14ac:dyDescent="0.2">
      <c r="B1489" s="193">
        <f t="shared" si="194"/>
        <v>77</v>
      </c>
      <c r="C1489" s="4"/>
      <c r="D1489" s="4"/>
      <c r="E1489" s="4"/>
      <c r="F1489" s="31"/>
      <c r="G1489" s="4"/>
      <c r="H1489" s="4" t="s">
        <v>588</v>
      </c>
      <c r="I1489" s="21"/>
      <c r="J1489" s="21"/>
      <c r="K1489" s="88">
        <f t="shared" si="198"/>
        <v>0</v>
      </c>
      <c r="L1489" s="357"/>
      <c r="M1489" s="346">
        <f>13200-1400</f>
        <v>11800</v>
      </c>
      <c r="N1489" s="247"/>
      <c r="O1489" s="88">
        <f t="shared" si="199"/>
        <v>11800</v>
      </c>
      <c r="P1489" s="357"/>
      <c r="Q1489" s="346">
        <f t="shared" si="195"/>
        <v>11800</v>
      </c>
      <c r="R1489" s="21">
        <f t="shared" si="196"/>
        <v>0</v>
      </c>
      <c r="S1489" s="88">
        <f t="shared" si="197"/>
        <v>11800</v>
      </c>
    </row>
    <row r="1490" spans="2:19" ht="15" x14ac:dyDescent="0.25">
      <c r="B1490" s="193">
        <f t="shared" si="194"/>
        <v>78</v>
      </c>
      <c r="C1490" s="240"/>
      <c r="D1490" s="240">
        <v>5</v>
      </c>
      <c r="E1490" s="467" t="s">
        <v>265</v>
      </c>
      <c r="F1490" s="445"/>
      <c r="G1490" s="445"/>
      <c r="H1490" s="446"/>
      <c r="I1490" s="37">
        <f>I1491</f>
        <v>46600</v>
      </c>
      <c r="J1490" s="37"/>
      <c r="K1490" s="85">
        <f t="shared" si="198"/>
        <v>46600</v>
      </c>
      <c r="L1490" s="354"/>
      <c r="M1490" s="343">
        <v>0</v>
      </c>
      <c r="N1490" s="245"/>
      <c r="O1490" s="85">
        <f t="shared" si="199"/>
        <v>0</v>
      </c>
      <c r="P1490" s="354"/>
      <c r="Q1490" s="343">
        <f t="shared" si="195"/>
        <v>46600</v>
      </c>
      <c r="R1490" s="37">
        <f t="shared" si="196"/>
        <v>0</v>
      </c>
      <c r="S1490" s="85">
        <f t="shared" si="197"/>
        <v>46600</v>
      </c>
    </row>
    <row r="1491" spans="2:19" ht="15" x14ac:dyDescent="0.25">
      <c r="B1491" s="193">
        <f t="shared" si="194"/>
        <v>79</v>
      </c>
      <c r="C1491" s="10"/>
      <c r="D1491" s="10"/>
      <c r="E1491" s="10">
        <v>2</v>
      </c>
      <c r="F1491" s="28"/>
      <c r="G1491" s="10"/>
      <c r="H1491" s="10" t="s">
        <v>18</v>
      </c>
      <c r="I1491" s="38">
        <f>I1492+I1493+I1494</f>
        <v>46600</v>
      </c>
      <c r="J1491" s="38"/>
      <c r="K1491" s="94">
        <f t="shared" si="198"/>
        <v>46600</v>
      </c>
      <c r="L1491" s="365"/>
      <c r="M1491" s="362"/>
      <c r="N1491" s="253"/>
      <c r="O1491" s="94">
        <f t="shared" si="199"/>
        <v>0</v>
      </c>
      <c r="P1491" s="365"/>
      <c r="Q1491" s="362">
        <f t="shared" si="195"/>
        <v>46600</v>
      </c>
      <c r="R1491" s="38">
        <f t="shared" si="196"/>
        <v>0</v>
      </c>
      <c r="S1491" s="94">
        <f t="shared" si="197"/>
        <v>46600</v>
      </c>
    </row>
    <row r="1492" spans="2:19" x14ac:dyDescent="0.2">
      <c r="B1492" s="193">
        <f t="shared" si="194"/>
        <v>80</v>
      </c>
      <c r="C1492" s="7"/>
      <c r="D1492" s="7"/>
      <c r="E1492" s="7"/>
      <c r="F1492" s="25" t="s">
        <v>192</v>
      </c>
      <c r="G1492" s="7">
        <v>610</v>
      </c>
      <c r="H1492" s="7" t="s">
        <v>142</v>
      </c>
      <c r="I1492" s="23">
        <v>9500</v>
      </c>
      <c r="J1492" s="23"/>
      <c r="K1492" s="86">
        <f t="shared" si="198"/>
        <v>9500</v>
      </c>
      <c r="L1492" s="355"/>
      <c r="M1492" s="344"/>
      <c r="N1492" s="246"/>
      <c r="O1492" s="86">
        <f t="shared" si="199"/>
        <v>0</v>
      </c>
      <c r="P1492" s="355"/>
      <c r="Q1492" s="344">
        <f t="shared" si="195"/>
        <v>9500</v>
      </c>
      <c r="R1492" s="23">
        <f t="shared" si="196"/>
        <v>0</v>
      </c>
      <c r="S1492" s="86">
        <f t="shared" si="197"/>
        <v>9500</v>
      </c>
    </row>
    <row r="1493" spans="2:19" x14ac:dyDescent="0.2">
      <c r="B1493" s="193">
        <f t="shared" si="194"/>
        <v>81</v>
      </c>
      <c r="C1493" s="7"/>
      <c r="D1493" s="7"/>
      <c r="E1493" s="7"/>
      <c r="F1493" s="25" t="s">
        <v>192</v>
      </c>
      <c r="G1493" s="7">
        <v>620</v>
      </c>
      <c r="H1493" s="7" t="s">
        <v>135</v>
      </c>
      <c r="I1493" s="23">
        <v>3400</v>
      </c>
      <c r="J1493" s="23"/>
      <c r="K1493" s="86">
        <f t="shared" si="198"/>
        <v>3400</v>
      </c>
      <c r="L1493" s="355"/>
      <c r="M1493" s="344"/>
      <c r="N1493" s="246"/>
      <c r="O1493" s="86">
        <f t="shared" si="199"/>
        <v>0</v>
      </c>
      <c r="P1493" s="355"/>
      <c r="Q1493" s="344">
        <f t="shared" si="195"/>
        <v>3400</v>
      </c>
      <c r="R1493" s="23">
        <f t="shared" si="196"/>
        <v>0</v>
      </c>
      <c r="S1493" s="86">
        <f t="shared" si="197"/>
        <v>3400</v>
      </c>
    </row>
    <row r="1494" spans="2:19" x14ac:dyDescent="0.2">
      <c r="B1494" s="193">
        <f t="shared" si="194"/>
        <v>82</v>
      </c>
      <c r="C1494" s="7"/>
      <c r="D1494" s="7"/>
      <c r="E1494" s="7"/>
      <c r="F1494" s="25" t="s">
        <v>192</v>
      </c>
      <c r="G1494" s="7">
        <v>630</v>
      </c>
      <c r="H1494" s="7" t="s">
        <v>132</v>
      </c>
      <c r="I1494" s="23">
        <f>I1499+I1498+I1497+I1496+I1495</f>
        <v>33700</v>
      </c>
      <c r="J1494" s="23"/>
      <c r="K1494" s="86">
        <f t="shared" si="198"/>
        <v>33700</v>
      </c>
      <c r="L1494" s="355"/>
      <c r="M1494" s="344"/>
      <c r="N1494" s="246"/>
      <c r="O1494" s="86">
        <f t="shared" si="199"/>
        <v>0</v>
      </c>
      <c r="P1494" s="355"/>
      <c r="Q1494" s="344">
        <f t="shared" si="195"/>
        <v>33700</v>
      </c>
      <c r="R1494" s="23">
        <f t="shared" si="196"/>
        <v>0</v>
      </c>
      <c r="S1494" s="86">
        <f t="shared" si="197"/>
        <v>33700</v>
      </c>
    </row>
    <row r="1495" spans="2:19" x14ac:dyDescent="0.2">
      <c r="B1495" s="193">
        <f t="shared" si="194"/>
        <v>83</v>
      </c>
      <c r="C1495" s="3"/>
      <c r="D1495" s="3"/>
      <c r="E1495" s="3"/>
      <c r="F1495" s="26" t="s">
        <v>192</v>
      </c>
      <c r="G1495" s="3">
        <v>632</v>
      </c>
      <c r="H1495" s="3" t="s">
        <v>145</v>
      </c>
      <c r="I1495" s="19">
        <v>10500</v>
      </c>
      <c r="J1495" s="19"/>
      <c r="K1495" s="87">
        <f t="shared" si="198"/>
        <v>10500</v>
      </c>
      <c r="L1495" s="356"/>
      <c r="M1495" s="345"/>
      <c r="N1495" s="208"/>
      <c r="O1495" s="87">
        <f t="shared" si="199"/>
        <v>0</v>
      </c>
      <c r="P1495" s="356"/>
      <c r="Q1495" s="345">
        <f t="shared" si="195"/>
        <v>10500</v>
      </c>
      <c r="R1495" s="19">
        <f t="shared" si="196"/>
        <v>0</v>
      </c>
      <c r="S1495" s="87">
        <f t="shared" si="197"/>
        <v>10500</v>
      </c>
    </row>
    <row r="1496" spans="2:19" x14ac:dyDescent="0.2">
      <c r="B1496" s="193">
        <f t="shared" si="194"/>
        <v>84</v>
      </c>
      <c r="C1496" s="3"/>
      <c r="D1496" s="3"/>
      <c r="E1496" s="3"/>
      <c r="F1496" s="26" t="s">
        <v>192</v>
      </c>
      <c r="G1496" s="3">
        <v>633</v>
      </c>
      <c r="H1496" s="3" t="s">
        <v>136</v>
      </c>
      <c r="I1496" s="19">
        <v>4000</v>
      </c>
      <c r="J1496" s="19"/>
      <c r="K1496" s="87">
        <f t="shared" si="198"/>
        <v>4000</v>
      </c>
      <c r="L1496" s="356"/>
      <c r="M1496" s="345"/>
      <c r="N1496" s="208"/>
      <c r="O1496" s="87">
        <f t="shared" si="199"/>
        <v>0</v>
      </c>
      <c r="P1496" s="356"/>
      <c r="Q1496" s="345">
        <f t="shared" si="195"/>
        <v>4000</v>
      </c>
      <c r="R1496" s="19">
        <f t="shared" si="196"/>
        <v>0</v>
      </c>
      <c r="S1496" s="87">
        <f t="shared" si="197"/>
        <v>4000</v>
      </c>
    </row>
    <row r="1497" spans="2:19" x14ac:dyDescent="0.2">
      <c r="B1497" s="193">
        <f t="shared" si="194"/>
        <v>85</v>
      </c>
      <c r="C1497" s="3"/>
      <c r="D1497" s="3"/>
      <c r="E1497" s="3"/>
      <c r="F1497" s="26" t="s">
        <v>192</v>
      </c>
      <c r="G1497" s="3">
        <v>634</v>
      </c>
      <c r="H1497" s="3" t="s">
        <v>143</v>
      </c>
      <c r="I1497" s="19">
        <v>200</v>
      </c>
      <c r="J1497" s="19"/>
      <c r="K1497" s="87">
        <f t="shared" si="198"/>
        <v>200</v>
      </c>
      <c r="L1497" s="356"/>
      <c r="M1497" s="345"/>
      <c r="N1497" s="208"/>
      <c r="O1497" s="87">
        <f t="shared" si="199"/>
        <v>0</v>
      </c>
      <c r="P1497" s="356"/>
      <c r="Q1497" s="345">
        <f t="shared" si="195"/>
        <v>200</v>
      </c>
      <c r="R1497" s="19">
        <f t="shared" si="196"/>
        <v>0</v>
      </c>
      <c r="S1497" s="87">
        <f t="shared" si="197"/>
        <v>200</v>
      </c>
    </row>
    <row r="1498" spans="2:19" x14ac:dyDescent="0.2">
      <c r="B1498" s="193">
        <f t="shared" si="194"/>
        <v>86</v>
      </c>
      <c r="C1498" s="3"/>
      <c r="D1498" s="3"/>
      <c r="E1498" s="3"/>
      <c r="F1498" s="26" t="s">
        <v>192</v>
      </c>
      <c r="G1498" s="3">
        <v>635</v>
      </c>
      <c r="H1498" s="3" t="s">
        <v>144</v>
      </c>
      <c r="I1498" s="19">
        <f>4000+1500+12000</f>
        <v>17500</v>
      </c>
      <c r="J1498" s="19"/>
      <c r="K1498" s="87">
        <f t="shared" si="198"/>
        <v>17500</v>
      </c>
      <c r="L1498" s="356"/>
      <c r="M1498" s="345"/>
      <c r="N1498" s="208"/>
      <c r="O1498" s="87">
        <f t="shared" si="199"/>
        <v>0</v>
      </c>
      <c r="P1498" s="356"/>
      <c r="Q1498" s="345">
        <f t="shared" si="195"/>
        <v>17500</v>
      </c>
      <c r="R1498" s="19">
        <f t="shared" si="196"/>
        <v>0</v>
      </c>
      <c r="S1498" s="87">
        <f t="shared" si="197"/>
        <v>17500</v>
      </c>
    </row>
    <row r="1499" spans="2:19" x14ac:dyDescent="0.2">
      <c r="B1499" s="193">
        <f t="shared" si="194"/>
        <v>87</v>
      </c>
      <c r="C1499" s="3"/>
      <c r="D1499" s="3"/>
      <c r="E1499" s="3"/>
      <c r="F1499" s="26" t="s">
        <v>192</v>
      </c>
      <c r="G1499" s="3">
        <v>637</v>
      </c>
      <c r="H1499" s="3" t="s">
        <v>133</v>
      </c>
      <c r="I1499" s="19">
        <v>1500</v>
      </c>
      <c r="J1499" s="19"/>
      <c r="K1499" s="87">
        <f t="shared" si="198"/>
        <v>1500</v>
      </c>
      <c r="L1499" s="356"/>
      <c r="M1499" s="345"/>
      <c r="N1499" s="208"/>
      <c r="O1499" s="87">
        <f t="shared" si="199"/>
        <v>0</v>
      </c>
      <c r="P1499" s="356"/>
      <c r="Q1499" s="345">
        <f t="shared" si="195"/>
        <v>1500</v>
      </c>
      <c r="R1499" s="19">
        <f t="shared" si="196"/>
        <v>0</v>
      </c>
      <c r="S1499" s="87">
        <f t="shared" si="197"/>
        <v>1500</v>
      </c>
    </row>
    <row r="1500" spans="2:19" ht="15" x14ac:dyDescent="0.2">
      <c r="B1500" s="193">
        <f t="shared" si="194"/>
        <v>88</v>
      </c>
      <c r="C1500" s="239">
        <v>4</v>
      </c>
      <c r="D1500" s="444" t="s">
        <v>397</v>
      </c>
      <c r="E1500" s="445"/>
      <c r="F1500" s="445"/>
      <c r="G1500" s="445"/>
      <c r="H1500" s="446"/>
      <c r="I1500" s="142">
        <f>I1501+I1519</f>
        <v>69290</v>
      </c>
      <c r="J1500" s="142"/>
      <c r="K1500" s="409">
        <f t="shared" si="198"/>
        <v>69290</v>
      </c>
      <c r="L1500" s="353"/>
      <c r="M1500" s="342">
        <f>M1501+M1519</f>
        <v>1567868</v>
      </c>
      <c r="N1500" s="244"/>
      <c r="O1500" s="84">
        <f t="shared" si="199"/>
        <v>1567868</v>
      </c>
      <c r="P1500" s="353"/>
      <c r="Q1500" s="342">
        <f t="shared" si="195"/>
        <v>1637158</v>
      </c>
      <c r="R1500" s="36">
        <f t="shared" si="196"/>
        <v>0</v>
      </c>
      <c r="S1500" s="84">
        <f t="shared" si="197"/>
        <v>1637158</v>
      </c>
    </row>
    <row r="1501" spans="2:19" x14ac:dyDescent="0.2">
      <c r="B1501" s="193">
        <f t="shared" si="194"/>
        <v>89</v>
      </c>
      <c r="C1501" s="7"/>
      <c r="D1501" s="7"/>
      <c r="E1501" s="7"/>
      <c r="F1501" s="25" t="s">
        <v>192</v>
      </c>
      <c r="G1501" s="7">
        <v>710</v>
      </c>
      <c r="H1501" s="7" t="s">
        <v>187</v>
      </c>
      <c r="I1501" s="23"/>
      <c r="J1501" s="23"/>
      <c r="K1501" s="86">
        <f t="shared" si="198"/>
        <v>0</v>
      </c>
      <c r="L1501" s="355"/>
      <c r="M1501" s="344">
        <f>M1502+M1508+M1515</f>
        <v>1545622</v>
      </c>
      <c r="N1501" s="246"/>
      <c r="O1501" s="86">
        <f t="shared" si="199"/>
        <v>1545622</v>
      </c>
      <c r="P1501" s="355"/>
      <c r="Q1501" s="344">
        <f t="shared" si="195"/>
        <v>1545622</v>
      </c>
      <c r="R1501" s="23">
        <f t="shared" si="196"/>
        <v>0</v>
      </c>
      <c r="S1501" s="86">
        <f t="shared" si="197"/>
        <v>1545622</v>
      </c>
    </row>
    <row r="1502" spans="2:19" x14ac:dyDescent="0.2">
      <c r="B1502" s="193">
        <f t="shared" si="194"/>
        <v>90</v>
      </c>
      <c r="C1502" s="3"/>
      <c r="D1502" s="3"/>
      <c r="E1502" s="3"/>
      <c r="F1502" s="26" t="s">
        <v>192</v>
      </c>
      <c r="G1502" s="3">
        <v>716</v>
      </c>
      <c r="H1502" s="3" t="s">
        <v>231</v>
      </c>
      <c r="I1502" s="19"/>
      <c r="J1502" s="19"/>
      <c r="K1502" s="87">
        <f t="shared" si="198"/>
        <v>0</v>
      </c>
      <c r="L1502" s="356"/>
      <c r="M1502" s="345">
        <f>SUM(M1503:M1507)</f>
        <v>59300</v>
      </c>
      <c r="N1502" s="208"/>
      <c r="O1502" s="87">
        <f t="shared" si="199"/>
        <v>59300</v>
      </c>
      <c r="P1502" s="356"/>
      <c r="Q1502" s="345">
        <f t="shared" si="195"/>
        <v>59300</v>
      </c>
      <c r="R1502" s="19">
        <f t="shared" si="196"/>
        <v>0</v>
      </c>
      <c r="S1502" s="87">
        <f t="shared" si="197"/>
        <v>59300</v>
      </c>
    </row>
    <row r="1503" spans="2:19" x14ac:dyDescent="0.2">
      <c r="B1503" s="193">
        <f t="shared" si="194"/>
        <v>91</v>
      </c>
      <c r="C1503" s="4"/>
      <c r="D1503" s="4"/>
      <c r="E1503" s="4"/>
      <c r="F1503" s="27"/>
      <c r="G1503" s="4"/>
      <c r="H1503" s="4" t="s">
        <v>481</v>
      </c>
      <c r="I1503" s="21"/>
      <c r="J1503" s="21"/>
      <c r="K1503" s="88">
        <f t="shared" si="198"/>
        <v>0</v>
      </c>
      <c r="L1503" s="357"/>
      <c r="M1503" s="346">
        <v>23000</v>
      </c>
      <c r="N1503" s="247"/>
      <c r="O1503" s="88">
        <f t="shared" si="199"/>
        <v>23000</v>
      </c>
      <c r="P1503" s="357"/>
      <c r="Q1503" s="346">
        <f t="shared" si="195"/>
        <v>23000</v>
      </c>
      <c r="R1503" s="21">
        <f t="shared" si="196"/>
        <v>0</v>
      </c>
      <c r="S1503" s="88">
        <f t="shared" si="197"/>
        <v>23000</v>
      </c>
    </row>
    <row r="1504" spans="2:19" x14ac:dyDescent="0.2">
      <c r="B1504" s="193">
        <f t="shared" si="194"/>
        <v>92</v>
      </c>
      <c r="C1504" s="4"/>
      <c r="D1504" s="4"/>
      <c r="E1504" s="4"/>
      <c r="F1504" s="27"/>
      <c r="G1504" s="4"/>
      <c r="H1504" s="4" t="s">
        <v>374</v>
      </c>
      <c r="I1504" s="21"/>
      <c r="J1504" s="21"/>
      <c r="K1504" s="88">
        <f t="shared" si="198"/>
        <v>0</v>
      </c>
      <c r="L1504" s="357"/>
      <c r="M1504" s="346">
        <f>2000+300</f>
        <v>2300</v>
      </c>
      <c r="N1504" s="247"/>
      <c r="O1504" s="88">
        <f t="shared" si="199"/>
        <v>2300</v>
      </c>
      <c r="P1504" s="357"/>
      <c r="Q1504" s="346">
        <f t="shared" si="195"/>
        <v>2300</v>
      </c>
      <c r="R1504" s="21">
        <f t="shared" si="196"/>
        <v>0</v>
      </c>
      <c r="S1504" s="88">
        <f t="shared" si="197"/>
        <v>2300</v>
      </c>
    </row>
    <row r="1505" spans="2:19" x14ac:dyDescent="0.2">
      <c r="B1505" s="193">
        <f t="shared" si="194"/>
        <v>93</v>
      </c>
      <c r="C1505" s="4"/>
      <c r="D1505" s="4"/>
      <c r="E1505" s="4"/>
      <c r="F1505" s="27"/>
      <c r="G1505" s="4"/>
      <c r="H1505" s="4" t="s">
        <v>479</v>
      </c>
      <c r="I1505" s="21"/>
      <c r="J1505" s="21"/>
      <c r="K1505" s="88">
        <f t="shared" si="198"/>
        <v>0</v>
      </c>
      <c r="L1505" s="357"/>
      <c r="M1505" s="346">
        <v>3000</v>
      </c>
      <c r="N1505" s="247"/>
      <c r="O1505" s="88">
        <f t="shared" si="199"/>
        <v>3000</v>
      </c>
      <c r="P1505" s="357"/>
      <c r="Q1505" s="346">
        <f t="shared" si="195"/>
        <v>3000</v>
      </c>
      <c r="R1505" s="21">
        <f t="shared" si="196"/>
        <v>0</v>
      </c>
      <c r="S1505" s="88">
        <f t="shared" si="197"/>
        <v>3000</v>
      </c>
    </row>
    <row r="1506" spans="2:19" x14ac:dyDescent="0.2">
      <c r="B1506" s="193">
        <f t="shared" si="194"/>
        <v>94</v>
      </c>
      <c r="C1506" s="4"/>
      <c r="D1506" s="4"/>
      <c r="E1506" s="4"/>
      <c r="F1506" s="27"/>
      <c r="G1506" s="4"/>
      <c r="H1506" s="4" t="s">
        <v>520</v>
      </c>
      <c r="I1506" s="21"/>
      <c r="J1506" s="21"/>
      <c r="K1506" s="88">
        <f t="shared" si="198"/>
        <v>0</v>
      </c>
      <c r="L1506" s="357"/>
      <c r="M1506" s="346">
        <f>15000+5000+1000</f>
        <v>21000</v>
      </c>
      <c r="N1506" s="247"/>
      <c r="O1506" s="88">
        <f t="shared" si="199"/>
        <v>21000</v>
      </c>
      <c r="P1506" s="357"/>
      <c r="Q1506" s="346">
        <f t="shared" si="195"/>
        <v>21000</v>
      </c>
      <c r="R1506" s="21">
        <f t="shared" si="196"/>
        <v>0</v>
      </c>
      <c r="S1506" s="88">
        <f t="shared" si="197"/>
        <v>21000</v>
      </c>
    </row>
    <row r="1507" spans="2:19" x14ac:dyDescent="0.2">
      <c r="B1507" s="193">
        <f t="shared" si="194"/>
        <v>95</v>
      </c>
      <c r="C1507" s="4"/>
      <c r="D1507" s="4"/>
      <c r="E1507" s="4"/>
      <c r="F1507" s="27"/>
      <c r="G1507" s="4"/>
      <c r="H1507" s="4" t="s">
        <v>525</v>
      </c>
      <c r="I1507" s="21"/>
      <c r="J1507" s="21"/>
      <c r="K1507" s="88">
        <f t="shared" si="198"/>
        <v>0</v>
      </c>
      <c r="L1507" s="357"/>
      <c r="M1507" s="346">
        <v>10000</v>
      </c>
      <c r="N1507" s="247"/>
      <c r="O1507" s="88">
        <f t="shared" si="199"/>
        <v>10000</v>
      </c>
      <c r="P1507" s="357"/>
      <c r="Q1507" s="346">
        <f t="shared" si="195"/>
        <v>10000</v>
      </c>
      <c r="R1507" s="21">
        <f t="shared" si="196"/>
        <v>0</v>
      </c>
      <c r="S1507" s="88">
        <f t="shared" si="197"/>
        <v>10000</v>
      </c>
    </row>
    <row r="1508" spans="2:19" x14ac:dyDescent="0.2">
      <c r="B1508" s="193">
        <f t="shared" si="194"/>
        <v>96</v>
      </c>
      <c r="C1508" s="3"/>
      <c r="D1508" s="3"/>
      <c r="E1508" s="3"/>
      <c r="F1508" s="26" t="s">
        <v>192</v>
      </c>
      <c r="G1508" s="3">
        <v>717</v>
      </c>
      <c r="H1508" s="3" t="s">
        <v>197</v>
      </c>
      <c r="I1508" s="19"/>
      <c r="J1508" s="19"/>
      <c r="K1508" s="87">
        <f t="shared" si="198"/>
        <v>0</v>
      </c>
      <c r="L1508" s="356"/>
      <c r="M1508" s="345">
        <f>SUM(M1509:M1514)</f>
        <v>401348</v>
      </c>
      <c r="N1508" s="208"/>
      <c r="O1508" s="87">
        <f t="shared" si="199"/>
        <v>401348</v>
      </c>
      <c r="P1508" s="356"/>
      <c r="Q1508" s="345">
        <f t="shared" si="195"/>
        <v>401348</v>
      </c>
      <c r="R1508" s="19">
        <f t="shared" si="196"/>
        <v>0</v>
      </c>
      <c r="S1508" s="87">
        <f t="shared" si="197"/>
        <v>401348</v>
      </c>
    </row>
    <row r="1509" spans="2:19" x14ac:dyDescent="0.2">
      <c r="B1509" s="193">
        <f t="shared" si="194"/>
        <v>97</v>
      </c>
      <c r="C1509" s="4"/>
      <c r="D1509" s="4"/>
      <c r="E1509" s="4"/>
      <c r="F1509" s="27"/>
      <c r="G1509" s="4"/>
      <c r="H1509" s="4" t="s">
        <v>304</v>
      </c>
      <c r="I1509" s="21"/>
      <c r="J1509" s="21"/>
      <c r="K1509" s="88">
        <f t="shared" si="198"/>
        <v>0</v>
      </c>
      <c r="L1509" s="357"/>
      <c r="M1509" s="346">
        <f>35760-120-2000</f>
        <v>33640</v>
      </c>
      <c r="N1509" s="247"/>
      <c r="O1509" s="88">
        <f t="shared" si="199"/>
        <v>33640</v>
      </c>
      <c r="P1509" s="357"/>
      <c r="Q1509" s="346">
        <f t="shared" si="195"/>
        <v>33640</v>
      </c>
      <c r="R1509" s="21">
        <f t="shared" si="196"/>
        <v>0</v>
      </c>
      <c r="S1509" s="88">
        <f t="shared" si="197"/>
        <v>33640</v>
      </c>
    </row>
    <row r="1510" spans="2:19" x14ac:dyDescent="0.2">
      <c r="B1510" s="193">
        <f t="shared" si="194"/>
        <v>98</v>
      </c>
      <c r="C1510" s="4"/>
      <c r="D1510" s="4"/>
      <c r="E1510" s="4"/>
      <c r="F1510" s="27"/>
      <c r="G1510" s="4"/>
      <c r="H1510" s="4" t="s">
        <v>479</v>
      </c>
      <c r="I1510" s="21"/>
      <c r="J1510" s="21"/>
      <c r="K1510" s="88">
        <f t="shared" si="198"/>
        <v>0</v>
      </c>
      <c r="L1510" s="357"/>
      <c r="M1510" s="346">
        <v>77000</v>
      </c>
      <c r="N1510" s="247"/>
      <c r="O1510" s="88">
        <f t="shared" si="199"/>
        <v>77000</v>
      </c>
      <c r="P1510" s="357"/>
      <c r="Q1510" s="346">
        <f t="shared" si="195"/>
        <v>77000</v>
      </c>
      <c r="R1510" s="21">
        <f t="shared" si="196"/>
        <v>0</v>
      </c>
      <c r="S1510" s="88">
        <f t="shared" si="197"/>
        <v>77000</v>
      </c>
    </row>
    <row r="1511" spans="2:19" x14ac:dyDescent="0.2">
      <c r="B1511" s="193">
        <f t="shared" si="194"/>
        <v>99</v>
      </c>
      <c r="C1511" s="4"/>
      <c r="D1511" s="4"/>
      <c r="E1511" s="4"/>
      <c r="F1511" s="27"/>
      <c r="G1511" s="4"/>
      <c r="H1511" s="4" t="s">
        <v>448</v>
      </c>
      <c r="I1511" s="21"/>
      <c r="J1511" s="21"/>
      <c r="K1511" s="88">
        <f t="shared" si="198"/>
        <v>0</v>
      </c>
      <c r="L1511" s="357"/>
      <c r="M1511" s="346">
        <v>60000</v>
      </c>
      <c r="N1511" s="247"/>
      <c r="O1511" s="88">
        <f t="shared" si="199"/>
        <v>60000</v>
      </c>
      <c r="P1511" s="357"/>
      <c r="Q1511" s="346">
        <f t="shared" si="195"/>
        <v>60000</v>
      </c>
      <c r="R1511" s="21">
        <f t="shared" si="196"/>
        <v>0</v>
      </c>
      <c r="S1511" s="88">
        <f t="shared" si="197"/>
        <v>60000</v>
      </c>
    </row>
    <row r="1512" spans="2:19" x14ac:dyDescent="0.2">
      <c r="B1512" s="193">
        <f t="shared" si="194"/>
        <v>100</v>
      </c>
      <c r="C1512" s="4"/>
      <c r="D1512" s="4"/>
      <c r="E1512" s="4"/>
      <c r="F1512" s="27"/>
      <c r="G1512" s="4"/>
      <c r="H1512" s="4" t="s">
        <v>521</v>
      </c>
      <c r="I1512" s="21"/>
      <c r="J1512" s="21"/>
      <c r="K1512" s="88">
        <f t="shared" si="198"/>
        <v>0</v>
      </c>
      <c r="L1512" s="357"/>
      <c r="M1512" s="346">
        <v>215000</v>
      </c>
      <c r="N1512" s="247"/>
      <c r="O1512" s="88">
        <f t="shared" si="199"/>
        <v>215000</v>
      </c>
      <c r="P1512" s="357"/>
      <c r="Q1512" s="346">
        <f t="shared" si="195"/>
        <v>215000</v>
      </c>
      <c r="R1512" s="21">
        <f t="shared" si="196"/>
        <v>0</v>
      </c>
      <c r="S1512" s="88">
        <f t="shared" si="197"/>
        <v>215000</v>
      </c>
    </row>
    <row r="1513" spans="2:19" x14ac:dyDescent="0.2">
      <c r="B1513" s="193">
        <f t="shared" si="194"/>
        <v>101</v>
      </c>
      <c r="C1513" s="4"/>
      <c r="D1513" s="4"/>
      <c r="E1513" s="4"/>
      <c r="F1513" s="27"/>
      <c r="G1513" s="4"/>
      <c r="H1513" s="4" t="s">
        <v>598</v>
      </c>
      <c r="I1513" s="21"/>
      <c r="J1513" s="21"/>
      <c r="K1513" s="88">
        <f t="shared" si="198"/>
        <v>0</v>
      </c>
      <c r="L1513" s="357"/>
      <c r="M1513" s="346">
        <v>5000</v>
      </c>
      <c r="N1513" s="247"/>
      <c r="O1513" s="88">
        <f t="shared" si="199"/>
        <v>5000</v>
      </c>
      <c r="P1513" s="357"/>
      <c r="Q1513" s="346">
        <f t="shared" si="195"/>
        <v>5000</v>
      </c>
      <c r="R1513" s="21">
        <f t="shared" si="196"/>
        <v>0</v>
      </c>
      <c r="S1513" s="88">
        <f t="shared" si="197"/>
        <v>5000</v>
      </c>
    </row>
    <row r="1514" spans="2:19" x14ac:dyDescent="0.2">
      <c r="B1514" s="193">
        <f t="shared" si="194"/>
        <v>102</v>
      </c>
      <c r="C1514" s="4"/>
      <c r="D1514" s="4"/>
      <c r="E1514" s="4"/>
      <c r="F1514" s="27"/>
      <c r="G1514" s="4"/>
      <c r="H1514" s="4" t="s">
        <v>627</v>
      </c>
      <c r="I1514" s="21"/>
      <c r="J1514" s="21"/>
      <c r="K1514" s="88">
        <f t="shared" si="198"/>
        <v>0</v>
      </c>
      <c r="L1514" s="357"/>
      <c r="M1514" s="346">
        <v>10708</v>
      </c>
      <c r="N1514" s="247"/>
      <c r="O1514" s="88">
        <f t="shared" si="199"/>
        <v>10708</v>
      </c>
      <c r="P1514" s="357"/>
      <c r="Q1514" s="346">
        <f t="shared" si="195"/>
        <v>10708</v>
      </c>
      <c r="R1514" s="21">
        <f t="shared" si="196"/>
        <v>0</v>
      </c>
      <c r="S1514" s="88">
        <f t="shared" si="197"/>
        <v>10708</v>
      </c>
    </row>
    <row r="1515" spans="2:19" x14ac:dyDescent="0.2">
      <c r="B1515" s="193">
        <f t="shared" si="194"/>
        <v>103</v>
      </c>
      <c r="C1515" s="4"/>
      <c r="D1515" s="4"/>
      <c r="E1515" s="4"/>
      <c r="F1515" s="26" t="s">
        <v>200</v>
      </c>
      <c r="G1515" s="3">
        <v>717</v>
      </c>
      <c r="H1515" s="3" t="s">
        <v>197</v>
      </c>
      <c r="I1515" s="21"/>
      <c r="J1515" s="21"/>
      <c r="K1515" s="88">
        <f t="shared" si="198"/>
        <v>0</v>
      </c>
      <c r="L1515" s="357"/>
      <c r="M1515" s="345">
        <f>M1516+M1517+M1518</f>
        <v>1084974</v>
      </c>
      <c r="N1515" s="208"/>
      <c r="O1515" s="87">
        <f t="shared" si="199"/>
        <v>1084974</v>
      </c>
      <c r="P1515" s="356"/>
      <c r="Q1515" s="345">
        <f t="shared" si="195"/>
        <v>1084974</v>
      </c>
      <c r="R1515" s="19">
        <f t="shared" si="196"/>
        <v>0</v>
      </c>
      <c r="S1515" s="87">
        <f t="shared" si="197"/>
        <v>1084974</v>
      </c>
    </row>
    <row r="1516" spans="2:19" x14ac:dyDescent="0.2">
      <c r="B1516" s="193">
        <f t="shared" si="194"/>
        <v>104</v>
      </c>
      <c r="C1516" s="4"/>
      <c r="D1516" s="4"/>
      <c r="E1516" s="4"/>
      <c r="F1516" s="27"/>
      <c r="G1516" s="4"/>
      <c r="H1516" s="4" t="s">
        <v>650</v>
      </c>
      <c r="I1516" s="21"/>
      <c r="J1516" s="21"/>
      <c r="K1516" s="88">
        <f t="shared" si="198"/>
        <v>0</v>
      </c>
      <c r="L1516" s="357"/>
      <c r="M1516" s="346">
        <v>278099</v>
      </c>
      <c r="N1516" s="247"/>
      <c r="O1516" s="88">
        <f t="shared" si="199"/>
        <v>278099</v>
      </c>
      <c r="P1516" s="357"/>
      <c r="Q1516" s="346">
        <f t="shared" si="195"/>
        <v>278099</v>
      </c>
      <c r="R1516" s="21">
        <f t="shared" si="196"/>
        <v>0</v>
      </c>
      <c r="S1516" s="88">
        <f t="shared" si="197"/>
        <v>278099</v>
      </c>
    </row>
    <row r="1517" spans="2:19" x14ac:dyDescent="0.2">
      <c r="B1517" s="193">
        <f t="shared" si="194"/>
        <v>105</v>
      </c>
      <c r="C1517" s="4"/>
      <c r="D1517" s="4"/>
      <c r="E1517" s="4"/>
      <c r="F1517" s="27"/>
      <c r="G1517" s="4"/>
      <c r="H1517" s="4" t="s">
        <v>651</v>
      </c>
      <c r="I1517" s="21"/>
      <c r="J1517" s="21"/>
      <c r="K1517" s="88">
        <f t="shared" si="198"/>
        <v>0</v>
      </c>
      <c r="L1517" s="357"/>
      <c r="M1517" s="346">
        <v>799875</v>
      </c>
      <c r="N1517" s="247"/>
      <c r="O1517" s="88">
        <f t="shared" si="199"/>
        <v>799875</v>
      </c>
      <c r="P1517" s="357"/>
      <c r="Q1517" s="346">
        <f t="shared" si="195"/>
        <v>799875</v>
      </c>
      <c r="R1517" s="21">
        <f t="shared" si="196"/>
        <v>0</v>
      </c>
      <c r="S1517" s="88">
        <f t="shared" si="197"/>
        <v>799875</v>
      </c>
    </row>
    <row r="1518" spans="2:19" x14ac:dyDescent="0.2">
      <c r="B1518" s="193">
        <f t="shared" si="194"/>
        <v>106</v>
      </c>
      <c r="C1518" s="4"/>
      <c r="D1518" s="4"/>
      <c r="E1518" s="4"/>
      <c r="F1518" s="27"/>
      <c r="G1518" s="4"/>
      <c r="H1518" s="4" t="s">
        <v>663</v>
      </c>
      <c r="I1518" s="21"/>
      <c r="J1518" s="21"/>
      <c r="K1518" s="88">
        <f t="shared" si="198"/>
        <v>0</v>
      </c>
      <c r="L1518" s="357"/>
      <c r="M1518" s="346">
        <v>7000</v>
      </c>
      <c r="N1518" s="247"/>
      <c r="O1518" s="88">
        <f t="shared" si="199"/>
        <v>7000</v>
      </c>
      <c r="P1518" s="357"/>
      <c r="Q1518" s="346">
        <f t="shared" si="195"/>
        <v>7000</v>
      </c>
      <c r="R1518" s="21">
        <f t="shared" si="196"/>
        <v>0</v>
      </c>
      <c r="S1518" s="88">
        <f t="shared" si="197"/>
        <v>7000</v>
      </c>
    </row>
    <row r="1519" spans="2:19" ht="15" x14ac:dyDescent="0.25">
      <c r="B1519" s="193">
        <f t="shared" si="194"/>
        <v>107</v>
      </c>
      <c r="C1519" s="10"/>
      <c r="D1519" s="10"/>
      <c r="E1519" s="10">
        <v>2</v>
      </c>
      <c r="F1519" s="28"/>
      <c r="G1519" s="10"/>
      <c r="H1519" s="10" t="s">
        <v>408</v>
      </c>
      <c r="I1519" s="38">
        <f>I1520+I1521+I1522+I1531+I1532</f>
        <v>69290</v>
      </c>
      <c r="J1519" s="38"/>
      <c r="K1519" s="94">
        <f t="shared" si="198"/>
        <v>69290</v>
      </c>
      <c r="L1519" s="365"/>
      <c r="M1519" s="362">
        <f>M1532</f>
        <v>22246</v>
      </c>
      <c r="N1519" s="253"/>
      <c r="O1519" s="94">
        <f t="shared" si="199"/>
        <v>22246</v>
      </c>
      <c r="P1519" s="365"/>
      <c r="Q1519" s="362">
        <f t="shared" si="195"/>
        <v>91536</v>
      </c>
      <c r="R1519" s="38">
        <f t="shared" si="196"/>
        <v>0</v>
      </c>
      <c r="S1519" s="94">
        <f t="shared" si="197"/>
        <v>91536</v>
      </c>
    </row>
    <row r="1520" spans="2:19" x14ac:dyDescent="0.2">
      <c r="B1520" s="193">
        <f t="shared" si="194"/>
        <v>108</v>
      </c>
      <c r="C1520" s="7"/>
      <c r="D1520" s="7"/>
      <c r="E1520" s="7"/>
      <c r="F1520" s="25" t="s">
        <v>192</v>
      </c>
      <c r="G1520" s="7">
        <v>610</v>
      </c>
      <c r="H1520" s="7" t="s">
        <v>142</v>
      </c>
      <c r="I1520" s="23">
        <v>24500</v>
      </c>
      <c r="J1520" s="23"/>
      <c r="K1520" s="86">
        <f t="shared" si="198"/>
        <v>24500</v>
      </c>
      <c r="L1520" s="355"/>
      <c r="M1520" s="344"/>
      <c r="N1520" s="246"/>
      <c r="O1520" s="86">
        <f t="shared" si="199"/>
        <v>0</v>
      </c>
      <c r="P1520" s="355"/>
      <c r="Q1520" s="344">
        <f t="shared" si="195"/>
        <v>24500</v>
      </c>
      <c r="R1520" s="23">
        <f t="shared" si="196"/>
        <v>0</v>
      </c>
      <c r="S1520" s="86">
        <f t="shared" si="197"/>
        <v>24500</v>
      </c>
    </row>
    <row r="1521" spans="2:19" x14ac:dyDescent="0.2">
      <c r="B1521" s="193">
        <f t="shared" si="194"/>
        <v>109</v>
      </c>
      <c r="C1521" s="7"/>
      <c r="D1521" s="7"/>
      <c r="E1521" s="7"/>
      <c r="F1521" s="25" t="s">
        <v>192</v>
      </c>
      <c r="G1521" s="7">
        <v>620</v>
      </c>
      <c r="H1521" s="7" t="s">
        <v>135</v>
      </c>
      <c r="I1521" s="23">
        <v>10720</v>
      </c>
      <c r="J1521" s="23"/>
      <c r="K1521" s="86">
        <f t="shared" si="198"/>
        <v>10720</v>
      </c>
      <c r="L1521" s="355"/>
      <c r="M1521" s="344"/>
      <c r="N1521" s="246"/>
      <c r="O1521" s="86">
        <f t="shared" si="199"/>
        <v>0</v>
      </c>
      <c r="P1521" s="355"/>
      <c r="Q1521" s="344">
        <f t="shared" si="195"/>
        <v>10720</v>
      </c>
      <c r="R1521" s="23">
        <f t="shared" si="196"/>
        <v>0</v>
      </c>
      <c r="S1521" s="86">
        <f t="shared" si="197"/>
        <v>10720</v>
      </c>
    </row>
    <row r="1522" spans="2:19" x14ac:dyDescent="0.2">
      <c r="B1522" s="193">
        <f t="shared" si="194"/>
        <v>110</v>
      </c>
      <c r="C1522" s="7"/>
      <c r="D1522" s="7"/>
      <c r="E1522" s="7"/>
      <c r="F1522" s="25" t="s">
        <v>192</v>
      </c>
      <c r="G1522" s="7">
        <v>630</v>
      </c>
      <c r="H1522" s="7" t="s">
        <v>132</v>
      </c>
      <c r="I1522" s="23">
        <f>SUM(I1523:I1530)</f>
        <v>33720</v>
      </c>
      <c r="J1522" s="23"/>
      <c r="K1522" s="86">
        <f t="shared" si="198"/>
        <v>33720</v>
      </c>
      <c r="L1522" s="355"/>
      <c r="M1522" s="344"/>
      <c r="N1522" s="246"/>
      <c r="O1522" s="86">
        <f t="shared" si="199"/>
        <v>0</v>
      </c>
      <c r="P1522" s="355"/>
      <c r="Q1522" s="344">
        <f t="shared" si="195"/>
        <v>33720</v>
      </c>
      <c r="R1522" s="23">
        <f t="shared" si="196"/>
        <v>0</v>
      </c>
      <c r="S1522" s="86">
        <f t="shared" si="197"/>
        <v>33720</v>
      </c>
    </row>
    <row r="1523" spans="2:19" x14ac:dyDescent="0.2">
      <c r="B1523" s="193">
        <f t="shared" si="194"/>
        <v>111</v>
      </c>
      <c r="C1523" s="7"/>
      <c r="D1523" s="7"/>
      <c r="E1523" s="7"/>
      <c r="F1523" s="179" t="s">
        <v>192</v>
      </c>
      <c r="G1523" s="51">
        <v>632</v>
      </c>
      <c r="H1523" s="51" t="s">
        <v>145</v>
      </c>
      <c r="I1523" s="20">
        <v>500</v>
      </c>
      <c r="J1523" s="20"/>
      <c r="K1523" s="123">
        <f t="shared" si="198"/>
        <v>500</v>
      </c>
      <c r="L1523" s="356"/>
      <c r="M1523" s="363"/>
      <c r="N1523" s="254"/>
      <c r="O1523" s="123">
        <f t="shared" si="199"/>
        <v>0</v>
      </c>
      <c r="P1523" s="356"/>
      <c r="Q1523" s="363">
        <f t="shared" si="195"/>
        <v>500</v>
      </c>
      <c r="R1523" s="20">
        <f t="shared" si="196"/>
        <v>0</v>
      </c>
      <c r="S1523" s="123">
        <f t="shared" si="197"/>
        <v>500</v>
      </c>
    </row>
    <row r="1524" spans="2:19" x14ac:dyDescent="0.2">
      <c r="B1524" s="193">
        <f t="shared" si="194"/>
        <v>112</v>
      </c>
      <c r="C1524" s="3"/>
      <c r="D1524" s="3"/>
      <c r="E1524" s="3"/>
      <c r="F1524" s="26" t="s">
        <v>192</v>
      </c>
      <c r="G1524" s="3">
        <v>633</v>
      </c>
      <c r="H1524" s="3" t="s">
        <v>136</v>
      </c>
      <c r="I1524" s="19">
        <f>13500-350</f>
        <v>13150</v>
      </c>
      <c r="J1524" s="19"/>
      <c r="K1524" s="87">
        <f t="shared" si="198"/>
        <v>13150</v>
      </c>
      <c r="L1524" s="356"/>
      <c r="M1524" s="345"/>
      <c r="N1524" s="208"/>
      <c r="O1524" s="87">
        <f t="shared" si="199"/>
        <v>0</v>
      </c>
      <c r="P1524" s="356"/>
      <c r="Q1524" s="345">
        <f t="shared" si="195"/>
        <v>13150</v>
      </c>
      <c r="R1524" s="19">
        <f t="shared" si="196"/>
        <v>0</v>
      </c>
      <c r="S1524" s="87">
        <f t="shared" si="197"/>
        <v>13150</v>
      </c>
    </row>
    <row r="1525" spans="2:19" x14ac:dyDescent="0.2">
      <c r="B1525" s="193">
        <f t="shared" si="194"/>
        <v>113</v>
      </c>
      <c r="C1525" s="3"/>
      <c r="D1525" s="3"/>
      <c r="E1525" s="3"/>
      <c r="F1525" s="26" t="s">
        <v>192</v>
      </c>
      <c r="G1525" s="3">
        <v>634</v>
      </c>
      <c r="H1525" s="3" t="s">
        <v>143</v>
      </c>
      <c r="I1525" s="19">
        <v>1100</v>
      </c>
      <c r="J1525" s="19"/>
      <c r="K1525" s="87">
        <f t="shared" si="198"/>
        <v>1100</v>
      </c>
      <c r="L1525" s="356"/>
      <c r="M1525" s="345"/>
      <c r="N1525" s="208"/>
      <c r="O1525" s="87">
        <f t="shared" si="199"/>
        <v>0</v>
      </c>
      <c r="P1525" s="356"/>
      <c r="Q1525" s="345">
        <f t="shared" si="195"/>
        <v>1100</v>
      </c>
      <c r="R1525" s="19">
        <f t="shared" si="196"/>
        <v>0</v>
      </c>
      <c r="S1525" s="87">
        <f t="shared" si="197"/>
        <v>1100</v>
      </c>
    </row>
    <row r="1526" spans="2:19" x14ac:dyDescent="0.2">
      <c r="B1526" s="193">
        <f t="shared" si="194"/>
        <v>114</v>
      </c>
      <c r="C1526" s="3"/>
      <c r="D1526" s="3"/>
      <c r="E1526" s="3"/>
      <c r="F1526" s="26" t="s">
        <v>192</v>
      </c>
      <c r="G1526" s="3">
        <v>635</v>
      </c>
      <c r="H1526" s="3" t="s">
        <v>144</v>
      </c>
      <c r="I1526" s="19">
        <f>1700+1500</f>
        <v>3200</v>
      </c>
      <c r="J1526" s="19"/>
      <c r="K1526" s="87">
        <f t="shared" si="198"/>
        <v>3200</v>
      </c>
      <c r="L1526" s="356"/>
      <c r="M1526" s="345"/>
      <c r="N1526" s="208"/>
      <c r="O1526" s="87">
        <f t="shared" si="199"/>
        <v>0</v>
      </c>
      <c r="P1526" s="356"/>
      <c r="Q1526" s="345">
        <f t="shared" si="195"/>
        <v>3200</v>
      </c>
      <c r="R1526" s="19">
        <f t="shared" si="196"/>
        <v>0</v>
      </c>
      <c r="S1526" s="87">
        <f t="shared" si="197"/>
        <v>3200</v>
      </c>
    </row>
    <row r="1527" spans="2:19" x14ac:dyDescent="0.2">
      <c r="B1527" s="193">
        <f t="shared" si="194"/>
        <v>115</v>
      </c>
      <c r="C1527" s="3"/>
      <c r="D1527" s="3"/>
      <c r="E1527" s="3"/>
      <c r="F1527" s="26" t="s">
        <v>192</v>
      </c>
      <c r="G1527" s="3">
        <v>635</v>
      </c>
      <c r="H1527" s="3" t="s">
        <v>442</v>
      </c>
      <c r="I1527" s="19">
        <v>6000</v>
      </c>
      <c r="J1527" s="19"/>
      <c r="K1527" s="87">
        <f t="shared" si="198"/>
        <v>6000</v>
      </c>
      <c r="L1527" s="356"/>
      <c r="M1527" s="345"/>
      <c r="N1527" s="208"/>
      <c r="O1527" s="87">
        <f t="shared" si="199"/>
        <v>0</v>
      </c>
      <c r="P1527" s="356"/>
      <c r="Q1527" s="345">
        <f t="shared" si="195"/>
        <v>6000</v>
      </c>
      <c r="R1527" s="19">
        <f t="shared" si="196"/>
        <v>0</v>
      </c>
      <c r="S1527" s="87">
        <f t="shared" si="197"/>
        <v>6000</v>
      </c>
    </row>
    <row r="1528" spans="2:19" ht="24" x14ac:dyDescent="0.2">
      <c r="B1528" s="194">
        <f t="shared" si="194"/>
        <v>116</v>
      </c>
      <c r="C1528" s="47"/>
      <c r="D1528" s="47"/>
      <c r="E1528" s="47"/>
      <c r="F1528" s="168" t="s">
        <v>192</v>
      </c>
      <c r="G1528" s="47">
        <v>635</v>
      </c>
      <c r="H1528" s="169" t="s">
        <v>509</v>
      </c>
      <c r="I1528" s="50">
        <v>1500</v>
      </c>
      <c r="J1528" s="50"/>
      <c r="K1528" s="111">
        <f t="shared" si="198"/>
        <v>1500</v>
      </c>
      <c r="L1528" s="386"/>
      <c r="M1528" s="364"/>
      <c r="N1528" s="258"/>
      <c r="O1528" s="111">
        <f t="shared" si="199"/>
        <v>0</v>
      </c>
      <c r="P1528" s="386"/>
      <c r="Q1528" s="364">
        <f t="shared" si="195"/>
        <v>1500</v>
      </c>
      <c r="R1528" s="50">
        <f t="shared" si="196"/>
        <v>0</v>
      </c>
      <c r="S1528" s="111">
        <f t="shared" si="197"/>
        <v>1500</v>
      </c>
    </row>
    <row r="1529" spans="2:19" x14ac:dyDescent="0.2">
      <c r="B1529" s="193">
        <f t="shared" si="194"/>
        <v>117</v>
      </c>
      <c r="C1529" s="3"/>
      <c r="D1529" s="3"/>
      <c r="E1529" s="3"/>
      <c r="F1529" s="26" t="s">
        <v>192</v>
      </c>
      <c r="G1529" s="3">
        <v>636</v>
      </c>
      <c r="H1529" s="3" t="s">
        <v>137</v>
      </c>
      <c r="I1529" s="19">
        <f>300+350</f>
        <v>650</v>
      </c>
      <c r="J1529" s="19"/>
      <c r="K1529" s="87">
        <f t="shared" si="198"/>
        <v>650</v>
      </c>
      <c r="L1529" s="356"/>
      <c r="M1529" s="345"/>
      <c r="N1529" s="208"/>
      <c r="O1529" s="87">
        <f t="shared" si="199"/>
        <v>0</v>
      </c>
      <c r="P1529" s="356"/>
      <c r="Q1529" s="345">
        <f t="shared" si="195"/>
        <v>650</v>
      </c>
      <c r="R1529" s="19">
        <f t="shared" si="196"/>
        <v>0</v>
      </c>
      <c r="S1529" s="87">
        <f t="shared" si="197"/>
        <v>650</v>
      </c>
    </row>
    <row r="1530" spans="2:19" x14ac:dyDescent="0.2">
      <c r="B1530" s="193">
        <f t="shared" si="194"/>
        <v>118</v>
      </c>
      <c r="C1530" s="3"/>
      <c r="D1530" s="3"/>
      <c r="E1530" s="3"/>
      <c r="F1530" s="26" t="s">
        <v>192</v>
      </c>
      <c r="G1530" s="3">
        <v>637</v>
      </c>
      <c r="H1530" s="3" t="s">
        <v>133</v>
      </c>
      <c r="I1530" s="19">
        <v>7620</v>
      </c>
      <c r="J1530" s="19"/>
      <c r="K1530" s="87">
        <f t="shared" si="198"/>
        <v>7620</v>
      </c>
      <c r="L1530" s="356"/>
      <c r="M1530" s="345"/>
      <c r="N1530" s="208"/>
      <c r="O1530" s="87">
        <f t="shared" si="199"/>
        <v>0</v>
      </c>
      <c r="P1530" s="356"/>
      <c r="Q1530" s="345">
        <f>I1530+M1530</f>
        <v>7620</v>
      </c>
      <c r="R1530" s="19">
        <f t="shared" si="196"/>
        <v>0</v>
      </c>
      <c r="S1530" s="87">
        <f t="shared" si="197"/>
        <v>7620</v>
      </c>
    </row>
    <row r="1531" spans="2:19" x14ac:dyDescent="0.2">
      <c r="B1531" s="193">
        <f t="shared" si="194"/>
        <v>119</v>
      </c>
      <c r="C1531" s="7"/>
      <c r="D1531" s="7"/>
      <c r="E1531" s="7"/>
      <c r="F1531" s="25" t="s">
        <v>192</v>
      </c>
      <c r="G1531" s="7">
        <v>640</v>
      </c>
      <c r="H1531" s="7" t="s">
        <v>140</v>
      </c>
      <c r="I1531" s="23">
        <v>350</v>
      </c>
      <c r="J1531" s="23"/>
      <c r="K1531" s="86">
        <f t="shared" si="198"/>
        <v>350</v>
      </c>
      <c r="L1531" s="355"/>
      <c r="M1531" s="344"/>
      <c r="N1531" s="246"/>
      <c r="O1531" s="86">
        <f t="shared" si="199"/>
        <v>0</v>
      </c>
      <c r="P1531" s="355"/>
      <c r="Q1531" s="344">
        <f>I1531+M1531</f>
        <v>350</v>
      </c>
      <c r="R1531" s="23">
        <f t="shared" si="196"/>
        <v>0</v>
      </c>
      <c r="S1531" s="86">
        <f t="shared" si="197"/>
        <v>350</v>
      </c>
    </row>
    <row r="1532" spans="2:19" x14ac:dyDescent="0.2">
      <c r="B1532" s="193">
        <f t="shared" si="194"/>
        <v>120</v>
      </c>
      <c r="C1532" s="7"/>
      <c r="D1532" s="7"/>
      <c r="E1532" s="7"/>
      <c r="F1532" s="25" t="s">
        <v>192</v>
      </c>
      <c r="G1532" s="7">
        <v>710</v>
      </c>
      <c r="H1532" s="7" t="s">
        <v>187</v>
      </c>
      <c r="I1532" s="23"/>
      <c r="J1532" s="23"/>
      <c r="K1532" s="86">
        <f t="shared" si="198"/>
        <v>0</v>
      </c>
      <c r="L1532" s="355"/>
      <c r="M1532" s="344">
        <f>M1533</f>
        <v>22246</v>
      </c>
      <c r="N1532" s="246"/>
      <c r="O1532" s="86">
        <f t="shared" si="199"/>
        <v>22246</v>
      </c>
      <c r="P1532" s="355"/>
      <c r="Q1532" s="344">
        <f>I1532+M1532</f>
        <v>22246</v>
      </c>
      <c r="R1532" s="23">
        <f t="shared" si="196"/>
        <v>0</v>
      </c>
      <c r="S1532" s="86">
        <f t="shared" si="197"/>
        <v>22246</v>
      </c>
    </row>
    <row r="1533" spans="2:19" x14ac:dyDescent="0.2">
      <c r="B1533" s="193">
        <f t="shared" si="194"/>
        <v>121</v>
      </c>
      <c r="C1533" s="3"/>
      <c r="D1533" s="3"/>
      <c r="E1533" s="3"/>
      <c r="F1533" s="26" t="s">
        <v>192</v>
      </c>
      <c r="G1533" s="3">
        <v>717</v>
      </c>
      <c r="H1533" s="3" t="s">
        <v>197</v>
      </c>
      <c r="I1533" s="19"/>
      <c r="J1533" s="19"/>
      <c r="K1533" s="87">
        <f t="shared" si="198"/>
        <v>0</v>
      </c>
      <c r="L1533" s="356"/>
      <c r="M1533" s="345">
        <f>M1534</f>
        <v>22246</v>
      </c>
      <c r="N1533" s="208"/>
      <c r="O1533" s="87">
        <f t="shared" si="199"/>
        <v>22246</v>
      </c>
      <c r="P1533" s="356"/>
      <c r="Q1533" s="345">
        <f>I1533+M1533</f>
        <v>22246</v>
      </c>
      <c r="R1533" s="19">
        <f t="shared" si="196"/>
        <v>0</v>
      </c>
      <c r="S1533" s="87">
        <f t="shared" si="197"/>
        <v>22246</v>
      </c>
    </row>
    <row r="1534" spans="2:19" ht="13.5" thickBot="1" x14ac:dyDescent="0.25">
      <c r="B1534" s="195">
        <f>B1533+1</f>
        <v>122</v>
      </c>
      <c r="C1534" s="95"/>
      <c r="D1534" s="95"/>
      <c r="E1534" s="95"/>
      <c r="F1534" s="101"/>
      <c r="G1534" s="95"/>
      <c r="H1534" s="95" t="s">
        <v>375</v>
      </c>
      <c r="I1534" s="98"/>
      <c r="J1534" s="98"/>
      <c r="K1534" s="99">
        <f t="shared" si="198"/>
        <v>0</v>
      </c>
      <c r="L1534" s="361"/>
      <c r="M1534" s="350">
        <f>27600-5354</f>
        <v>22246</v>
      </c>
      <c r="N1534" s="250"/>
      <c r="O1534" s="99">
        <f t="shared" si="199"/>
        <v>22246</v>
      </c>
      <c r="P1534" s="361"/>
      <c r="Q1534" s="350">
        <f>I1534+M1534</f>
        <v>22246</v>
      </c>
      <c r="R1534" s="98">
        <f t="shared" si="196"/>
        <v>0</v>
      </c>
      <c r="S1534" s="99">
        <f t="shared" si="197"/>
        <v>22246</v>
      </c>
    </row>
    <row r="1560" spans="2:19" ht="27.75" thickBot="1" x14ac:dyDescent="0.4">
      <c r="B1560" s="455" t="s">
        <v>29</v>
      </c>
      <c r="C1560" s="456"/>
      <c r="D1560" s="456"/>
      <c r="E1560" s="456"/>
      <c r="F1560" s="456"/>
      <c r="G1560" s="456"/>
      <c r="H1560" s="456"/>
      <c r="I1560" s="456"/>
      <c r="J1560" s="456"/>
      <c r="K1560" s="456"/>
      <c r="L1560" s="456"/>
      <c r="M1560" s="456"/>
      <c r="N1560" s="456"/>
      <c r="O1560" s="456"/>
      <c r="P1560" s="456"/>
      <c r="Q1560" s="456"/>
    </row>
    <row r="1561" spans="2:19" ht="13.5" customHeight="1" thickBot="1" x14ac:dyDescent="0.25">
      <c r="B1561" s="452" t="s">
        <v>359</v>
      </c>
      <c r="C1561" s="453"/>
      <c r="D1561" s="453"/>
      <c r="E1561" s="453"/>
      <c r="F1561" s="453"/>
      <c r="G1561" s="453"/>
      <c r="H1561" s="453"/>
      <c r="I1561" s="453"/>
      <c r="J1561" s="453"/>
      <c r="K1561" s="453"/>
      <c r="L1561" s="453"/>
      <c r="M1561" s="453"/>
      <c r="N1561" s="453"/>
      <c r="O1561" s="454"/>
      <c r="P1561" s="339"/>
      <c r="Q1561" s="457" t="s">
        <v>667</v>
      </c>
      <c r="R1561" s="488" t="s">
        <v>668</v>
      </c>
      <c r="S1561" s="491" t="s">
        <v>669</v>
      </c>
    </row>
    <row r="1562" spans="2:19" ht="13.5" customHeight="1" thickBot="1" x14ac:dyDescent="0.25">
      <c r="B1562" s="466"/>
      <c r="C1562" s="460" t="s">
        <v>125</v>
      </c>
      <c r="D1562" s="460" t="s">
        <v>126</v>
      </c>
      <c r="E1562" s="460"/>
      <c r="F1562" s="460" t="s">
        <v>127</v>
      </c>
      <c r="G1562" s="470" t="s">
        <v>128</v>
      </c>
      <c r="H1562" s="473" t="s">
        <v>129</v>
      </c>
      <c r="I1562" s="463" t="s">
        <v>670</v>
      </c>
      <c r="J1562" s="495" t="s">
        <v>668</v>
      </c>
      <c r="K1562" s="491" t="s">
        <v>671</v>
      </c>
      <c r="L1562" s="53"/>
      <c r="M1562" s="474" t="s">
        <v>672</v>
      </c>
      <c r="N1562" s="488" t="s">
        <v>668</v>
      </c>
      <c r="O1562" s="491" t="s">
        <v>671</v>
      </c>
      <c r="P1562" s="53"/>
      <c r="Q1562" s="458"/>
      <c r="R1562" s="489"/>
      <c r="S1562" s="492"/>
    </row>
    <row r="1563" spans="2:19" ht="13.5" thickBot="1" x14ac:dyDescent="0.25">
      <c r="B1563" s="466"/>
      <c r="C1563" s="461"/>
      <c r="D1563" s="461"/>
      <c r="E1563" s="461"/>
      <c r="F1563" s="461"/>
      <c r="G1563" s="471"/>
      <c r="H1563" s="473"/>
      <c r="I1563" s="463"/>
      <c r="J1563" s="495"/>
      <c r="K1563" s="492"/>
      <c r="L1563" s="53"/>
      <c r="M1563" s="475"/>
      <c r="N1563" s="489"/>
      <c r="O1563" s="492"/>
      <c r="P1563" s="53"/>
      <c r="Q1563" s="458"/>
      <c r="R1563" s="489"/>
      <c r="S1563" s="492"/>
    </row>
    <row r="1564" spans="2:19" ht="13.5" thickBot="1" x14ac:dyDescent="0.25">
      <c r="B1564" s="466"/>
      <c r="C1564" s="461"/>
      <c r="D1564" s="461"/>
      <c r="E1564" s="461"/>
      <c r="F1564" s="461"/>
      <c r="G1564" s="471"/>
      <c r="H1564" s="473"/>
      <c r="I1564" s="463"/>
      <c r="J1564" s="495"/>
      <c r="K1564" s="492"/>
      <c r="L1564" s="53"/>
      <c r="M1564" s="475"/>
      <c r="N1564" s="489"/>
      <c r="O1564" s="492"/>
      <c r="P1564" s="53"/>
      <c r="Q1564" s="458"/>
      <c r="R1564" s="489"/>
      <c r="S1564" s="492"/>
    </row>
    <row r="1565" spans="2:19" ht="13.5" thickBot="1" x14ac:dyDescent="0.25">
      <c r="B1565" s="466"/>
      <c r="C1565" s="462"/>
      <c r="D1565" s="462"/>
      <c r="E1565" s="462"/>
      <c r="F1565" s="462"/>
      <c r="G1565" s="472"/>
      <c r="H1565" s="473"/>
      <c r="I1565" s="464"/>
      <c r="J1565" s="496"/>
      <c r="K1565" s="493"/>
      <c r="L1565" s="53"/>
      <c r="M1565" s="476"/>
      <c r="N1565" s="490"/>
      <c r="O1565" s="493"/>
      <c r="P1565" s="53"/>
      <c r="Q1565" s="459"/>
      <c r="R1565" s="490"/>
      <c r="S1565" s="493"/>
    </row>
    <row r="1566" spans="2:19" ht="16.5" thickTop="1" x14ac:dyDescent="0.2">
      <c r="B1566" s="193">
        <f t="shared" ref="B1566:B1611" si="200">B1565+1</f>
        <v>1</v>
      </c>
      <c r="C1566" s="477" t="s">
        <v>29</v>
      </c>
      <c r="D1566" s="482"/>
      <c r="E1566" s="482"/>
      <c r="F1566" s="482"/>
      <c r="G1566" s="482"/>
      <c r="H1566" s="483"/>
      <c r="I1566" s="35">
        <f>I1609+I1594+I1589+I1567</f>
        <v>551620</v>
      </c>
      <c r="J1566" s="35">
        <f>J1609+J1594+J1589+J1567</f>
        <v>0</v>
      </c>
      <c r="K1566" s="93">
        <f>J1566+I1566</f>
        <v>551620</v>
      </c>
      <c r="L1566" s="360"/>
      <c r="M1566" s="348">
        <f>M1567+M1589+M1594+M1609</f>
        <v>67320</v>
      </c>
      <c r="N1566" s="35"/>
      <c r="O1566" s="93">
        <f>N1566+M1566</f>
        <v>67320</v>
      </c>
      <c r="P1566" s="360"/>
      <c r="Q1566" s="348">
        <f t="shared" ref="Q1566:Q1611" si="201">I1566+M1566</f>
        <v>618940</v>
      </c>
      <c r="R1566" s="35">
        <f t="shared" ref="R1566:R1601" si="202">J1566+N1566</f>
        <v>0</v>
      </c>
      <c r="S1566" s="93">
        <f t="shared" ref="S1566:S1601" si="203">K1566+O1566</f>
        <v>618940</v>
      </c>
    </row>
    <row r="1567" spans="2:19" ht="15" x14ac:dyDescent="0.2">
      <c r="B1567" s="193">
        <f t="shared" si="200"/>
        <v>2</v>
      </c>
      <c r="C1567" s="239">
        <v>1</v>
      </c>
      <c r="D1567" s="444" t="s">
        <v>242</v>
      </c>
      <c r="E1567" s="445"/>
      <c r="F1567" s="445"/>
      <c r="G1567" s="445"/>
      <c r="H1567" s="446"/>
      <c r="I1567" s="36">
        <f>I1568</f>
        <v>196000</v>
      </c>
      <c r="J1567" s="36"/>
      <c r="K1567" s="84">
        <f t="shared" ref="K1567:K1611" si="204">J1567+I1567</f>
        <v>196000</v>
      </c>
      <c r="L1567" s="353"/>
      <c r="M1567" s="342">
        <v>0</v>
      </c>
      <c r="N1567" s="36"/>
      <c r="O1567" s="84">
        <f t="shared" ref="O1567:O1611" si="205">N1567+M1567</f>
        <v>0</v>
      </c>
      <c r="P1567" s="353"/>
      <c r="Q1567" s="342">
        <f t="shared" si="201"/>
        <v>196000</v>
      </c>
      <c r="R1567" s="36">
        <f t="shared" si="202"/>
        <v>0</v>
      </c>
      <c r="S1567" s="84">
        <f t="shared" si="203"/>
        <v>196000</v>
      </c>
    </row>
    <row r="1568" spans="2:19" x14ac:dyDescent="0.2">
      <c r="B1568" s="193">
        <f t="shared" si="200"/>
        <v>3</v>
      </c>
      <c r="C1568" s="7"/>
      <c r="D1568" s="7"/>
      <c r="E1568" s="7"/>
      <c r="F1568" s="25" t="s">
        <v>82</v>
      </c>
      <c r="G1568" s="7">
        <v>640</v>
      </c>
      <c r="H1568" s="7" t="s">
        <v>140</v>
      </c>
      <c r="I1568" s="23">
        <f>SUM(I1569:I1588)</f>
        <v>196000</v>
      </c>
      <c r="J1568" s="23"/>
      <c r="K1568" s="86">
        <f t="shared" si="204"/>
        <v>196000</v>
      </c>
      <c r="L1568" s="355"/>
      <c r="M1568" s="344"/>
      <c r="N1568" s="23"/>
      <c r="O1568" s="86">
        <f t="shared" si="205"/>
        <v>0</v>
      </c>
      <c r="P1568" s="355"/>
      <c r="Q1568" s="344">
        <f t="shared" si="201"/>
        <v>196000</v>
      </c>
      <c r="R1568" s="23">
        <f t="shared" si="202"/>
        <v>0</v>
      </c>
      <c r="S1568" s="86">
        <f t="shared" si="203"/>
        <v>196000</v>
      </c>
    </row>
    <row r="1569" spans="2:19" x14ac:dyDescent="0.2">
      <c r="B1569" s="193">
        <f t="shared" si="200"/>
        <v>4</v>
      </c>
      <c r="C1569" s="4"/>
      <c r="D1569" s="4"/>
      <c r="E1569" s="4"/>
      <c r="F1569" s="27"/>
      <c r="G1569" s="4"/>
      <c r="H1569" s="4" t="s">
        <v>347</v>
      </c>
      <c r="I1569" s="21">
        <f>5000+5000</f>
        <v>10000</v>
      </c>
      <c r="J1569" s="21"/>
      <c r="K1569" s="88">
        <f t="shared" si="204"/>
        <v>10000</v>
      </c>
      <c r="L1569" s="357"/>
      <c r="M1569" s="346"/>
      <c r="N1569" s="21"/>
      <c r="O1569" s="88">
        <f t="shared" si="205"/>
        <v>0</v>
      </c>
      <c r="P1569" s="357"/>
      <c r="Q1569" s="346">
        <f t="shared" si="201"/>
        <v>10000</v>
      </c>
      <c r="R1569" s="21">
        <f t="shared" si="202"/>
        <v>0</v>
      </c>
      <c r="S1569" s="88">
        <f t="shared" si="203"/>
        <v>10000</v>
      </c>
    </row>
    <row r="1570" spans="2:19" x14ac:dyDescent="0.2">
      <c r="B1570" s="193">
        <f t="shared" si="200"/>
        <v>5</v>
      </c>
      <c r="C1570" s="4"/>
      <c r="D1570" s="4"/>
      <c r="E1570" s="4"/>
      <c r="F1570" s="27"/>
      <c r="G1570" s="4"/>
      <c r="H1570" s="4" t="s">
        <v>348</v>
      </c>
      <c r="I1570" s="21">
        <v>5000</v>
      </c>
      <c r="J1570" s="21"/>
      <c r="K1570" s="88">
        <f t="shared" si="204"/>
        <v>5000</v>
      </c>
      <c r="L1570" s="357"/>
      <c r="M1570" s="346"/>
      <c r="N1570" s="21"/>
      <c r="O1570" s="88">
        <f t="shared" si="205"/>
        <v>0</v>
      </c>
      <c r="P1570" s="357"/>
      <c r="Q1570" s="346">
        <f t="shared" si="201"/>
        <v>5000</v>
      </c>
      <c r="R1570" s="21">
        <f t="shared" si="202"/>
        <v>0</v>
      </c>
      <c r="S1570" s="88">
        <f t="shared" si="203"/>
        <v>5000</v>
      </c>
    </row>
    <row r="1571" spans="2:19" ht="33.75" x14ac:dyDescent="0.2">
      <c r="B1571" s="193">
        <f t="shared" si="200"/>
        <v>6</v>
      </c>
      <c r="C1571" s="149"/>
      <c r="D1571" s="149"/>
      <c r="E1571" s="149"/>
      <c r="F1571" s="150"/>
      <c r="G1571" s="149"/>
      <c r="H1571" s="177" t="s">
        <v>495</v>
      </c>
      <c r="I1571" s="151">
        <v>6000</v>
      </c>
      <c r="J1571" s="151"/>
      <c r="K1571" s="152">
        <f t="shared" si="204"/>
        <v>6000</v>
      </c>
      <c r="L1571" s="366"/>
      <c r="M1571" s="369"/>
      <c r="N1571" s="151"/>
      <c r="O1571" s="152">
        <f t="shared" si="205"/>
        <v>0</v>
      </c>
      <c r="P1571" s="366"/>
      <c r="Q1571" s="369">
        <f t="shared" si="201"/>
        <v>6000</v>
      </c>
      <c r="R1571" s="151">
        <f t="shared" si="202"/>
        <v>0</v>
      </c>
      <c r="S1571" s="152">
        <f t="shared" si="203"/>
        <v>6000</v>
      </c>
    </row>
    <row r="1572" spans="2:19" x14ac:dyDescent="0.2">
      <c r="B1572" s="193">
        <f t="shared" si="200"/>
        <v>7</v>
      </c>
      <c r="C1572" s="4"/>
      <c r="D1572" s="4"/>
      <c r="E1572" s="4"/>
      <c r="F1572" s="27"/>
      <c r="G1572" s="4"/>
      <c r="H1572" s="4" t="s">
        <v>349</v>
      </c>
      <c r="I1572" s="21">
        <v>4000</v>
      </c>
      <c r="J1572" s="21"/>
      <c r="K1572" s="88">
        <f t="shared" si="204"/>
        <v>4000</v>
      </c>
      <c r="L1572" s="357"/>
      <c r="M1572" s="346"/>
      <c r="N1572" s="21"/>
      <c r="O1572" s="88">
        <f t="shared" si="205"/>
        <v>0</v>
      </c>
      <c r="P1572" s="357"/>
      <c r="Q1572" s="346">
        <f t="shared" si="201"/>
        <v>4000</v>
      </c>
      <c r="R1572" s="21">
        <f t="shared" si="202"/>
        <v>0</v>
      </c>
      <c r="S1572" s="88">
        <f t="shared" si="203"/>
        <v>4000</v>
      </c>
    </row>
    <row r="1573" spans="2:19" x14ac:dyDescent="0.2">
      <c r="B1573" s="193">
        <f t="shared" si="200"/>
        <v>8</v>
      </c>
      <c r="C1573" s="4"/>
      <c r="D1573" s="4"/>
      <c r="E1573" s="4"/>
      <c r="F1573" s="27"/>
      <c r="G1573" s="4"/>
      <c r="H1573" s="4" t="s">
        <v>436</v>
      </c>
      <c r="I1573" s="21">
        <v>4000</v>
      </c>
      <c r="J1573" s="21"/>
      <c r="K1573" s="88">
        <f t="shared" si="204"/>
        <v>4000</v>
      </c>
      <c r="L1573" s="357"/>
      <c r="M1573" s="346"/>
      <c r="N1573" s="21"/>
      <c r="O1573" s="88">
        <f t="shared" si="205"/>
        <v>0</v>
      </c>
      <c r="P1573" s="357"/>
      <c r="Q1573" s="346">
        <f t="shared" si="201"/>
        <v>4000</v>
      </c>
      <c r="R1573" s="21">
        <f t="shared" si="202"/>
        <v>0</v>
      </c>
      <c r="S1573" s="88">
        <f t="shared" si="203"/>
        <v>4000</v>
      </c>
    </row>
    <row r="1574" spans="2:19" x14ac:dyDescent="0.2">
      <c r="B1574" s="193">
        <f t="shared" si="200"/>
        <v>9</v>
      </c>
      <c r="C1574" s="4"/>
      <c r="D1574" s="4"/>
      <c r="E1574" s="4"/>
      <c r="F1574" s="27"/>
      <c r="G1574" s="4"/>
      <c r="H1574" s="4" t="s">
        <v>599</v>
      </c>
      <c r="I1574" s="21">
        <v>15000</v>
      </c>
      <c r="J1574" s="21"/>
      <c r="K1574" s="88">
        <f t="shared" si="204"/>
        <v>15000</v>
      </c>
      <c r="L1574" s="357"/>
      <c r="M1574" s="346"/>
      <c r="N1574" s="21"/>
      <c r="O1574" s="88">
        <f t="shared" si="205"/>
        <v>0</v>
      </c>
      <c r="P1574" s="357"/>
      <c r="Q1574" s="346">
        <f t="shared" si="201"/>
        <v>15000</v>
      </c>
      <c r="R1574" s="21">
        <f t="shared" si="202"/>
        <v>0</v>
      </c>
      <c r="S1574" s="88">
        <f t="shared" si="203"/>
        <v>15000</v>
      </c>
    </row>
    <row r="1575" spans="2:19" x14ac:dyDescent="0.2">
      <c r="B1575" s="193">
        <f t="shared" si="200"/>
        <v>10</v>
      </c>
      <c r="C1575" s="4"/>
      <c r="D1575" s="4"/>
      <c r="E1575" s="4"/>
      <c r="F1575" s="27"/>
      <c r="G1575" s="4"/>
      <c r="H1575" s="4" t="s">
        <v>296</v>
      </c>
      <c r="I1575" s="21">
        <f>50000-1500+2000+26600-3000-3000</f>
        <v>71100</v>
      </c>
      <c r="J1575" s="21"/>
      <c r="K1575" s="88">
        <f t="shared" si="204"/>
        <v>71100</v>
      </c>
      <c r="L1575" s="357"/>
      <c r="M1575" s="346"/>
      <c r="N1575" s="21"/>
      <c r="O1575" s="88">
        <f t="shared" si="205"/>
        <v>0</v>
      </c>
      <c r="P1575" s="357"/>
      <c r="Q1575" s="346">
        <f t="shared" si="201"/>
        <v>71100</v>
      </c>
      <c r="R1575" s="21">
        <f t="shared" si="202"/>
        <v>0</v>
      </c>
      <c r="S1575" s="88">
        <f t="shared" si="203"/>
        <v>71100</v>
      </c>
    </row>
    <row r="1576" spans="2:19" x14ac:dyDescent="0.2">
      <c r="B1576" s="193">
        <f t="shared" si="200"/>
        <v>11</v>
      </c>
      <c r="C1576" s="4"/>
      <c r="D1576" s="4"/>
      <c r="E1576" s="4"/>
      <c r="F1576" s="27"/>
      <c r="G1576" s="4"/>
      <c r="H1576" s="4" t="s">
        <v>345</v>
      </c>
      <c r="I1576" s="21">
        <v>20000</v>
      </c>
      <c r="J1576" s="21"/>
      <c r="K1576" s="88">
        <f t="shared" si="204"/>
        <v>20000</v>
      </c>
      <c r="L1576" s="357"/>
      <c r="M1576" s="346"/>
      <c r="N1576" s="21"/>
      <c r="O1576" s="88">
        <f t="shared" si="205"/>
        <v>0</v>
      </c>
      <c r="P1576" s="357"/>
      <c r="Q1576" s="346">
        <f t="shared" si="201"/>
        <v>20000</v>
      </c>
      <c r="R1576" s="21">
        <f t="shared" si="202"/>
        <v>0</v>
      </c>
      <c r="S1576" s="88">
        <f t="shared" si="203"/>
        <v>20000</v>
      </c>
    </row>
    <row r="1577" spans="2:19" x14ac:dyDescent="0.2">
      <c r="B1577" s="193">
        <f t="shared" si="200"/>
        <v>12</v>
      </c>
      <c r="C1577" s="4"/>
      <c r="D1577" s="4"/>
      <c r="E1577" s="4"/>
      <c r="F1577" s="27"/>
      <c r="G1577" s="4"/>
      <c r="H1577" s="4" t="s">
        <v>489</v>
      </c>
      <c r="I1577" s="21">
        <v>20000</v>
      </c>
      <c r="J1577" s="21"/>
      <c r="K1577" s="88">
        <f t="shared" si="204"/>
        <v>20000</v>
      </c>
      <c r="L1577" s="357"/>
      <c r="M1577" s="346"/>
      <c r="N1577" s="21"/>
      <c r="O1577" s="88">
        <f t="shared" si="205"/>
        <v>0</v>
      </c>
      <c r="P1577" s="357"/>
      <c r="Q1577" s="346">
        <f t="shared" si="201"/>
        <v>20000</v>
      </c>
      <c r="R1577" s="21">
        <f t="shared" si="202"/>
        <v>0</v>
      </c>
      <c r="S1577" s="88">
        <f t="shared" si="203"/>
        <v>20000</v>
      </c>
    </row>
    <row r="1578" spans="2:19" x14ac:dyDescent="0.2">
      <c r="B1578" s="193">
        <f t="shared" si="200"/>
        <v>13</v>
      </c>
      <c r="C1578" s="4"/>
      <c r="D1578" s="4"/>
      <c r="E1578" s="4"/>
      <c r="F1578" s="27"/>
      <c r="G1578" s="4"/>
      <c r="H1578" s="13" t="s">
        <v>555</v>
      </c>
      <c r="I1578" s="21">
        <v>1000</v>
      </c>
      <c r="J1578" s="21"/>
      <c r="K1578" s="88">
        <f t="shared" si="204"/>
        <v>1000</v>
      </c>
      <c r="L1578" s="357"/>
      <c r="M1578" s="346"/>
      <c r="N1578" s="21"/>
      <c r="O1578" s="88">
        <f t="shared" si="205"/>
        <v>0</v>
      </c>
      <c r="P1578" s="357"/>
      <c r="Q1578" s="346">
        <f t="shared" si="201"/>
        <v>1000</v>
      </c>
      <c r="R1578" s="21">
        <f t="shared" si="202"/>
        <v>0</v>
      </c>
      <c r="S1578" s="88">
        <f t="shared" si="203"/>
        <v>1000</v>
      </c>
    </row>
    <row r="1579" spans="2:19" x14ac:dyDescent="0.2">
      <c r="B1579" s="193">
        <f t="shared" si="200"/>
        <v>14</v>
      </c>
      <c r="C1579" s="4"/>
      <c r="D1579" s="4"/>
      <c r="E1579" s="4"/>
      <c r="F1579" s="27"/>
      <c r="G1579" s="4"/>
      <c r="H1579" s="13" t="s">
        <v>566</v>
      </c>
      <c r="I1579" s="21">
        <v>4500</v>
      </c>
      <c r="J1579" s="21"/>
      <c r="K1579" s="88">
        <f t="shared" si="204"/>
        <v>4500</v>
      </c>
      <c r="L1579" s="357"/>
      <c r="M1579" s="346"/>
      <c r="N1579" s="21"/>
      <c r="O1579" s="88">
        <f t="shared" si="205"/>
        <v>0</v>
      </c>
      <c r="P1579" s="357"/>
      <c r="Q1579" s="346">
        <f t="shared" si="201"/>
        <v>4500</v>
      </c>
      <c r="R1579" s="21">
        <f t="shared" si="202"/>
        <v>0</v>
      </c>
      <c r="S1579" s="88">
        <f t="shared" si="203"/>
        <v>4500</v>
      </c>
    </row>
    <row r="1580" spans="2:19" ht="22.5" x14ac:dyDescent="0.2">
      <c r="B1580" s="193">
        <f t="shared" si="200"/>
        <v>15</v>
      </c>
      <c r="C1580" s="149"/>
      <c r="D1580" s="149"/>
      <c r="E1580" s="149"/>
      <c r="F1580" s="150"/>
      <c r="G1580" s="149"/>
      <c r="H1580" s="154" t="s">
        <v>567</v>
      </c>
      <c r="I1580" s="151">
        <f>4000+1500</f>
        <v>5500</v>
      </c>
      <c r="J1580" s="151"/>
      <c r="K1580" s="152">
        <f t="shared" si="204"/>
        <v>5500</v>
      </c>
      <c r="L1580" s="366"/>
      <c r="M1580" s="369"/>
      <c r="N1580" s="151"/>
      <c r="O1580" s="152">
        <f t="shared" si="205"/>
        <v>0</v>
      </c>
      <c r="P1580" s="366"/>
      <c r="Q1580" s="369">
        <f t="shared" si="201"/>
        <v>5500</v>
      </c>
      <c r="R1580" s="151">
        <f t="shared" si="202"/>
        <v>0</v>
      </c>
      <c r="S1580" s="152">
        <f t="shared" si="203"/>
        <v>5500</v>
      </c>
    </row>
    <row r="1581" spans="2:19" x14ac:dyDescent="0.2">
      <c r="B1581" s="193">
        <f t="shared" si="200"/>
        <v>16</v>
      </c>
      <c r="C1581" s="4"/>
      <c r="D1581" s="4"/>
      <c r="E1581" s="4"/>
      <c r="F1581" s="27"/>
      <c r="G1581" s="4"/>
      <c r="H1581" s="13" t="s">
        <v>568</v>
      </c>
      <c r="I1581" s="21">
        <v>3900</v>
      </c>
      <c r="J1581" s="21"/>
      <c r="K1581" s="88">
        <f t="shared" si="204"/>
        <v>3900</v>
      </c>
      <c r="L1581" s="357"/>
      <c r="M1581" s="346"/>
      <c r="N1581" s="21"/>
      <c r="O1581" s="88">
        <f t="shared" si="205"/>
        <v>0</v>
      </c>
      <c r="P1581" s="357"/>
      <c r="Q1581" s="346">
        <f t="shared" si="201"/>
        <v>3900</v>
      </c>
      <c r="R1581" s="21">
        <f t="shared" si="202"/>
        <v>0</v>
      </c>
      <c r="S1581" s="88">
        <f t="shared" si="203"/>
        <v>3900</v>
      </c>
    </row>
    <row r="1582" spans="2:19" ht="22.5" x14ac:dyDescent="0.2">
      <c r="B1582" s="193">
        <f t="shared" si="200"/>
        <v>17</v>
      </c>
      <c r="C1582" s="149"/>
      <c r="D1582" s="149"/>
      <c r="E1582" s="149"/>
      <c r="F1582" s="150"/>
      <c r="G1582" s="149"/>
      <c r="H1582" s="154" t="s">
        <v>569</v>
      </c>
      <c r="I1582" s="151">
        <v>4000</v>
      </c>
      <c r="J1582" s="151"/>
      <c r="K1582" s="152">
        <f t="shared" si="204"/>
        <v>4000</v>
      </c>
      <c r="L1582" s="366"/>
      <c r="M1582" s="369"/>
      <c r="N1582" s="151"/>
      <c r="O1582" s="152">
        <f t="shared" si="205"/>
        <v>0</v>
      </c>
      <c r="P1582" s="366"/>
      <c r="Q1582" s="369">
        <f t="shared" si="201"/>
        <v>4000</v>
      </c>
      <c r="R1582" s="151">
        <f t="shared" si="202"/>
        <v>0</v>
      </c>
      <c r="S1582" s="152">
        <f t="shared" si="203"/>
        <v>4000</v>
      </c>
    </row>
    <row r="1583" spans="2:19" x14ac:dyDescent="0.2">
      <c r="B1583" s="193">
        <f t="shared" si="200"/>
        <v>18</v>
      </c>
      <c r="C1583" s="149"/>
      <c r="D1583" s="149"/>
      <c r="E1583" s="149"/>
      <c r="F1583" s="150"/>
      <c r="G1583" s="149"/>
      <c r="H1583" s="154" t="s">
        <v>602</v>
      </c>
      <c r="I1583" s="151">
        <v>4000</v>
      </c>
      <c r="J1583" s="151"/>
      <c r="K1583" s="152">
        <f t="shared" si="204"/>
        <v>4000</v>
      </c>
      <c r="L1583" s="366"/>
      <c r="M1583" s="369"/>
      <c r="N1583" s="151"/>
      <c r="O1583" s="152">
        <f t="shared" si="205"/>
        <v>0</v>
      </c>
      <c r="P1583" s="366"/>
      <c r="Q1583" s="369">
        <f t="shared" si="201"/>
        <v>4000</v>
      </c>
      <c r="R1583" s="151">
        <f t="shared" si="202"/>
        <v>0</v>
      </c>
      <c r="S1583" s="152">
        <f t="shared" si="203"/>
        <v>4000</v>
      </c>
    </row>
    <row r="1584" spans="2:19" ht="22.5" x14ac:dyDescent="0.2">
      <c r="B1584" s="193">
        <f t="shared" si="200"/>
        <v>19</v>
      </c>
      <c r="C1584" s="149"/>
      <c r="D1584" s="149"/>
      <c r="E1584" s="149"/>
      <c r="F1584" s="150"/>
      <c r="G1584" s="149"/>
      <c r="H1584" s="154" t="s">
        <v>615</v>
      </c>
      <c r="I1584" s="151">
        <v>7000</v>
      </c>
      <c r="J1584" s="151"/>
      <c r="K1584" s="152">
        <f t="shared" si="204"/>
        <v>7000</v>
      </c>
      <c r="L1584" s="366"/>
      <c r="M1584" s="369"/>
      <c r="N1584" s="151"/>
      <c r="O1584" s="152">
        <f t="shared" si="205"/>
        <v>0</v>
      </c>
      <c r="P1584" s="366"/>
      <c r="Q1584" s="369">
        <f t="shared" si="201"/>
        <v>7000</v>
      </c>
      <c r="R1584" s="151">
        <f t="shared" si="202"/>
        <v>0</v>
      </c>
      <c r="S1584" s="152">
        <f t="shared" si="203"/>
        <v>7000</v>
      </c>
    </row>
    <row r="1585" spans="2:19" ht="22.5" x14ac:dyDescent="0.2">
      <c r="B1585" s="193">
        <f t="shared" si="200"/>
        <v>20</v>
      </c>
      <c r="C1585" s="149"/>
      <c r="D1585" s="149"/>
      <c r="E1585" s="149"/>
      <c r="F1585" s="150"/>
      <c r="G1585" s="149"/>
      <c r="H1585" s="154" t="s">
        <v>616</v>
      </c>
      <c r="I1585" s="151">
        <v>7000</v>
      </c>
      <c r="J1585" s="151"/>
      <c r="K1585" s="152">
        <f t="shared" si="204"/>
        <v>7000</v>
      </c>
      <c r="L1585" s="366"/>
      <c r="M1585" s="369"/>
      <c r="N1585" s="151"/>
      <c r="O1585" s="152">
        <f t="shared" si="205"/>
        <v>0</v>
      </c>
      <c r="P1585" s="366"/>
      <c r="Q1585" s="369">
        <f t="shared" si="201"/>
        <v>7000</v>
      </c>
      <c r="R1585" s="151">
        <f t="shared" si="202"/>
        <v>0</v>
      </c>
      <c r="S1585" s="152">
        <f t="shared" si="203"/>
        <v>7000</v>
      </c>
    </row>
    <row r="1586" spans="2:19" x14ac:dyDescent="0.2">
      <c r="B1586" s="193">
        <f t="shared" si="200"/>
        <v>21</v>
      </c>
      <c r="C1586" s="149"/>
      <c r="D1586" s="149"/>
      <c r="E1586" s="149"/>
      <c r="F1586" s="150"/>
      <c r="G1586" s="149"/>
      <c r="H1586" s="154" t="s">
        <v>628</v>
      </c>
      <c r="I1586" s="151">
        <v>1500</v>
      </c>
      <c r="J1586" s="151"/>
      <c r="K1586" s="152">
        <f t="shared" si="204"/>
        <v>1500</v>
      </c>
      <c r="L1586" s="366"/>
      <c r="M1586" s="369"/>
      <c r="N1586" s="151"/>
      <c r="O1586" s="152">
        <f t="shared" si="205"/>
        <v>0</v>
      </c>
      <c r="P1586" s="366"/>
      <c r="Q1586" s="369">
        <f t="shared" si="201"/>
        <v>1500</v>
      </c>
      <c r="R1586" s="151">
        <f t="shared" si="202"/>
        <v>0</v>
      </c>
      <c r="S1586" s="152">
        <f t="shared" si="203"/>
        <v>1500</v>
      </c>
    </row>
    <row r="1587" spans="2:19" ht="22.5" x14ac:dyDescent="0.2">
      <c r="B1587" s="193">
        <f t="shared" si="200"/>
        <v>22</v>
      </c>
      <c r="C1587" s="149"/>
      <c r="D1587" s="149"/>
      <c r="E1587" s="149"/>
      <c r="F1587" s="150"/>
      <c r="G1587" s="149"/>
      <c r="H1587" s="154" t="s">
        <v>630</v>
      </c>
      <c r="I1587" s="151">
        <v>1500</v>
      </c>
      <c r="J1587" s="151"/>
      <c r="K1587" s="152">
        <f t="shared" si="204"/>
        <v>1500</v>
      </c>
      <c r="L1587" s="366"/>
      <c r="M1587" s="369"/>
      <c r="N1587" s="151"/>
      <c r="O1587" s="152">
        <f t="shared" si="205"/>
        <v>0</v>
      </c>
      <c r="P1587" s="366"/>
      <c r="Q1587" s="369">
        <f t="shared" si="201"/>
        <v>1500</v>
      </c>
      <c r="R1587" s="151">
        <f t="shared" si="202"/>
        <v>0</v>
      </c>
      <c r="S1587" s="152">
        <f t="shared" si="203"/>
        <v>1500</v>
      </c>
    </row>
    <row r="1588" spans="2:19" x14ac:dyDescent="0.2">
      <c r="B1588" s="193">
        <f t="shared" si="200"/>
        <v>23</v>
      </c>
      <c r="C1588" s="149"/>
      <c r="D1588" s="149"/>
      <c r="E1588" s="149"/>
      <c r="F1588" s="150"/>
      <c r="G1588" s="149"/>
      <c r="H1588" s="154" t="s">
        <v>659</v>
      </c>
      <c r="I1588" s="151">
        <v>1000</v>
      </c>
      <c r="J1588" s="151"/>
      <c r="K1588" s="152">
        <f t="shared" si="204"/>
        <v>1000</v>
      </c>
      <c r="L1588" s="366"/>
      <c r="M1588" s="369"/>
      <c r="N1588" s="151"/>
      <c r="O1588" s="152">
        <f t="shared" si="205"/>
        <v>0</v>
      </c>
      <c r="P1588" s="366"/>
      <c r="Q1588" s="369">
        <f t="shared" si="201"/>
        <v>1000</v>
      </c>
      <c r="R1588" s="151">
        <f t="shared" si="202"/>
        <v>0</v>
      </c>
      <c r="S1588" s="152">
        <f t="shared" si="203"/>
        <v>1000</v>
      </c>
    </row>
    <row r="1589" spans="2:19" ht="15" x14ac:dyDescent="0.2">
      <c r="B1589" s="193">
        <f t="shared" si="200"/>
        <v>24</v>
      </c>
      <c r="C1589" s="239">
        <v>2</v>
      </c>
      <c r="D1589" s="444" t="s">
        <v>184</v>
      </c>
      <c r="E1589" s="445"/>
      <c r="F1589" s="445"/>
      <c r="G1589" s="445"/>
      <c r="H1589" s="446"/>
      <c r="I1589" s="36">
        <f>I1590</f>
        <v>173600</v>
      </c>
      <c r="J1589" s="36"/>
      <c r="K1589" s="84">
        <f t="shared" si="204"/>
        <v>173600</v>
      </c>
      <c r="L1589" s="353"/>
      <c r="M1589" s="342">
        <v>0</v>
      </c>
      <c r="N1589" s="36"/>
      <c r="O1589" s="84">
        <f t="shared" si="205"/>
        <v>0</v>
      </c>
      <c r="P1589" s="353"/>
      <c r="Q1589" s="342">
        <f t="shared" si="201"/>
        <v>173600</v>
      </c>
      <c r="R1589" s="36">
        <f t="shared" si="202"/>
        <v>0</v>
      </c>
      <c r="S1589" s="84">
        <f t="shared" si="203"/>
        <v>173600</v>
      </c>
    </row>
    <row r="1590" spans="2:19" x14ac:dyDescent="0.2">
      <c r="B1590" s="193">
        <f t="shared" si="200"/>
        <v>25</v>
      </c>
      <c r="C1590" s="7"/>
      <c r="D1590" s="7"/>
      <c r="E1590" s="7"/>
      <c r="F1590" s="25" t="s">
        <v>82</v>
      </c>
      <c r="G1590" s="7">
        <v>630</v>
      </c>
      <c r="H1590" s="7" t="s">
        <v>132</v>
      </c>
      <c r="I1590" s="23">
        <f>I1593+I1592+I1591</f>
        <v>173600</v>
      </c>
      <c r="J1590" s="23"/>
      <c r="K1590" s="86">
        <f t="shared" si="204"/>
        <v>173600</v>
      </c>
      <c r="L1590" s="355"/>
      <c r="M1590" s="344"/>
      <c r="N1590" s="23"/>
      <c r="O1590" s="86">
        <f t="shared" si="205"/>
        <v>0</v>
      </c>
      <c r="P1590" s="355"/>
      <c r="Q1590" s="344">
        <f t="shared" si="201"/>
        <v>173600</v>
      </c>
      <c r="R1590" s="23">
        <f t="shared" si="202"/>
        <v>0</v>
      </c>
      <c r="S1590" s="86">
        <f t="shared" si="203"/>
        <v>173600</v>
      </c>
    </row>
    <row r="1591" spans="2:19" x14ac:dyDescent="0.2">
      <c r="B1591" s="193">
        <f t="shared" si="200"/>
        <v>26</v>
      </c>
      <c r="C1591" s="3"/>
      <c r="D1591" s="3"/>
      <c r="E1591" s="3"/>
      <c r="F1591" s="26" t="s">
        <v>82</v>
      </c>
      <c r="G1591" s="3">
        <v>633</v>
      </c>
      <c r="H1591" s="3" t="s">
        <v>136</v>
      </c>
      <c r="I1591" s="19">
        <f>3600+3300</f>
        <v>6900</v>
      </c>
      <c r="J1591" s="19"/>
      <c r="K1591" s="87">
        <f t="shared" si="204"/>
        <v>6900</v>
      </c>
      <c r="L1591" s="356"/>
      <c r="M1591" s="345"/>
      <c r="N1591" s="19"/>
      <c r="O1591" s="87">
        <f t="shared" si="205"/>
        <v>0</v>
      </c>
      <c r="P1591" s="356"/>
      <c r="Q1591" s="345">
        <f t="shared" si="201"/>
        <v>6900</v>
      </c>
      <c r="R1591" s="19">
        <f t="shared" si="202"/>
        <v>0</v>
      </c>
      <c r="S1591" s="87">
        <f t="shared" si="203"/>
        <v>6900</v>
      </c>
    </row>
    <row r="1592" spans="2:19" x14ac:dyDescent="0.2">
      <c r="B1592" s="193">
        <f t="shared" si="200"/>
        <v>27</v>
      </c>
      <c r="C1592" s="3"/>
      <c r="D1592" s="3"/>
      <c r="E1592" s="3"/>
      <c r="F1592" s="26" t="s">
        <v>82</v>
      </c>
      <c r="G1592" s="3">
        <v>636</v>
      </c>
      <c r="H1592" s="3" t="s">
        <v>137</v>
      </c>
      <c r="I1592" s="19">
        <f>1000+15000-4700</f>
        <v>11300</v>
      </c>
      <c r="J1592" s="19"/>
      <c r="K1592" s="87">
        <f t="shared" si="204"/>
        <v>11300</v>
      </c>
      <c r="L1592" s="356"/>
      <c r="M1592" s="345"/>
      <c r="N1592" s="19"/>
      <c r="O1592" s="87">
        <f t="shared" si="205"/>
        <v>0</v>
      </c>
      <c r="P1592" s="356"/>
      <c r="Q1592" s="345">
        <f t="shared" si="201"/>
        <v>11300</v>
      </c>
      <c r="R1592" s="19">
        <f t="shared" si="202"/>
        <v>0</v>
      </c>
      <c r="S1592" s="87">
        <f t="shared" si="203"/>
        <v>11300</v>
      </c>
    </row>
    <row r="1593" spans="2:19" x14ac:dyDescent="0.2">
      <c r="B1593" s="193">
        <f t="shared" si="200"/>
        <v>28</v>
      </c>
      <c r="C1593" s="3"/>
      <c r="D1593" s="3"/>
      <c r="E1593" s="3"/>
      <c r="F1593" s="26" t="s">
        <v>82</v>
      </c>
      <c r="G1593" s="3">
        <v>637</v>
      </c>
      <c r="H1593" s="3" t="s">
        <v>133</v>
      </c>
      <c r="I1593" s="19">
        <f>147000-15000+18200+500+4700</f>
        <v>155400</v>
      </c>
      <c r="J1593" s="19"/>
      <c r="K1593" s="87">
        <f t="shared" si="204"/>
        <v>155400</v>
      </c>
      <c r="L1593" s="356"/>
      <c r="M1593" s="345"/>
      <c r="N1593" s="19"/>
      <c r="O1593" s="87">
        <f t="shared" si="205"/>
        <v>0</v>
      </c>
      <c r="P1593" s="356"/>
      <c r="Q1593" s="345">
        <f t="shared" si="201"/>
        <v>155400</v>
      </c>
      <c r="R1593" s="19">
        <f t="shared" si="202"/>
        <v>0</v>
      </c>
      <c r="S1593" s="87">
        <f t="shared" si="203"/>
        <v>155400</v>
      </c>
    </row>
    <row r="1594" spans="2:19" ht="15" x14ac:dyDescent="0.2">
      <c r="B1594" s="193">
        <f t="shared" si="200"/>
        <v>29</v>
      </c>
      <c r="C1594" s="239">
        <v>3</v>
      </c>
      <c r="D1594" s="444" t="s">
        <v>148</v>
      </c>
      <c r="E1594" s="445"/>
      <c r="F1594" s="445"/>
      <c r="G1594" s="445"/>
      <c r="H1594" s="446"/>
      <c r="I1594" s="36">
        <f>I1595+I1596+I1601+I1606</f>
        <v>182020</v>
      </c>
      <c r="J1594" s="36">
        <f>J1595+J1596+J1601+J1606</f>
        <v>0</v>
      </c>
      <c r="K1594" s="84">
        <f t="shared" si="204"/>
        <v>182020</v>
      </c>
      <c r="L1594" s="353"/>
      <c r="M1594" s="342">
        <f>M1601</f>
        <v>49000</v>
      </c>
      <c r="N1594" s="36"/>
      <c r="O1594" s="84">
        <f t="shared" si="205"/>
        <v>49000</v>
      </c>
      <c r="P1594" s="353"/>
      <c r="Q1594" s="342">
        <f t="shared" si="201"/>
        <v>231020</v>
      </c>
      <c r="R1594" s="36">
        <f t="shared" si="202"/>
        <v>0</v>
      </c>
      <c r="S1594" s="84">
        <f t="shared" si="203"/>
        <v>231020</v>
      </c>
    </row>
    <row r="1595" spans="2:19" x14ac:dyDescent="0.2">
      <c r="B1595" s="193">
        <f t="shared" si="200"/>
        <v>30</v>
      </c>
      <c r="C1595" s="7"/>
      <c r="D1595" s="7"/>
      <c r="E1595" s="7"/>
      <c r="F1595" s="25" t="s">
        <v>82</v>
      </c>
      <c r="G1595" s="7">
        <v>620</v>
      </c>
      <c r="H1595" s="7" t="s">
        <v>135</v>
      </c>
      <c r="I1595" s="23">
        <v>3050</v>
      </c>
      <c r="J1595" s="23">
        <v>450</v>
      </c>
      <c r="K1595" s="86">
        <f t="shared" si="204"/>
        <v>3500</v>
      </c>
      <c r="L1595" s="355"/>
      <c r="M1595" s="344"/>
      <c r="N1595" s="23"/>
      <c r="O1595" s="86">
        <f t="shared" si="205"/>
        <v>0</v>
      </c>
      <c r="P1595" s="355"/>
      <c r="Q1595" s="344">
        <f t="shared" si="201"/>
        <v>3050</v>
      </c>
      <c r="R1595" s="23">
        <f t="shared" si="202"/>
        <v>450</v>
      </c>
      <c r="S1595" s="86">
        <f t="shared" si="203"/>
        <v>3500</v>
      </c>
    </row>
    <row r="1596" spans="2:19" x14ac:dyDescent="0.2">
      <c r="B1596" s="193">
        <f t="shared" si="200"/>
        <v>31</v>
      </c>
      <c r="C1596" s="7"/>
      <c r="D1596" s="7"/>
      <c r="E1596" s="7"/>
      <c r="F1596" s="25" t="s">
        <v>82</v>
      </c>
      <c r="G1596" s="7">
        <v>630</v>
      </c>
      <c r="H1596" s="7" t="s">
        <v>132</v>
      </c>
      <c r="I1596" s="23">
        <f>I1600+I1599+I1598+I1597</f>
        <v>164970</v>
      </c>
      <c r="J1596" s="23">
        <f>J1600+J1599+J1598+J1597</f>
        <v>-450</v>
      </c>
      <c r="K1596" s="86">
        <f t="shared" si="204"/>
        <v>164520</v>
      </c>
      <c r="L1596" s="355"/>
      <c r="M1596" s="344"/>
      <c r="N1596" s="23"/>
      <c r="O1596" s="86">
        <f t="shared" si="205"/>
        <v>0</v>
      </c>
      <c r="P1596" s="355"/>
      <c r="Q1596" s="344">
        <f t="shared" si="201"/>
        <v>164970</v>
      </c>
      <c r="R1596" s="23">
        <f t="shared" si="202"/>
        <v>-450</v>
      </c>
      <c r="S1596" s="86">
        <f t="shared" si="203"/>
        <v>164520</v>
      </c>
    </row>
    <row r="1597" spans="2:19" x14ac:dyDescent="0.2">
      <c r="B1597" s="193">
        <f t="shared" si="200"/>
        <v>32</v>
      </c>
      <c r="C1597" s="3"/>
      <c r="D1597" s="3"/>
      <c r="E1597" s="3"/>
      <c r="F1597" s="26" t="s">
        <v>82</v>
      </c>
      <c r="G1597" s="3">
        <v>632</v>
      </c>
      <c r="H1597" s="3" t="s">
        <v>145</v>
      </c>
      <c r="I1597" s="19">
        <f>9300+121000-5000</f>
        <v>125300</v>
      </c>
      <c r="J1597" s="19"/>
      <c r="K1597" s="87">
        <f t="shared" si="204"/>
        <v>125300</v>
      </c>
      <c r="L1597" s="356"/>
      <c r="M1597" s="345"/>
      <c r="N1597" s="19"/>
      <c r="O1597" s="87">
        <f t="shared" si="205"/>
        <v>0</v>
      </c>
      <c r="P1597" s="356"/>
      <c r="Q1597" s="345">
        <f t="shared" si="201"/>
        <v>125300</v>
      </c>
      <c r="R1597" s="19">
        <f t="shared" si="202"/>
        <v>0</v>
      </c>
      <c r="S1597" s="87">
        <f t="shared" si="203"/>
        <v>125300</v>
      </c>
    </row>
    <row r="1598" spans="2:19" x14ac:dyDescent="0.2">
      <c r="B1598" s="193">
        <f t="shared" si="200"/>
        <v>33</v>
      </c>
      <c r="C1598" s="3"/>
      <c r="D1598" s="3"/>
      <c r="E1598" s="3"/>
      <c r="F1598" s="26" t="s">
        <v>82</v>
      </c>
      <c r="G1598" s="3">
        <v>633</v>
      </c>
      <c r="H1598" s="3" t="s">
        <v>136</v>
      </c>
      <c r="I1598" s="19">
        <f>5500+3500+3200</f>
        <v>12200</v>
      </c>
      <c r="J1598" s="19"/>
      <c r="K1598" s="87">
        <f t="shared" si="204"/>
        <v>12200</v>
      </c>
      <c r="L1598" s="356"/>
      <c r="M1598" s="345"/>
      <c r="N1598" s="19"/>
      <c r="O1598" s="87">
        <f t="shared" si="205"/>
        <v>0</v>
      </c>
      <c r="P1598" s="356"/>
      <c r="Q1598" s="345">
        <f t="shared" si="201"/>
        <v>12200</v>
      </c>
      <c r="R1598" s="19">
        <f t="shared" si="202"/>
        <v>0</v>
      </c>
      <c r="S1598" s="87">
        <f t="shared" si="203"/>
        <v>12200</v>
      </c>
    </row>
    <row r="1599" spans="2:19" x14ac:dyDescent="0.2">
      <c r="B1599" s="193">
        <f t="shared" si="200"/>
        <v>34</v>
      </c>
      <c r="C1599" s="3"/>
      <c r="D1599" s="3"/>
      <c r="E1599" s="3"/>
      <c r="F1599" s="26" t="s">
        <v>82</v>
      </c>
      <c r="G1599" s="3">
        <v>635</v>
      </c>
      <c r="H1599" s="3" t="s">
        <v>144</v>
      </c>
      <c r="I1599" s="19">
        <v>8000</v>
      </c>
      <c r="J1599" s="19"/>
      <c r="K1599" s="87">
        <f t="shared" si="204"/>
        <v>8000</v>
      </c>
      <c r="L1599" s="356"/>
      <c r="M1599" s="345"/>
      <c r="N1599" s="19"/>
      <c r="O1599" s="87">
        <f t="shared" si="205"/>
        <v>0</v>
      </c>
      <c r="P1599" s="356"/>
      <c r="Q1599" s="345">
        <f t="shared" si="201"/>
        <v>8000</v>
      </c>
      <c r="R1599" s="19">
        <f t="shared" si="202"/>
        <v>0</v>
      </c>
      <c r="S1599" s="87">
        <f t="shared" si="203"/>
        <v>8000</v>
      </c>
    </row>
    <row r="1600" spans="2:19" x14ac:dyDescent="0.2">
      <c r="B1600" s="193">
        <f t="shared" si="200"/>
        <v>35</v>
      </c>
      <c r="C1600" s="3"/>
      <c r="D1600" s="3"/>
      <c r="E1600" s="3"/>
      <c r="F1600" s="26" t="s">
        <v>82</v>
      </c>
      <c r="G1600" s="3">
        <v>637</v>
      </c>
      <c r="H1600" s="3" t="s">
        <v>133</v>
      </c>
      <c r="I1600" s="19">
        <f>14470+5000</f>
        <v>19470</v>
      </c>
      <c r="J1600" s="19">
        <v>-450</v>
      </c>
      <c r="K1600" s="87">
        <f t="shared" si="204"/>
        <v>19020</v>
      </c>
      <c r="L1600" s="356"/>
      <c r="M1600" s="345"/>
      <c r="N1600" s="19"/>
      <c r="O1600" s="87">
        <f t="shared" si="205"/>
        <v>0</v>
      </c>
      <c r="P1600" s="356"/>
      <c r="Q1600" s="345">
        <f t="shared" si="201"/>
        <v>19470</v>
      </c>
      <c r="R1600" s="19">
        <f t="shared" si="202"/>
        <v>-450</v>
      </c>
      <c r="S1600" s="87">
        <f t="shared" si="203"/>
        <v>19020</v>
      </c>
    </row>
    <row r="1601" spans="2:19" x14ac:dyDescent="0.2">
      <c r="B1601" s="193">
        <f t="shared" si="200"/>
        <v>36</v>
      </c>
      <c r="C1601" s="7"/>
      <c r="D1601" s="7"/>
      <c r="E1601" s="7"/>
      <c r="F1601" s="25" t="s">
        <v>82</v>
      </c>
      <c r="G1601" s="7">
        <v>710</v>
      </c>
      <c r="H1601" s="7" t="s">
        <v>187</v>
      </c>
      <c r="I1601" s="23"/>
      <c r="J1601" s="23"/>
      <c r="K1601" s="86">
        <f t="shared" si="204"/>
        <v>0</v>
      </c>
      <c r="L1601" s="355"/>
      <c r="M1601" s="344">
        <f>M1603+M1602</f>
        <v>49000</v>
      </c>
      <c r="N1601" s="23"/>
      <c r="O1601" s="86">
        <f t="shared" si="205"/>
        <v>49000</v>
      </c>
      <c r="P1601" s="355"/>
      <c r="Q1601" s="344">
        <f t="shared" si="201"/>
        <v>49000</v>
      </c>
      <c r="R1601" s="23">
        <f t="shared" si="202"/>
        <v>0</v>
      </c>
      <c r="S1601" s="86">
        <f t="shared" si="203"/>
        <v>49000</v>
      </c>
    </row>
    <row r="1602" spans="2:19" x14ac:dyDescent="0.2">
      <c r="B1602" s="193">
        <f t="shared" si="200"/>
        <v>37</v>
      </c>
      <c r="C1602" s="7"/>
      <c r="D1602" s="7"/>
      <c r="E1602" s="7"/>
      <c r="F1602" s="179"/>
      <c r="G1602" s="51">
        <v>716</v>
      </c>
      <c r="H1602" s="51" t="s">
        <v>557</v>
      </c>
      <c r="I1602" s="20"/>
      <c r="J1602" s="20"/>
      <c r="K1602" s="123">
        <f t="shared" si="204"/>
        <v>0</v>
      </c>
      <c r="L1602" s="356"/>
      <c r="M1602" s="363">
        <v>24000</v>
      </c>
      <c r="N1602" s="20"/>
      <c r="O1602" s="123">
        <f t="shared" si="205"/>
        <v>24000</v>
      </c>
      <c r="P1602" s="356"/>
      <c r="Q1602" s="363">
        <f>M1602</f>
        <v>24000</v>
      </c>
      <c r="R1602" s="20">
        <f t="shared" ref="R1602:S1602" si="206">N1602</f>
        <v>0</v>
      </c>
      <c r="S1602" s="123">
        <f t="shared" si="206"/>
        <v>24000</v>
      </c>
    </row>
    <row r="1603" spans="2:19" x14ac:dyDescent="0.2">
      <c r="B1603" s="193">
        <f t="shared" si="200"/>
        <v>38</v>
      </c>
      <c r="C1603" s="3"/>
      <c r="D1603" s="3"/>
      <c r="E1603" s="3"/>
      <c r="F1603" s="26" t="s">
        <v>82</v>
      </c>
      <c r="G1603" s="3">
        <v>717</v>
      </c>
      <c r="H1603" s="3" t="s">
        <v>197</v>
      </c>
      <c r="I1603" s="19"/>
      <c r="J1603" s="19"/>
      <c r="K1603" s="87">
        <f t="shared" si="204"/>
        <v>0</v>
      </c>
      <c r="L1603" s="356"/>
      <c r="M1603" s="345">
        <f>M1604+M1605</f>
        <v>25000</v>
      </c>
      <c r="N1603" s="19"/>
      <c r="O1603" s="87">
        <f t="shared" si="205"/>
        <v>25000</v>
      </c>
      <c r="P1603" s="356"/>
      <c r="Q1603" s="345">
        <f t="shared" si="201"/>
        <v>25000</v>
      </c>
      <c r="R1603" s="19">
        <f t="shared" ref="R1603:R1611" si="207">J1603+N1603</f>
        <v>0</v>
      </c>
      <c r="S1603" s="87">
        <f t="shared" ref="S1603:S1611" si="208">K1603+O1603</f>
        <v>25000</v>
      </c>
    </row>
    <row r="1604" spans="2:19" x14ac:dyDescent="0.2">
      <c r="B1604" s="193">
        <f t="shared" si="200"/>
        <v>39</v>
      </c>
      <c r="C1604" s="4"/>
      <c r="D1604" s="4"/>
      <c r="E1604" s="4"/>
      <c r="F1604" s="27"/>
      <c r="G1604" s="4"/>
      <c r="H1604" s="4" t="s">
        <v>346</v>
      </c>
      <c r="I1604" s="21"/>
      <c r="J1604" s="21"/>
      <c r="K1604" s="88">
        <f t="shared" si="204"/>
        <v>0</v>
      </c>
      <c r="L1604" s="357"/>
      <c r="M1604" s="346">
        <f>19000-9000</f>
        <v>10000</v>
      </c>
      <c r="N1604" s="21"/>
      <c r="O1604" s="88">
        <f t="shared" si="205"/>
        <v>10000</v>
      </c>
      <c r="P1604" s="357"/>
      <c r="Q1604" s="346">
        <f t="shared" si="201"/>
        <v>10000</v>
      </c>
      <c r="R1604" s="21">
        <f t="shared" si="207"/>
        <v>0</v>
      </c>
      <c r="S1604" s="88">
        <f t="shared" si="208"/>
        <v>10000</v>
      </c>
    </row>
    <row r="1605" spans="2:19" x14ac:dyDescent="0.2">
      <c r="B1605" s="193">
        <f t="shared" si="200"/>
        <v>40</v>
      </c>
      <c r="C1605" s="4"/>
      <c r="D1605" s="4"/>
      <c r="E1605" s="4"/>
      <c r="F1605" s="27"/>
      <c r="G1605" s="4"/>
      <c r="H1605" s="4" t="s">
        <v>526</v>
      </c>
      <c r="I1605" s="21"/>
      <c r="J1605" s="21"/>
      <c r="K1605" s="88">
        <f t="shared" si="204"/>
        <v>0</v>
      </c>
      <c r="L1605" s="357"/>
      <c r="M1605" s="346">
        <v>15000</v>
      </c>
      <c r="N1605" s="21"/>
      <c r="O1605" s="88">
        <f t="shared" si="205"/>
        <v>15000</v>
      </c>
      <c r="P1605" s="357"/>
      <c r="Q1605" s="346">
        <f t="shared" si="201"/>
        <v>15000</v>
      </c>
      <c r="R1605" s="21">
        <f t="shared" si="207"/>
        <v>0</v>
      </c>
      <c r="S1605" s="88">
        <f t="shared" si="208"/>
        <v>15000</v>
      </c>
    </row>
    <row r="1606" spans="2:19" ht="15" x14ac:dyDescent="0.25">
      <c r="B1606" s="193">
        <f t="shared" si="200"/>
        <v>41</v>
      </c>
      <c r="C1606" s="10"/>
      <c r="D1606" s="10"/>
      <c r="E1606" s="10">
        <v>2</v>
      </c>
      <c r="F1606" s="28"/>
      <c r="G1606" s="10"/>
      <c r="H1606" s="10" t="s">
        <v>408</v>
      </c>
      <c r="I1606" s="38">
        <f>I1607</f>
        <v>14000</v>
      </c>
      <c r="J1606" s="38"/>
      <c r="K1606" s="94">
        <f t="shared" si="204"/>
        <v>14000</v>
      </c>
      <c r="L1606" s="365"/>
      <c r="M1606" s="362">
        <v>0</v>
      </c>
      <c r="N1606" s="38"/>
      <c r="O1606" s="94">
        <f t="shared" si="205"/>
        <v>0</v>
      </c>
      <c r="P1606" s="365"/>
      <c r="Q1606" s="362">
        <f t="shared" si="201"/>
        <v>14000</v>
      </c>
      <c r="R1606" s="38">
        <f t="shared" si="207"/>
        <v>0</v>
      </c>
      <c r="S1606" s="94">
        <f t="shared" si="208"/>
        <v>14000</v>
      </c>
    </row>
    <row r="1607" spans="2:19" x14ac:dyDescent="0.2">
      <c r="B1607" s="193">
        <f t="shared" si="200"/>
        <v>42</v>
      </c>
      <c r="C1607" s="7"/>
      <c r="D1607" s="7"/>
      <c r="E1607" s="7"/>
      <c r="F1607" s="25" t="s">
        <v>82</v>
      </c>
      <c r="G1607" s="7">
        <v>630</v>
      </c>
      <c r="H1607" s="7" t="s">
        <v>132</v>
      </c>
      <c r="I1607" s="23">
        <f>I1608</f>
        <v>14000</v>
      </c>
      <c r="J1607" s="23"/>
      <c r="K1607" s="86">
        <f t="shared" si="204"/>
        <v>14000</v>
      </c>
      <c r="L1607" s="355"/>
      <c r="M1607" s="344"/>
      <c r="N1607" s="23"/>
      <c r="O1607" s="86">
        <f t="shared" si="205"/>
        <v>0</v>
      </c>
      <c r="P1607" s="355"/>
      <c r="Q1607" s="344">
        <f t="shared" si="201"/>
        <v>14000</v>
      </c>
      <c r="R1607" s="23">
        <f t="shared" si="207"/>
        <v>0</v>
      </c>
      <c r="S1607" s="86">
        <f t="shared" si="208"/>
        <v>14000</v>
      </c>
    </row>
    <row r="1608" spans="2:19" x14ac:dyDescent="0.2">
      <c r="B1608" s="193">
        <f t="shared" si="200"/>
        <v>43</v>
      </c>
      <c r="C1608" s="3"/>
      <c r="D1608" s="3"/>
      <c r="E1608" s="3"/>
      <c r="F1608" s="26" t="s">
        <v>82</v>
      </c>
      <c r="G1608" s="3">
        <v>632</v>
      </c>
      <c r="H1608" s="3" t="s">
        <v>145</v>
      </c>
      <c r="I1608" s="19">
        <v>14000</v>
      </c>
      <c r="J1608" s="19"/>
      <c r="K1608" s="87">
        <f t="shared" si="204"/>
        <v>14000</v>
      </c>
      <c r="L1608" s="356"/>
      <c r="M1608" s="345"/>
      <c r="N1608" s="19"/>
      <c r="O1608" s="87">
        <f t="shared" si="205"/>
        <v>0</v>
      </c>
      <c r="P1608" s="356"/>
      <c r="Q1608" s="345">
        <f t="shared" si="201"/>
        <v>14000</v>
      </c>
      <c r="R1608" s="19">
        <f t="shared" si="207"/>
        <v>0</v>
      </c>
      <c r="S1608" s="87">
        <f t="shared" si="208"/>
        <v>14000</v>
      </c>
    </row>
    <row r="1609" spans="2:19" ht="15" x14ac:dyDescent="0.2">
      <c r="B1609" s="193">
        <f t="shared" si="200"/>
        <v>44</v>
      </c>
      <c r="C1609" s="239">
        <v>4</v>
      </c>
      <c r="D1609" s="444" t="s">
        <v>5</v>
      </c>
      <c r="E1609" s="445"/>
      <c r="F1609" s="445"/>
      <c r="G1609" s="445"/>
      <c r="H1609" s="446"/>
      <c r="I1609" s="36">
        <v>0</v>
      </c>
      <c r="J1609" s="36"/>
      <c r="K1609" s="84">
        <f t="shared" si="204"/>
        <v>0</v>
      </c>
      <c r="L1609" s="353"/>
      <c r="M1609" s="342">
        <f>M1610</f>
        <v>18320</v>
      </c>
      <c r="N1609" s="36"/>
      <c r="O1609" s="84">
        <f t="shared" si="205"/>
        <v>18320</v>
      </c>
      <c r="P1609" s="353"/>
      <c r="Q1609" s="342">
        <f t="shared" si="201"/>
        <v>18320</v>
      </c>
      <c r="R1609" s="36">
        <f t="shared" si="207"/>
        <v>0</v>
      </c>
      <c r="S1609" s="84">
        <f t="shared" si="208"/>
        <v>18320</v>
      </c>
    </row>
    <row r="1610" spans="2:19" x14ac:dyDescent="0.2">
      <c r="B1610" s="193">
        <f t="shared" si="200"/>
        <v>45</v>
      </c>
      <c r="C1610" s="7"/>
      <c r="D1610" s="7"/>
      <c r="E1610" s="7"/>
      <c r="F1610" s="25" t="s">
        <v>82</v>
      </c>
      <c r="G1610" s="7">
        <v>710</v>
      </c>
      <c r="H1610" s="7" t="s">
        <v>187</v>
      </c>
      <c r="I1610" s="23"/>
      <c r="J1610" s="23"/>
      <c r="K1610" s="86">
        <f t="shared" si="204"/>
        <v>0</v>
      </c>
      <c r="L1610" s="355"/>
      <c r="M1610" s="344">
        <f>M1611</f>
        <v>18320</v>
      </c>
      <c r="N1610" s="23"/>
      <c r="O1610" s="86">
        <f t="shared" si="205"/>
        <v>18320</v>
      </c>
      <c r="P1610" s="355"/>
      <c r="Q1610" s="344">
        <f t="shared" si="201"/>
        <v>18320</v>
      </c>
      <c r="R1610" s="23">
        <f t="shared" si="207"/>
        <v>0</v>
      </c>
      <c r="S1610" s="86">
        <f t="shared" si="208"/>
        <v>18320</v>
      </c>
    </row>
    <row r="1611" spans="2:19" ht="13.5" thickBot="1" x14ac:dyDescent="0.25">
      <c r="B1611" s="193">
        <f t="shared" si="200"/>
        <v>46</v>
      </c>
      <c r="C1611" s="14"/>
      <c r="D1611" s="14"/>
      <c r="E1611" s="14"/>
      <c r="F1611" s="90" t="s">
        <v>82</v>
      </c>
      <c r="G1611" s="14">
        <v>717</v>
      </c>
      <c r="H1611" s="14" t="s">
        <v>197</v>
      </c>
      <c r="I1611" s="24"/>
      <c r="J1611" s="24"/>
      <c r="K1611" s="91">
        <f t="shared" si="204"/>
        <v>0</v>
      </c>
      <c r="L1611" s="382"/>
      <c r="M1611" s="383">
        <v>18320</v>
      </c>
      <c r="N1611" s="24"/>
      <c r="O1611" s="91">
        <f t="shared" si="205"/>
        <v>18320</v>
      </c>
      <c r="P1611" s="382"/>
      <c r="Q1611" s="383">
        <f t="shared" si="201"/>
        <v>18320</v>
      </c>
      <c r="R1611" s="24">
        <f t="shared" si="207"/>
        <v>0</v>
      </c>
      <c r="S1611" s="91">
        <f t="shared" si="208"/>
        <v>18320</v>
      </c>
    </row>
    <row r="1664" spans="2:17" ht="27.75" thickBot="1" x14ac:dyDescent="0.4">
      <c r="B1664" s="455" t="s">
        <v>30</v>
      </c>
      <c r="C1664" s="456"/>
      <c r="D1664" s="456"/>
      <c r="E1664" s="456"/>
      <c r="F1664" s="456"/>
      <c r="G1664" s="456"/>
      <c r="H1664" s="456"/>
      <c r="I1664" s="456"/>
      <c r="J1664" s="456"/>
      <c r="K1664" s="456"/>
      <c r="L1664" s="456"/>
      <c r="M1664" s="456"/>
      <c r="N1664" s="456"/>
      <c r="O1664" s="456"/>
      <c r="P1664" s="456"/>
      <c r="Q1664" s="456"/>
    </row>
    <row r="1665" spans="2:19" ht="13.5" customHeight="1" thickBot="1" x14ac:dyDescent="0.25">
      <c r="B1665" s="452" t="s">
        <v>359</v>
      </c>
      <c r="C1665" s="453"/>
      <c r="D1665" s="453"/>
      <c r="E1665" s="453"/>
      <c r="F1665" s="453"/>
      <c r="G1665" s="453"/>
      <c r="H1665" s="453"/>
      <c r="I1665" s="453"/>
      <c r="J1665" s="453"/>
      <c r="K1665" s="453"/>
      <c r="L1665" s="453"/>
      <c r="M1665" s="453"/>
      <c r="N1665" s="453"/>
      <c r="O1665" s="454"/>
      <c r="P1665" s="339"/>
      <c r="Q1665" s="457" t="s">
        <v>667</v>
      </c>
      <c r="R1665" s="488" t="s">
        <v>668</v>
      </c>
      <c r="S1665" s="491" t="s">
        <v>669</v>
      </c>
    </row>
    <row r="1666" spans="2:19" ht="13.5" customHeight="1" thickBot="1" x14ac:dyDescent="0.25">
      <c r="B1666" s="466"/>
      <c r="C1666" s="460" t="s">
        <v>125</v>
      </c>
      <c r="D1666" s="460" t="s">
        <v>126</v>
      </c>
      <c r="E1666" s="460"/>
      <c r="F1666" s="460" t="s">
        <v>127</v>
      </c>
      <c r="G1666" s="470" t="s">
        <v>128</v>
      </c>
      <c r="H1666" s="473" t="s">
        <v>129</v>
      </c>
      <c r="I1666" s="463" t="s">
        <v>670</v>
      </c>
      <c r="J1666" s="495" t="s">
        <v>668</v>
      </c>
      <c r="K1666" s="491" t="s">
        <v>671</v>
      </c>
      <c r="L1666" s="53"/>
      <c r="M1666" s="474" t="s">
        <v>672</v>
      </c>
      <c r="N1666" s="488" t="s">
        <v>668</v>
      </c>
      <c r="O1666" s="491" t="s">
        <v>671</v>
      </c>
      <c r="P1666" s="53"/>
      <c r="Q1666" s="458"/>
      <c r="R1666" s="489"/>
      <c r="S1666" s="492"/>
    </row>
    <row r="1667" spans="2:19" ht="13.5" thickBot="1" x14ac:dyDescent="0.25">
      <c r="B1667" s="466"/>
      <c r="C1667" s="461"/>
      <c r="D1667" s="461"/>
      <c r="E1667" s="461"/>
      <c r="F1667" s="461"/>
      <c r="G1667" s="471"/>
      <c r="H1667" s="473"/>
      <c r="I1667" s="463"/>
      <c r="J1667" s="495"/>
      <c r="K1667" s="492"/>
      <c r="L1667" s="53"/>
      <c r="M1667" s="475"/>
      <c r="N1667" s="489"/>
      <c r="O1667" s="492"/>
      <c r="P1667" s="53"/>
      <c r="Q1667" s="458"/>
      <c r="R1667" s="489"/>
      <c r="S1667" s="492"/>
    </row>
    <row r="1668" spans="2:19" ht="13.5" thickBot="1" x14ac:dyDescent="0.25">
      <c r="B1668" s="466"/>
      <c r="C1668" s="461"/>
      <c r="D1668" s="461"/>
      <c r="E1668" s="461"/>
      <c r="F1668" s="461"/>
      <c r="G1668" s="471"/>
      <c r="H1668" s="473"/>
      <c r="I1668" s="463"/>
      <c r="J1668" s="495"/>
      <c r="K1668" s="492"/>
      <c r="L1668" s="53"/>
      <c r="M1668" s="475"/>
      <c r="N1668" s="489"/>
      <c r="O1668" s="492"/>
      <c r="P1668" s="53"/>
      <c r="Q1668" s="458"/>
      <c r="R1668" s="489"/>
      <c r="S1668" s="492"/>
    </row>
    <row r="1669" spans="2:19" ht="13.5" thickBot="1" x14ac:dyDescent="0.25">
      <c r="B1669" s="466"/>
      <c r="C1669" s="462"/>
      <c r="D1669" s="462"/>
      <c r="E1669" s="462"/>
      <c r="F1669" s="462"/>
      <c r="G1669" s="472"/>
      <c r="H1669" s="473"/>
      <c r="I1669" s="464"/>
      <c r="J1669" s="496"/>
      <c r="K1669" s="493"/>
      <c r="L1669" s="53"/>
      <c r="M1669" s="476"/>
      <c r="N1669" s="490"/>
      <c r="O1669" s="493"/>
      <c r="P1669" s="53"/>
      <c r="Q1669" s="459"/>
      <c r="R1669" s="490"/>
      <c r="S1669" s="493"/>
    </row>
    <row r="1670" spans="2:19" ht="16.5" thickTop="1" x14ac:dyDescent="0.2">
      <c r="B1670" s="83">
        <f t="shared" ref="B1670:B1733" si="209">B1669+1</f>
        <v>1</v>
      </c>
      <c r="C1670" s="477" t="s">
        <v>30</v>
      </c>
      <c r="D1670" s="482"/>
      <c r="E1670" s="482"/>
      <c r="F1670" s="482"/>
      <c r="G1670" s="482"/>
      <c r="H1670" s="483"/>
      <c r="I1670" s="35">
        <f>I1769+I1762+I1758+I1732+I1711+I1671</f>
        <v>4122905</v>
      </c>
      <c r="J1670" s="35">
        <f>J1769+J1762+J1758+J1732+J1711+J1671</f>
        <v>0</v>
      </c>
      <c r="K1670" s="93">
        <f>J1670+I1670</f>
        <v>4122905</v>
      </c>
      <c r="L1670" s="360"/>
      <c r="M1670" s="348">
        <f>M1671+M1711+M1732+M1758+M1762+M1769</f>
        <v>1178161</v>
      </c>
      <c r="N1670" s="35">
        <f>N1671+N1711+N1732+N1758+N1762+N1769</f>
        <v>0</v>
      </c>
      <c r="O1670" s="93">
        <f>N1670+M1670</f>
        <v>1178161</v>
      </c>
      <c r="P1670" s="360"/>
      <c r="Q1670" s="348">
        <f t="shared" ref="Q1670:Q1731" si="210">I1670+M1670</f>
        <v>5301066</v>
      </c>
      <c r="R1670" s="35">
        <f t="shared" ref="R1670:R1679" si="211">J1670+N1670</f>
        <v>0</v>
      </c>
      <c r="S1670" s="93">
        <f t="shared" ref="S1670:S1679" si="212">K1670+O1670</f>
        <v>5301066</v>
      </c>
    </row>
    <row r="1671" spans="2:19" ht="15" x14ac:dyDescent="0.2">
      <c r="B1671" s="83">
        <f t="shared" si="209"/>
        <v>2</v>
      </c>
      <c r="C1671" s="239">
        <v>1</v>
      </c>
      <c r="D1671" s="444" t="s">
        <v>208</v>
      </c>
      <c r="E1671" s="445"/>
      <c r="F1671" s="445"/>
      <c r="G1671" s="445"/>
      <c r="H1671" s="446"/>
      <c r="I1671" s="36">
        <f>I1672+I1675+I1682</f>
        <v>1234050</v>
      </c>
      <c r="J1671" s="36"/>
      <c r="K1671" s="84">
        <f t="shared" ref="K1671:K1732" si="213">J1671+I1671</f>
        <v>1234050</v>
      </c>
      <c r="L1671" s="353"/>
      <c r="M1671" s="342">
        <f>M1675+M1682</f>
        <v>473581</v>
      </c>
      <c r="N1671" s="244"/>
      <c r="O1671" s="84">
        <f t="shared" ref="O1671:O1732" si="214">N1671+M1671</f>
        <v>473581</v>
      </c>
      <c r="P1671" s="353"/>
      <c r="Q1671" s="342">
        <f t="shared" si="210"/>
        <v>1707631</v>
      </c>
      <c r="R1671" s="36">
        <f t="shared" si="211"/>
        <v>0</v>
      </c>
      <c r="S1671" s="84">
        <f>K1671+O1671</f>
        <v>1707631</v>
      </c>
    </row>
    <row r="1672" spans="2:19" x14ac:dyDescent="0.2">
      <c r="B1672" s="83">
        <f>B1671+1</f>
        <v>3</v>
      </c>
      <c r="C1672" s="7"/>
      <c r="D1672" s="7"/>
      <c r="E1672" s="7"/>
      <c r="F1672" s="25" t="s">
        <v>207</v>
      </c>
      <c r="G1672" s="7">
        <v>630</v>
      </c>
      <c r="H1672" s="7" t="s">
        <v>132</v>
      </c>
      <c r="I1672" s="23">
        <f>SUM(I1673:I1674)</f>
        <v>411000</v>
      </c>
      <c r="J1672" s="23"/>
      <c r="K1672" s="86">
        <f t="shared" si="213"/>
        <v>411000</v>
      </c>
      <c r="L1672" s="355"/>
      <c r="M1672" s="344"/>
      <c r="N1672" s="246"/>
      <c r="O1672" s="86">
        <f t="shared" si="214"/>
        <v>0</v>
      </c>
      <c r="P1672" s="355"/>
      <c r="Q1672" s="344">
        <f t="shared" si="210"/>
        <v>411000</v>
      </c>
      <c r="R1672" s="23">
        <f t="shared" si="211"/>
        <v>0</v>
      </c>
      <c r="S1672" s="86">
        <f t="shared" si="212"/>
        <v>411000</v>
      </c>
    </row>
    <row r="1673" spans="2:19" x14ac:dyDescent="0.2">
      <c r="B1673" s="83">
        <f t="shared" si="209"/>
        <v>4</v>
      </c>
      <c r="C1673" s="3"/>
      <c r="D1673" s="3"/>
      <c r="E1673" s="3"/>
      <c r="F1673" s="26" t="s">
        <v>207</v>
      </c>
      <c r="G1673" s="3">
        <v>635</v>
      </c>
      <c r="H1673" s="3" t="s">
        <v>144</v>
      </c>
      <c r="I1673" s="19">
        <v>410000</v>
      </c>
      <c r="J1673" s="19"/>
      <c r="K1673" s="87">
        <f t="shared" si="213"/>
        <v>410000</v>
      </c>
      <c r="L1673" s="356"/>
      <c r="M1673" s="345"/>
      <c r="N1673" s="208"/>
      <c r="O1673" s="87">
        <f t="shared" si="214"/>
        <v>0</v>
      </c>
      <c r="P1673" s="356"/>
      <c r="Q1673" s="345">
        <f t="shared" si="210"/>
        <v>410000</v>
      </c>
      <c r="R1673" s="19">
        <f t="shared" si="211"/>
        <v>0</v>
      </c>
      <c r="S1673" s="87">
        <f t="shared" si="212"/>
        <v>410000</v>
      </c>
    </row>
    <row r="1674" spans="2:19" x14ac:dyDescent="0.2">
      <c r="B1674" s="83">
        <f t="shared" si="209"/>
        <v>5</v>
      </c>
      <c r="C1674" s="3"/>
      <c r="D1674" s="3"/>
      <c r="E1674" s="3"/>
      <c r="F1674" s="26" t="s">
        <v>207</v>
      </c>
      <c r="G1674" s="3">
        <v>637</v>
      </c>
      <c r="H1674" s="3" t="s">
        <v>133</v>
      </c>
      <c r="I1674" s="19">
        <v>1000</v>
      </c>
      <c r="J1674" s="19"/>
      <c r="K1674" s="87">
        <f t="shared" si="213"/>
        <v>1000</v>
      </c>
      <c r="L1674" s="356"/>
      <c r="M1674" s="345"/>
      <c r="N1674" s="208"/>
      <c r="O1674" s="87">
        <f t="shared" si="214"/>
        <v>0</v>
      </c>
      <c r="P1674" s="356"/>
      <c r="Q1674" s="345">
        <f t="shared" si="210"/>
        <v>1000</v>
      </c>
      <c r="R1674" s="19">
        <f t="shared" si="211"/>
        <v>0</v>
      </c>
      <c r="S1674" s="87">
        <f t="shared" si="212"/>
        <v>1000</v>
      </c>
    </row>
    <row r="1675" spans="2:19" x14ac:dyDescent="0.2">
      <c r="B1675" s="83">
        <f t="shared" si="209"/>
        <v>6</v>
      </c>
      <c r="C1675" s="7"/>
      <c r="D1675" s="7"/>
      <c r="E1675" s="7"/>
      <c r="F1675" s="25" t="s">
        <v>207</v>
      </c>
      <c r="G1675" s="7">
        <v>710</v>
      </c>
      <c r="H1675" s="7" t="s">
        <v>187</v>
      </c>
      <c r="I1675" s="23"/>
      <c r="J1675" s="23"/>
      <c r="K1675" s="86">
        <f t="shared" si="213"/>
        <v>0</v>
      </c>
      <c r="L1675" s="355"/>
      <c r="M1675" s="344">
        <f>M1676+M1680</f>
        <v>442781</v>
      </c>
      <c r="N1675" s="246"/>
      <c r="O1675" s="86">
        <f t="shared" si="214"/>
        <v>442781</v>
      </c>
      <c r="P1675" s="355"/>
      <c r="Q1675" s="344">
        <f t="shared" si="210"/>
        <v>442781</v>
      </c>
      <c r="R1675" s="23">
        <f t="shared" si="211"/>
        <v>0</v>
      </c>
      <c r="S1675" s="86">
        <f t="shared" si="212"/>
        <v>442781</v>
      </c>
    </row>
    <row r="1676" spans="2:19" x14ac:dyDescent="0.2">
      <c r="B1676" s="83">
        <f t="shared" si="209"/>
        <v>7</v>
      </c>
      <c r="C1676" s="3"/>
      <c r="D1676" s="3"/>
      <c r="E1676" s="3"/>
      <c r="F1676" s="26" t="s">
        <v>207</v>
      </c>
      <c r="G1676" s="3">
        <v>716</v>
      </c>
      <c r="H1676" s="3" t="s">
        <v>231</v>
      </c>
      <c r="I1676" s="19"/>
      <c r="J1676" s="19"/>
      <c r="K1676" s="87">
        <f t="shared" si="213"/>
        <v>0</v>
      </c>
      <c r="L1676" s="356"/>
      <c r="M1676" s="345">
        <f>SUM(M1677:M1679)</f>
        <v>32046</v>
      </c>
      <c r="N1676" s="208"/>
      <c r="O1676" s="87">
        <f t="shared" si="214"/>
        <v>32046</v>
      </c>
      <c r="P1676" s="356"/>
      <c r="Q1676" s="345">
        <f t="shared" si="210"/>
        <v>32046</v>
      </c>
      <c r="R1676" s="19">
        <f t="shared" si="211"/>
        <v>0</v>
      </c>
      <c r="S1676" s="87">
        <f t="shared" si="212"/>
        <v>32046</v>
      </c>
    </row>
    <row r="1677" spans="2:19" x14ac:dyDescent="0.2">
      <c r="B1677" s="83">
        <f t="shared" si="209"/>
        <v>8</v>
      </c>
      <c r="C1677" s="4"/>
      <c r="D1677" s="4"/>
      <c r="E1677" s="4"/>
      <c r="F1677" s="27"/>
      <c r="G1677" s="4"/>
      <c r="H1677" s="4" t="s">
        <v>376</v>
      </c>
      <c r="I1677" s="21"/>
      <c r="J1677" s="21"/>
      <c r="K1677" s="88">
        <f t="shared" si="213"/>
        <v>0</v>
      </c>
      <c r="L1677" s="357"/>
      <c r="M1677" s="346">
        <v>4046</v>
      </c>
      <c r="N1677" s="247"/>
      <c r="O1677" s="88">
        <f t="shared" si="214"/>
        <v>4046</v>
      </c>
      <c r="P1677" s="357"/>
      <c r="Q1677" s="346">
        <f t="shared" si="210"/>
        <v>4046</v>
      </c>
      <c r="R1677" s="21">
        <f t="shared" si="211"/>
        <v>0</v>
      </c>
      <c r="S1677" s="88">
        <f t="shared" si="212"/>
        <v>4046</v>
      </c>
    </row>
    <row r="1678" spans="2:19" x14ac:dyDescent="0.2">
      <c r="B1678" s="83">
        <f t="shared" si="209"/>
        <v>9</v>
      </c>
      <c r="C1678" s="4"/>
      <c r="D1678" s="4"/>
      <c r="E1678" s="4"/>
      <c r="F1678" s="27"/>
      <c r="G1678" s="4"/>
      <c r="H1678" s="4" t="s">
        <v>507</v>
      </c>
      <c r="I1678" s="21"/>
      <c r="J1678" s="21"/>
      <c r="K1678" s="88">
        <f t="shared" si="213"/>
        <v>0</v>
      </c>
      <c r="L1678" s="357"/>
      <c r="M1678" s="346">
        <f>6000+2000</f>
        <v>8000</v>
      </c>
      <c r="N1678" s="247"/>
      <c r="O1678" s="88">
        <f t="shared" si="214"/>
        <v>8000</v>
      </c>
      <c r="P1678" s="357"/>
      <c r="Q1678" s="346">
        <f t="shared" si="210"/>
        <v>8000</v>
      </c>
      <c r="R1678" s="21">
        <f t="shared" si="211"/>
        <v>0</v>
      </c>
      <c r="S1678" s="88">
        <f t="shared" si="212"/>
        <v>8000</v>
      </c>
    </row>
    <row r="1679" spans="2:19" x14ac:dyDescent="0.2">
      <c r="B1679" s="83">
        <f t="shared" si="209"/>
        <v>10</v>
      </c>
      <c r="C1679" s="4"/>
      <c r="D1679" s="4"/>
      <c r="E1679" s="4"/>
      <c r="F1679" s="27"/>
      <c r="G1679" s="4"/>
      <c r="H1679" s="4" t="s">
        <v>589</v>
      </c>
      <c r="I1679" s="21"/>
      <c r="J1679" s="21"/>
      <c r="K1679" s="88">
        <f t="shared" si="213"/>
        <v>0</v>
      </c>
      <c r="L1679" s="357"/>
      <c r="M1679" s="346">
        <v>20000</v>
      </c>
      <c r="N1679" s="247"/>
      <c r="O1679" s="88">
        <f t="shared" si="214"/>
        <v>20000</v>
      </c>
      <c r="P1679" s="357"/>
      <c r="Q1679" s="346">
        <f t="shared" si="210"/>
        <v>20000</v>
      </c>
      <c r="R1679" s="21">
        <f t="shared" si="211"/>
        <v>0</v>
      </c>
      <c r="S1679" s="88">
        <f t="shared" si="212"/>
        <v>20000</v>
      </c>
    </row>
    <row r="1680" spans="2:19" x14ac:dyDescent="0.2">
      <c r="B1680" s="83">
        <f t="shared" si="209"/>
        <v>11</v>
      </c>
      <c r="C1680" s="4"/>
      <c r="D1680" s="4"/>
      <c r="E1680" s="4"/>
      <c r="F1680" s="26" t="s">
        <v>207</v>
      </c>
      <c r="G1680" s="3">
        <v>717</v>
      </c>
      <c r="H1680" s="3" t="s">
        <v>197</v>
      </c>
      <c r="I1680" s="21"/>
      <c r="J1680" s="21"/>
      <c r="K1680" s="88">
        <f t="shared" si="213"/>
        <v>0</v>
      </c>
      <c r="L1680" s="357"/>
      <c r="M1680" s="345">
        <f>M1681</f>
        <v>410735</v>
      </c>
      <c r="N1680" s="208"/>
      <c r="O1680" s="87">
        <f t="shared" si="214"/>
        <v>410735</v>
      </c>
      <c r="P1680" s="356"/>
      <c r="Q1680" s="345">
        <f>M1680</f>
        <v>410735</v>
      </c>
      <c r="R1680" s="19">
        <f t="shared" ref="R1680:S1681" si="215">N1680</f>
        <v>0</v>
      </c>
      <c r="S1680" s="87">
        <f t="shared" si="215"/>
        <v>410735</v>
      </c>
    </row>
    <row r="1681" spans="2:19" x14ac:dyDescent="0.2">
      <c r="B1681" s="83">
        <f t="shared" si="209"/>
        <v>12</v>
      </c>
      <c r="C1681" s="4"/>
      <c r="D1681" s="4"/>
      <c r="E1681" s="4"/>
      <c r="F1681" s="27"/>
      <c r="G1681" s="4"/>
      <c r="H1681" s="4" t="s">
        <v>652</v>
      </c>
      <c r="I1681" s="21"/>
      <c r="J1681" s="21"/>
      <c r="K1681" s="88">
        <f t="shared" si="213"/>
        <v>0</v>
      </c>
      <c r="L1681" s="357"/>
      <c r="M1681" s="346">
        <v>410735</v>
      </c>
      <c r="N1681" s="247"/>
      <c r="O1681" s="88">
        <f t="shared" si="214"/>
        <v>410735</v>
      </c>
      <c r="P1681" s="357"/>
      <c r="Q1681" s="346">
        <f>M1681</f>
        <v>410735</v>
      </c>
      <c r="R1681" s="21">
        <f t="shared" si="215"/>
        <v>0</v>
      </c>
      <c r="S1681" s="88">
        <f t="shared" si="215"/>
        <v>410735</v>
      </c>
    </row>
    <row r="1682" spans="2:19" ht="15" x14ac:dyDescent="0.25">
      <c r="B1682" s="83">
        <f t="shared" si="209"/>
        <v>13</v>
      </c>
      <c r="C1682" s="10"/>
      <c r="D1682" s="10"/>
      <c r="E1682" s="10">
        <v>2</v>
      </c>
      <c r="F1682" s="28"/>
      <c r="G1682" s="10"/>
      <c r="H1682" s="10" t="s">
        <v>408</v>
      </c>
      <c r="I1682" s="38">
        <f>I1683+I1684+I1685+I1692+I1693+I1694+I1695+I1706+I1707</f>
        <v>823050</v>
      </c>
      <c r="J1682" s="38"/>
      <c r="K1682" s="94">
        <f t="shared" si="213"/>
        <v>823050</v>
      </c>
      <c r="L1682" s="365"/>
      <c r="M1682" s="362">
        <f>M1707</f>
        <v>30800</v>
      </c>
      <c r="N1682" s="253"/>
      <c r="O1682" s="94">
        <f t="shared" si="214"/>
        <v>30800</v>
      </c>
      <c r="P1682" s="365"/>
      <c r="Q1682" s="362">
        <f t="shared" si="210"/>
        <v>853850</v>
      </c>
      <c r="R1682" s="38">
        <f t="shared" ref="R1682:R1744" si="216">J1682+N1682</f>
        <v>0</v>
      </c>
      <c r="S1682" s="94">
        <f t="shared" ref="S1682:S1744" si="217">K1682+O1682</f>
        <v>853850</v>
      </c>
    </row>
    <row r="1683" spans="2:19" x14ac:dyDescent="0.2">
      <c r="B1683" s="83">
        <f t="shared" si="209"/>
        <v>14</v>
      </c>
      <c r="C1683" s="7"/>
      <c r="D1683" s="7"/>
      <c r="E1683" s="7"/>
      <c r="F1683" s="25" t="s">
        <v>245</v>
      </c>
      <c r="G1683" s="7">
        <v>610</v>
      </c>
      <c r="H1683" s="7" t="s">
        <v>142</v>
      </c>
      <c r="I1683" s="23">
        <v>50720</v>
      </c>
      <c r="J1683" s="23"/>
      <c r="K1683" s="86">
        <f t="shared" si="213"/>
        <v>50720</v>
      </c>
      <c r="L1683" s="355"/>
      <c r="M1683" s="344"/>
      <c r="N1683" s="246"/>
      <c r="O1683" s="86">
        <f t="shared" si="214"/>
        <v>0</v>
      </c>
      <c r="P1683" s="355"/>
      <c r="Q1683" s="344">
        <f t="shared" si="210"/>
        <v>50720</v>
      </c>
      <c r="R1683" s="23">
        <f t="shared" si="216"/>
        <v>0</v>
      </c>
      <c r="S1683" s="86">
        <f t="shared" si="217"/>
        <v>50720</v>
      </c>
    </row>
    <row r="1684" spans="2:19" x14ac:dyDescent="0.2">
      <c r="B1684" s="83">
        <f t="shared" si="209"/>
        <v>15</v>
      </c>
      <c r="C1684" s="7"/>
      <c r="D1684" s="7"/>
      <c r="E1684" s="7"/>
      <c r="F1684" s="25" t="s">
        <v>245</v>
      </c>
      <c r="G1684" s="7">
        <v>620</v>
      </c>
      <c r="H1684" s="7" t="s">
        <v>135</v>
      </c>
      <c r="I1684" s="23">
        <v>17750</v>
      </c>
      <c r="J1684" s="23"/>
      <c r="K1684" s="86">
        <f t="shared" si="213"/>
        <v>17750</v>
      </c>
      <c r="L1684" s="355"/>
      <c r="M1684" s="344"/>
      <c r="N1684" s="246"/>
      <c r="O1684" s="86">
        <f t="shared" si="214"/>
        <v>0</v>
      </c>
      <c r="P1684" s="355"/>
      <c r="Q1684" s="344">
        <f t="shared" si="210"/>
        <v>17750</v>
      </c>
      <c r="R1684" s="23">
        <f t="shared" si="216"/>
        <v>0</v>
      </c>
      <c r="S1684" s="86">
        <f t="shared" si="217"/>
        <v>17750</v>
      </c>
    </row>
    <row r="1685" spans="2:19" x14ac:dyDescent="0.2">
      <c r="B1685" s="83">
        <f t="shared" si="209"/>
        <v>16</v>
      </c>
      <c r="C1685" s="7"/>
      <c r="D1685" s="7"/>
      <c r="E1685" s="7"/>
      <c r="F1685" s="25" t="s">
        <v>245</v>
      </c>
      <c r="G1685" s="7">
        <v>630</v>
      </c>
      <c r="H1685" s="7" t="s">
        <v>132</v>
      </c>
      <c r="I1685" s="23">
        <f>SUM(I1686:I1691)</f>
        <v>61200</v>
      </c>
      <c r="J1685" s="23"/>
      <c r="K1685" s="86">
        <f t="shared" si="213"/>
        <v>61200</v>
      </c>
      <c r="L1685" s="355"/>
      <c r="M1685" s="344"/>
      <c r="N1685" s="246"/>
      <c r="O1685" s="86">
        <f t="shared" si="214"/>
        <v>0</v>
      </c>
      <c r="P1685" s="355"/>
      <c r="Q1685" s="344">
        <f t="shared" si="210"/>
        <v>61200</v>
      </c>
      <c r="R1685" s="23">
        <f t="shared" si="216"/>
        <v>0</v>
      </c>
      <c r="S1685" s="86">
        <f t="shared" si="217"/>
        <v>61200</v>
      </c>
    </row>
    <row r="1686" spans="2:19" x14ac:dyDescent="0.2">
      <c r="B1686" s="83">
        <f t="shared" si="209"/>
        <v>17</v>
      </c>
      <c r="C1686" s="3"/>
      <c r="D1686" s="3"/>
      <c r="E1686" s="3"/>
      <c r="F1686" s="26" t="s">
        <v>245</v>
      </c>
      <c r="G1686" s="3">
        <v>631</v>
      </c>
      <c r="H1686" s="3" t="s">
        <v>138</v>
      </c>
      <c r="I1686" s="19">
        <v>50</v>
      </c>
      <c r="J1686" s="19"/>
      <c r="K1686" s="87">
        <f t="shared" si="213"/>
        <v>50</v>
      </c>
      <c r="L1686" s="356"/>
      <c r="M1686" s="345"/>
      <c r="N1686" s="208"/>
      <c r="O1686" s="87">
        <f t="shared" si="214"/>
        <v>0</v>
      </c>
      <c r="P1686" s="356"/>
      <c r="Q1686" s="345">
        <f t="shared" si="210"/>
        <v>50</v>
      </c>
      <c r="R1686" s="19">
        <f t="shared" si="216"/>
        <v>0</v>
      </c>
      <c r="S1686" s="87">
        <f t="shared" si="217"/>
        <v>50</v>
      </c>
    </row>
    <row r="1687" spans="2:19" x14ac:dyDescent="0.2">
      <c r="B1687" s="83">
        <f t="shared" si="209"/>
        <v>18</v>
      </c>
      <c r="C1687" s="3"/>
      <c r="D1687" s="3"/>
      <c r="E1687" s="3"/>
      <c r="F1687" s="26" t="s">
        <v>245</v>
      </c>
      <c r="G1687" s="3">
        <v>632</v>
      </c>
      <c r="H1687" s="3" t="s">
        <v>145</v>
      </c>
      <c r="I1687" s="19">
        <f>2100-1800+1500</f>
        <v>1800</v>
      </c>
      <c r="J1687" s="19"/>
      <c r="K1687" s="87">
        <f t="shared" si="213"/>
        <v>1800</v>
      </c>
      <c r="L1687" s="356"/>
      <c r="M1687" s="345"/>
      <c r="N1687" s="208"/>
      <c r="O1687" s="87">
        <f t="shared" si="214"/>
        <v>0</v>
      </c>
      <c r="P1687" s="356"/>
      <c r="Q1687" s="345">
        <f t="shared" si="210"/>
        <v>1800</v>
      </c>
      <c r="R1687" s="19">
        <f t="shared" si="216"/>
        <v>0</v>
      </c>
      <c r="S1687" s="87">
        <f t="shared" si="217"/>
        <v>1800</v>
      </c>
    </row>
    <row r="1688" spans="2:19" x14ac:dyDescent="0.2">
      <c r="B1688" s="83">
        <f t="shared" si="209"/>
        <v>19</v>
      </c>
      <c r="C1688" s="3"/>
      <c r="D1688" s="3"/>
      <c r="E1688" s="3"/>
      <c r="F1688" s="26" t="s">
        <v>245</v>
      </c>
      <c r="G1688" s="3">
        <v>633</v>
      </c>
      <c r="H1688" s="3" t="s">
        <v>136</v>
      </c>
      <c r="I1688" s="19">
        <f>15350-1000</f>
        <v>14350</v>
      </c>
      <c r="J1688" s="19"/>
      <c r="K1688" s="87">
        <f t="shared" si="213"/>
        <v>14350</v>
      </c>
      <c r="L1688" s="356"/>
      <c r="M1688" s="345"/>
      <c r="N1688" s="208"/>
      <c r="O1688" s="87">
        <f t="shared" si="214"/>
        <v>0</v>
      </c>
      <c r="P1688" s="356"/>
      <c r="Q1688" s="345">
        <f t="shared" si="210"/>
        <v>14350</v>
      </c>
      <c r="R1688" s="19">
        <f t="shared" si="216"/>
        <v>0</v>
      </c>
      <c r="S1688" s="87">
        <f t="shared" si="217"/>
        <v>14350</v>
      </c>
    </row>
    <row r="1689" spans="2:19" x14ac:dyDescent="0.2">
      <c r="B1689" s="83">
        <f t="shared" si="209"/>
        <v>20</v>
      </c>
      <c r="C1689" s="3"/>
      <c r="D1689" s="3"/>
      <c r="E1689" s="3"/>
      <c r="F1689" s="26" t="s">
        <v>245</v>
      </c>
      <c r="G1689" s="3">
        <v>634</v>
      </c>
      <c r="H1689" s="3" t="s">
        <v>143</v>
      </c>
      <c r="I1689" s="19">
        <v>3650</v>
      </c>
      <c r="J1689" s="19"/>
      <c r="K1689" s="87">
        <f t="shared" si="213"/>
        <v>3650</v>
      </c>
      <c r="L1689" s="356"/>
      <c r="M1689" s="345"/>
      <c r="N1689" s="208"/>
      <c r="O1689" s="87">
        <f t="shared" si="214"/>
        <v>0</v>
      </c>
      <c r="P1689" s="356"/>
      <c r="Q1689" s="345">
        <f t="shared" si="210"/>
        <v>3650</v>
      </c>
      <c r="R1689" s="19">
        <f t="shared" si="216"/>
        <v>0</v>
      </c>
      <c r="S1689" s="87">
        <f t="shared" si="217"/>
        <v>3650</v>
      </c>
    </row>
    <row r="1690" spans="2:19" x14ac:dyDescent="0.2">
      <c r="B1690" s="83">
        <f t="shared" si="209"/>
        <v>21</v>
      </c>
      <c r="C1690" s="3"/>
      <c r="D1690" s="3"/>
      <c r="E1690" s="3"/>
      <c r="F1690" s="26" t="s">
        <v>245</v>
      </c>
      <c r="G1690" s="3">
        <v>635</v>
      </c>
      <c r="H1690" s="3" t="s">
        <v>144</v>
      </c>
      <c r="I1690" s="19">
        <f>3250+4000</f>
        <v>7250</v>
      </c>
      <c r="J1690" s="19"/>
      <c r="K1690" s="87">
        <f t="shared" si="213"/>
        <v>7250</v>
      </c>
      <c r="L1690" s="356"/>
      <c r="M1690" s="345"/>
      <c r="N1690" s="208"/>
      <c r="O1690" s="87">
        <f t="shared" si="214"/>
        <v>0</v>
      </c>
      <c r="P1690" s="356"/>
      <c r="Q1690" s="345">
        <f t="shared" si="210"/>
        <v>7250</v>
      </c>
      <c r="R1690" s="19">
        <f t="shared" si="216"/>
        <v>0</v>
      </c>
      <c r="S1690" s="87">
        <f t="shared" si="217"/>
        <v>7250</v>
      </c>
    </row>
    <row r="1691" spans="2:19" x14ac:dyDescent="0.2">
      <c r="B1691" s="83">
        <f t="shared" si="209"/>
        <v>22</v>
      </c>
      <c r="C1691" s="3"/>
      <c r="D1691" s="3"/>
      <c r="E1691" s="3"/>
      <c r="F1691" s="26" t="s">
        <v>245</v>
      </c>
      <c r="G1691" s="3">
        <v>637</v>
      </c>
      <c r="H1691" s="3" t="s">
        <v>133</v>
      </c>
      <c r="I1691" s="19">
        <f>26600+7500</f>
        <v>34100</v>
      </c>
      <c r="J1691" s="19"/>
      <c r="K1691" s="87">
        <f t="shared" si="213"/>
        <v>34100</v>
      </c>
      <c r="L1691" s="356"/>
      <c r="M1691" s="345"/>
      <c r="N1691" s="208"/>
      <c r="O1691" s="87">
        <f t="shared" si="214"/>
        <v>0</v>
      </c>
      <c r="P1691" s="356"/>
      <c r="Q1691" s="345">
        <f t="shared" si="210"/>
        <v>34100</v>
      </c>
      <c r="R1691" s="19">
        <f t="shared" si="216"/>
        <v>0</v>
      </c>
      <c r="S1691" s="87">
        <f t="shared" si="217"/>
        <v>34100</v>
      </c>
    </row>
    <row r="1692" spans="2:19" x14ac:dyDescent="0.2">
      <c r="B1692" s="83">
        <f t="shared" si="209"/>
        <v>23</v>
      </c>
      <c r="C1692" s="7"/>
      <c r="D1692" s="7"/>
      <c r="E1692" s="7"/>
      <c r="F1692" s="25" t="s">
        <v>245</v>
      </c>
      <c r="G1692" s="7">
        <v>640</v>
      </c>
      <c r="H1692" s="7" t="s">
        <v>140</v>
      </c>
      <c r="I1692" s="23">
        <v>850</v>
      </c>
      <c r="J1692" s="23"/>
      <c r="K1692" s="86">
        <f t="shared" si="213"/>
        <v>850</v>
      </c>
      <c r="L1692" s="355"/>
      <c r="M1692" s="344"/>
      <c r="N1692" s="246"/>
      <c r="O1692" s="86">
        <f t="shared" si="214"/>
        <v>0</v>
      </c>
      <c r="P1692" s="355"/>
      <c r="Q1692" s="344">
        <f t="shared" si="210"/>
        <v>850</v>
      </c>
      <c r="R1692" s="23">
        <f t="shared" si="216"/>
        <v>0</v>
      </c>
      <c r="S1692" s="86">
        <f t="shared" si="217"/>
        <v>850</v>
      </c>
    </row>
    <row r="1693" spans="2:19" x14ac:dyDescent="0.2">
      <c r="B1693" s="83">
        <f t="shared" si="209"/>
        <v>24</v>
      </c>
      <c r="C1693" s="7"/>
      <c r="D1693" s="7"/>
      <c r="E1693" s="7"/>
      <c r="F1693" s="25" t="s">
        <v>207</v>
      </c>
      <c r="G1693" s="7">
        <v>610</v>
      </c>
      <c r="H1693" s="7" t="s">
        <v>142</v>
      </c>
      <c r="I1693" s="23">
        <v>91580</v>
      </c>
      <c r="J1693" s="23"/>
      <c r="K1693" s="86">
        <f t="shared" si="213"/>
        <v>91580</v>
      </c>
      <c r="L1693" s="355"/>
      <c r="M1693" s="344"/>
      <c r="N1693" s="246"/>
      <c r="O1693" s="86">
        <f t="shared" si="214"/>
        <v>0</v>
      </c>
      <c r="P1693" s="355"/>
      <c r="Q1693" s="344">
        <f t="shared" si="210"/>
        <v>91580</v>
      </c>
      <c r="R1693" s="23">
        <f t="shared" si="216"/>
        <v>0</v>
      </c>
      <c r="S1693" s="86">
        <f t="shared" si="217"/>
        <v>91580</v>
      </c>
    </row>
    <row r="1694" spans="2:19" x14ac:dyDescent="0.2">
      <c r="B1694" s="83">
        <f t="shared" si="209"/>
        <v>25</v>
      </c>
      <c r="C1694" s="7"/>
      <c r="D1694" s="7"/>
      <c r="E1694" s="7"/>
      <c r="F1694" s="25" t="s">
        <v>207</v>
      </c>
      <c r="G1694" s="7">
        <v>620</v>
      </c>
      <c r="H1694" s="7" t="s">
        <v>135</v>
      </c>
      <c r="I1694" s="23">
        <v>35000</v>
      </c>
      <c r="J1694" s="23"/>
      <c r="K1694" s="86">
        <f t="shared" si="213"/>
        <v>35000</v>
      </c>
      <c r="L1694" s="355"/>
      <c r="M1694" s="344"/>
      <c r="N1694" s="246"/>
      <c r="O1694" s="86">
        <f t="shared" si="214"/>
        <v>0</v>
      </c>
      <c r="P1694" s="355"/>
      <c r="Q1694" s="344">
        <f t="shared" si="210"/>
        <v>35000</v>
      </c>
      <c r="R1694" s="23">
        <f t="shared" si="216"/>
        <v>0</v>
      </c>
      <c r="S1694" s="86">
        <f t="shared" si="217"/>
        <v>35000</v>
      </c>
    </row>
    <row r="1695" spans="2:19" x14ac:dyDescent="0.2">
      <c r="B1695" s="83">
        <f t="shared" si="209"/>
        <v>26</v>
      </c>
      <c r="C1695" s="7"/>
      <c r="D1695" s="7"/>
      <c r="E1695" s="7"/>
      <c r="F1695" s="25" t="s">
        <v>207</v>
      </c>
      <c r="G1695" s="7">
        <v>630</v>
      </c>
      <c r="H1695" s="7" t="s">
        <v>132</v>
      </c>
      <c r="I1695" s="23">
        <f>SUM(I1696:I1705)</f>
        <v>565600</v>
      </c>
      <c r="J1695" s="23"/>
      <c r="K1695" s="86">
        <f t="shared" si="213"/>
        <v>565600</v>
      </c>
      <c r="L1695" s="355"/>
      <c r="M1695" s="344"/>
      <c r="N1695" s="246"/>
      <c r="O1695" s="86">
        <f t="shared" si="214"/>
        <v>0</v>
      </c>
      <c r="P1695" s="355"/>
      <c r="Q1695" s="344">
        <f t="shared" si="210"/>
        <v>565600</v>
      </c>
      <c r="R1695" s="23">
        <f t="shared" si="216"/>
        <v>0</v>
      </c>
      <c r="S1695" s="86">
        <f t="shared" si="217"/>
        <v>565600</v>
      </c>
    </row>
    <row r="1696" spans="2:19" x14ac:dyDescent="0.2">
      <c r="B1696" s="83">
        <f t="shared" si="209"/>
        <v>27</v>
      </c>
      <c r="C1696" s="3"/>
      <c r="D1696" s="3"/>
      <c r="E1696" s="3"/>
      <c r="F1696" s="26" t="s">
        <v>207</v>
      </c>
      <c r="G1696" s="3">
        <v>633</v>
      </c>
      <c r="H1696" s="3" t="s">
        <v>136</v>
      </c>
      <c r="I1696" s="19">
        <f>73300+5000</f>
        <v>78300</v>
      </c>
      <c r="J1696" s="19"/>
      <c r="K1696" s="87">
        <f t="shared" si="213"/>
        <v>78300</v>
      </c>
      <c r="L1696" s="356"/>
      <c r="M1696" s="345"/>
      <c r="N1696" s="208"/>
      <c r="O1696" s="87">
        <f t="shared" si="214"/>
        <v>0</v>
      </c>
      <c r="P1696" s="356"/>
      <c r="Q1696" s="345">
        <f t="shared" si="210"/>
        <v>78300</v>
      </c>
      <c r="R1696" s="19">
        <f t="shared" si="216"/>
        <v>0</v>
      </c>
      <c r="S1696" s="87">
        <f t="shared" si="217"/>
        <v>78300</v>
      </c>
    </row>
    <row r="1697" spans="2:19" x14ac:dyDescent="0.2">
      <c r="B1697" s="83">
        <f t="shared" si="209"/>
        <v>28</v>
      </c>
      <c r="C1697" s="3"/>
      <c r="D1697" s="3"/>
      <c r="E1697" s="3"/>
      <c r="F1697" s="26" t="s">
        <v>207</v>
      </c>
      <c r="G1697" s="3">
        <v>634</v>
      </c>
      <c r="H1697" s="3" t="s">
        <v>143</v>
      </c>
      <c r="I1697" s="19">
        <v>22200</v>
      </c>
      <c r="J1697" s="19"/>
      <c r="K1697" s="87">
        <f t="shared" si="213"/>
        <v>22200</v>
      </c>
      <c r="L1697" s="356"/>
      <c r="M1697" s="345"/>
      <c r="N1697" s="208"/>
      <c r="O1697" s="87">
        <f t="shared" si="214"/>
        <v>0</v>
      </c>
      <c r="P1697" s="356"/>
      <c r="Q1697" s="345">
        <f t="shared" si="210"/>
        <v>22200</v>
      </c>
      <c r="R1697" s="19">
        <f t="shared" si="216"/>
        <v>0</v>
      </c>
      <c r="S1697" s="87">
        <f t="shared" si="217"/>
        <v>22200</v>
      </c>
    </row>
    <row r="1698" spans="2:19" x14ac:dyDescent="0.2">
      <c r="B1698" s="83">
        <f t="shared" si="209"/>
        <v>29</v>
      </c>
      <c r="C1698" s="3"/>
      <c r="D1698" s="3"/>
      <c r="E1698" s="3"/>
      <c r="F1698" s="26" t="s">
        <v>207</v>
      </c>
      <c r="G1698" s="3">
        <v>635</v>
      </c>
      <c r="H1698" s="3" t="s">
        <v>144</v>
      </c>
      <c r="I1698" s="19">
        <f>83500+25000-1500-2300+7500-23100</f>
        <v>89100</v>
      </c>
      <c r="J1698" s="19"/>
      <c r="K1698" s="87">
        <f t="shared" si="213"/>
        <v>89100</v>
      </c>
      <c r="L1698" s="356"/>
      <c r="M1698" s="345"/>
      <c r="N1698" s="208"/>
      <c r="O1698" s="87">
        <f t="shared" si="214"/>
        <v>0</v>
      </c>
      <c r="P1698" s="356"/>
      <c r="Q1698" s="345">
        <f t="shared" si="210"/>
        <v>89100</v>
      </c>
      <c r="R1698" s="19">
        <f t="shared" si="216"/>
        <v>0</v>
      </c>
      <c r="S1698" s="87">
        <f t="shared" si="217"/>
        <v>89100</v>
      </c>
    </row>
    <row r="1699" spans="2:19" x14ac:dyDescent="0.2">
      <c r="B1699" s="83">
        <f t="shared" si="209"/>
        <v>30</v>
      </c>
      <c r="C1699" s="3"/>
      <c r="D1699" s="3"/>
      <c r="E1699" s="3"/>
      <c r="F1699" s="26" t="s">
        <v>207</v>
      </c>
      <c r="G1699" s="3">
        <v>635</v>
      </c>
      <c r="H1699" s="55" t="s">
        <v>430</v>
      </c>
      <c r="I1699" s="63">
        <f>350000-60800</f>
        <v>289200</v>
      </c>
      <c r="J1699" s="63"/>
      <c r="K1699" s="175">
        <f t="shared" si="213"/>
        <v>289200</v>
      </c>
      <c r="L1699" s="356"/>
      <c r="M1699" s="345"/>
      <c r="N1699" s="208"/>
      <c r="O1699" s="87">
        <f t="shared" si="214"/>
        <v>0</v>
      </c>
      <c r="P1699" s="356"/>
      <c r="Q1699" s="345">
        <f t="shared" si="210"/>
        <v>289200</v>
      </c>
      <c r="R1699" s="19">
        <f t="shared" si="216"/>
        <v>0</v>
      </c>
      <c r="S1699" s="87">
        <f t="shared" si="217"/>
        <v>289200</v>
      </c>
    </row>
    <row r="1700" spans="2:19" x14ac:dyDescent="0.2">
      <c r="B1700" s="83">
        <f t="shared" si="209"/>
        <v>31</v>
      </c>
      <c r="C1700" s="3"/>
      <c r="D1700" s="3"/>
      <c r="E1700" s="3"/>
      <c r="F1700" s="26" t="s">
        <v>207</v>
      </c>
      <c r="G1700" s="3">
        <v>635</v>
      </c>
      <c r="H1700" s="55" t="s">
        <v>604</v>
      </c>
      <c r="I1700" s="63">
        <v>25000</v>
      </c>
      <c r="J1700" s="63"/>
      <c r="K1700" s="175">
        <f t="shared" si="213"/>
        <v>25000</v>
      </c>
      <c r="L1700" s="356"/>
      <c r="M1700" s="345"/>
      <c r="N1700" s="208"/>
      <c r="O1700" s="87">
        <f t="shared" si="214"/>
        <v>0</v>
      </c>
      <c r="P1700" s="356"/>
      <c r="Q1700" s="345">
        <f t="shared" si="210"/>
        <v>25000</v>
      </c>
      <c r="R1700" s="19">
        <f t="shared" si="216"/>
        <v>0</v>
      </c>
      <c r="S1700" s="87">
        <f t="shared" si="217"/>
        <v>25000</v>
      </c>
    </row>
    <row r="1701" spans="2:19" x14ac:dyDescent="0.2">
      <c r="B1701" s="83">
        <f t="shared" si="209"/>
        <v>32</v>
      </c>
      <c r="C1701" s="3"/>
      <c r="D1701" s="3"/>
      <c r="E1701" s="3"/>
      <c r="F1701" s="26" t="s">
        <v>207</v>
      </c>
      <c r="G1701" s="3">
        <v>635</v>
      </c>
      <c r="H1701" s="55" t="s">
        <v>605</v>
      </c>
      <c r="I1701" s="63">
        <v>14500</v>
      </c>
      <c r="J1701" s="63"/>
      <c r="K1701" s="175">
        <f t="shared" si="213"/>
        <v>14500</v>
      </c>
      <c r="L1701" s="356"/>
      <c r="M1701" s="345"/>
      <c r="N1701" s="208"/>
      <c r="O1701" s="87">
        <f t="shared" si="214"/>
        <v>0</v>
      </c>
      <c r="P1701" s="356"/>
      <c r="Q1701" s="345">
        <f t="shared" si="210"/>
        <v>14500</v>
      </c>
      <c r="R1701" s="19">
        <f t="shared" si="216"/>
        <v>0</v>
      </c>
      <c r="S1701" s="87">
        <f t="shared" si="217"/>
        <v>14500</v>
      </c>
    </row>
    <row r="1702" spans="2:19" x14ac:dyDescent="0.2">
      <c r="B1702" s="83">
        <f t="shared" si="209"/>
        <v>33</v>
      </c>
      <c r="C1702" s="3"/>
      <c r="D1702" s="3"/>
      <c r="E1702" s="3"/>
      <c r="F1702" s="26" t="s">
        <v>207</v>
      </c>
      <c r="G1702" s="3">
        <v>635</v>
      </c>
      <c r="H1702" s="55" t="s">
        <v>510</v>
      </c>
      <c r="I1702" s="63">
        <v>10500</v>
      </c>
      <c r="J1702" s="63"/>
      <c r="K1702" s="175">
        <f t="shared" si="213"/>
        <v>10500</v>
      </c>
      <c r="L1702" s="356"/>
      <c r="M1702" s="345"/>
      <c r="N1702" s="208"/>
      <c r="O1702" s="87">
        <f t="shared" si="214"/>
        <v>0</v>
      </c>
      <c r="P1702" s="356"/>
      <c r="Q1702" s="345">
        <f t="shared" si="210"/>
        <v>10500</v>
      </c>
      <c r="R1702" s="19">
        <f t="shared" si="216"/>
        <v>0</v>
      </c>
      <c r="S1702" s="87">
        <f t="shared" si="217"/>
        <v>10500</v>
      </c>
    </row>
    <row r="1703" spans="2:19" x14ac:dyDescent="0.2">
      <c r="B1703" s="83">
        <f t="shared" si="209"/>
        <v>34</v>
      </c>
      <c r="C1703" s="3"/>
      <c r="D1703" s="3"/>
      <c r="E1703" s="3"/>
      <c r="F1703" s="26" t="s">
        <v>207</v>
      </c>
      <c r="G1703" s="3">
        <v>635</v>
      </c>
      <c r="H1703" s="55" t="s">
        <v>625</v>
      </c>
      <c r="I1703" s="63">
        <v>8000</v>
      </c>
      <c r="J1703" s="63"/>
      <c r="K1703" s="175">
        <f t="shared" si="213"/>
        <v>8000</v>
      </c>
      <c r="L1703" s="356"/>
      <c r="M1703" s="345"/>
      <c r="N1703" s="208"/>
      <c r="O1703" s="87">
        <f t="shared" si="214"/>
        <v>0</v>
      </c>
      <c r="P1703" s="356"/>
      <c r="Q1703" s="345">
        <f t="shared" si="210"/>
        <v>8000</v>
      </c>
      <c r="R1703" s="19">
        <f t="shared" si="216"/>
        <v>0</v>
      </c>
      <c r="S1703" s="87">
        <f t="shared" si="217"/>
        <v>8000</v>
      </c>
    </row>
    <row r="1704" spans="2:19" x14ac:dyDescent="0.2">
      <c r="B1704" s="83">
        <f t="shared" si="209"/>
        <v>35</v>
      </c>
      <c r="C1704" s="3"/>
      <c r="D1704" s="3"/>
      <c r="E1704" s="3"/>
      <c r="F1704" s="26" t="s">
        <v>207</v>
      </c>
      <c r="G1704" s="3">
        <v>636</v>
      </c>
      <c r="H1704" s="3" t="s">
        <v>137</v>
      </c>
      <c r="I1704" s="19">
        <v>700</v>
      </c>
      <c r="J1704" s="19"/>
      <c r="K1704" s="87">
        <f t="shared" si="213"/>
        <v>700</v>
      </c>
      <c r="L1704" s="356"/>
      <c r="M1704" s="345"/>
      <c r="N1704" s="208"/>
      <c r="O1704" s="87">
        <f t="shared" si="214"/>
        <v>0</v>
      </c>
      <c r="P1704" s="356"/>
      <c r="Q1704" s="345">
        <f t="shared" si="210"/>
        <v>700</v>
      </c>
      <c r="R1704" s="19">
        <f t="shared" si="216"/>
        <v>0</v>
      </c>
      <c r="S1704" s="87">
        <f t="shared" si="217"/>
        <v>700</v>
      </c>
    </row>
    <row r="1705" spans="2:19" x14ac:dyDescent="0.2">
      <c r="B1705" s="83">
        <f t="shared" si="209"/>
        <v>36</v>
      </c>
      <c r="C1705" s="3"/>
      <c r="D1705" s="3"/>
      <c r="E1705" s="3"/>
      <c r="F1705" s="26" t="s">
        <v>207</v>
      </c>
      <c r="G1705" s="3">
        <v>637</v>
      </c>
      <c r="H1705" s="3" t="s">
        <v>133</v>
      </c>
      <c r="I1705" s="19">
        <f>25600+35000-25000-7500</f>
        <v>28100</v>
      </c>
      <c r="J1705" s="19"/>
      <c r="K1705" s="87">
        <f t="shared" si="213"/>
        <v>28100</v>
      </c>
      <c r="L1705" s="356"/>
      <c r="M1705" s="345"/>
      <c r="N1705" s="208"/>
      <c r="O1705" s="87">
        <f t="shared" si="214"/>
        <v>0</v>
      </c>
      <c r="P1705" s="356"/>
      <c r="Q1705" s="345">
        <f t="shared" si="210"/>
        <v>28100</v>
      </c>
      <c r="R1705" s="19">
        <f t="shared" si="216"/>
        <v>0</v>
      </c>
      <c r="S1705" s="87">
        <f t="shared" si="217"/>
        <v>28100</v>
      </c>
    </row>
    <row r="1706" spans="2:19" x14ac:dyDescent="0.2">
      <c r="B1706" s="83">
        <f t="shared" si="209"/>
        <v>37</v>
      </c>
      <c r="C1706" s="7"/>
      <c r="D1706" s="7"/>
      <c r="E1706" s="7"/>
      <c r="F1706" s="25" t="s">
        <v>207</v>
      </c>
      <c r="G1706" s="7">
        <v>640</v>
      </c>
      <c r="H1706" s="7" t="s">
        <v>140</v>
      </c>
      <c r="I1706" s="23">
        <v>350</v>
      </c>
      <c r="J1706" s="23"/>
      <c r="K1706" s="86">
        <f t="shared" si="213"/>
        <v>350</v>
      </c>
      <c r="L1706" s="355"/>
      <c r="M1706" s="344"/>
      <c r="N1706" s="246"/>
      <c r="O1706" s="86">
        <f t="shared" si="214"/>
        <v>0</v>
      </c>
      <c r="P1706" s="355"/>
      <c r="Q1706" s="344">
        <f t="shared" si="210"/>
        <v>350</v>
      </c>
      <c r="R1706" s="23">
        <f t="shared" si="216"/>
        <v>0</v>
      </c>
      <c r="S1706" s="86">
        <f t="shared" si="217"/>
        <v>350</v>
      </c>
    </row>
    <row r="1707" spans="2:19" x14ac:dyDescent="0.2">
      <c r="B1707" s="83">
        <f t="shared" si="209"/>
        <v>38</v>
      </c>
      <c r="C1707" s="7"/>
      <c r="D1707" s="7"/>
      <c r="E1707" s="7"/>
      <c r="F1707" s="25" t="s">
        <v>245</v>
      </c>
      <c r="G1707" s="7">
        <v>710</v>
      </c>
      <c r="H1707" s="7" t="s">
        <v>187</v>
      </c>
      <c r="I1707" s="23"/>
      <c r="J1707" s="23"/>
      <c r="K1707" s="86">
        <f t="shared" si="213"/>
        <v>0</v>
      </c>
      <c r="L1707" s="355"/>
      <c r="M1707" s="344">
        <f>M1708</f>
        <v>30800</v>
      </c>
      <c r="N1707" s="246"/>
      <c r="O1707" s="86">
        <f t="shared" si="214"/>
        <v>30800</v>
      </c>
      <c r="P1707" s="355"/>
      <c r="Q1707" s="344">
        <f t="shared" si="210"/>
        <v>30800</v>
      </c>
      <c r="R1707" s="23">
        <f t="shared" si="216"/>
        <v>0</v>
      </c>
      <c r="S1707" s="86">
        <f t="shared" si="217"/>
        <v>30800</v>
      </c>
    </row>
    <row r="1708" spans="2:19" x14ac:dyDescent="0.2">
      <c r="B1708" s="83">
        <f t="shared" si="209"/>
        <v>39</v>
      </c>
      <c r="C1708" s="3"/>
      <c r="D1708" s="3"/>
      <c r="E1708" s="3"/>
      <c r="F1708" s="26" t="s">
        <v>207</v>
      </c>
      <c r="G1708" s="3">
        <v>714</v>
      </c>
      <c r="H1708" s="3" t="s">
        <v>188</v>
      </c>
      <c r="I1708" s="19"/>
      <c r="J1708" s="19"/>
      <c r="K1708" s="87">
        <f t="shared" si="213"/>
        <v>0</v>
      </c>
      <c r="L1708" s="356"/>
      <c r="M1708" s="345">
        <f>M1709+M1710</f>
        <v>30800</v>
      </c>
      <c r="N1708" s="208"/>
      <c r="O1708" s="87">
        <f t="shared" si="214"/>
        <v>30800</v>
      </c>
      <c r="P1708" s="356"/>
      <c r="Q1708" s="345">
        <f t="shared" si="210"/>
        <v>30800</v>
      </c>
      <c r="R1708" s="19">
        <f t="shared" si="216"/>
        <v>0</v>
      </c>
      <c r="S1708" s="87">
        <f t="shared" si="217"/>
        <v>30800</v>
      </c>
    </row>
    <row r="1709" spans="2:19" x14ac:dyDescent="0.2">
      <c r="B1709" s="83">
        <f t="shared" si="209"/>
        <v>40</v>
      </c>
      <c r="C1709" s="4"/>
      <c r="D1709" s="12"/>
      <c r="E1709" s="4"/>
      <c r="F1709" s="31"/>
      <c r="G1709" s="4"/>
      <c r="H1709" s="13" t="s">
        <v>457</v>
      </c>
      <c r="I1709" s="21"/>
      <c r="J1709" s="21"/>
      <c r="K1709" s="88">
        <f t="shared" si="213"/>
        <v>0</v>
      </c>
      <c r="L1709" s="357"/>
      <c r="M1709" s="346">
        <v>4500</v>
      </c>
      <c r="N1709" s="247"/>
      <c r="O1709" s="88">
        <f t="shared" si="214"/>
        <v>4500</v>
      </c>
      <c r="P1709" s="357"/>
      <c r="Q1709" s="346">
        <f t="shared" si="210"/>
        <v>4500</v>
      </c>
      <c r="R1709" s="21">
        <f t="shared" si="216"/>
        <v>0</v>
      </c>
      <c r="S1709" s="88">
        <f t="shared" si="217"/>
        <v>4500</v>
      </c>
    </row>
    <row r="1710" spans="2:19" x14ac:dyDescent="0.2">
      <c r="B1710" s="83">
        <f t="shared" si="209"/>
        <v>41</v>
      </c>
      <c r="C1710" s="4"/>
      <c r="D1710" s="12"/>
      <c r="E1710" s="221"/>
      <c r="F1710" s="222"/>
      <c r="G1710" s="221"/>
      <c r="H1710" s="13" t="s">
        <v>606</v>
      </c>
      <c r="I1710" s="21"/>
      <c r="J1710" s="21"/>
      <c r="K1710" s="88">
        <f t="shared" si="213"/>
        <v>0</v>
      </c>
      <c r="L1710" s="357"/>
      <c r="M1710" s="346">
        <v>26300</v>
      </c>
      <c r="N1710" s="247"/>
      <c r="O1710" s="88">
        <f t="shared" si="214"/>
        <v>26300</v>
      </c>
      <c r="P1710" s="357"/>
      <c r="Q1710" s="346">
        <f t="shared" si="210"/>
        <v>26300</v>
      </c>
      <c r="R1710" s="21">
        <f t="shared" si="216"/>
        <v>0</v>
      </c>
      <c r="S1710" s="88">
        <f t="shared" si="217"/>
        <v>26300</v>
      </c>
    </row>
    <row r="1711" spans="2:19" ht="15" x14ac:dyDescent="0.2">
      <c r="B1711" s="83">
        <f t="shared" si="209"/>
        <v>42</v>
      </c>
      <c r="C1711" s="239">
        <v>2</v>
      </c>
      <c r="D1711" s="444" t="s">
        <v>151</v>
      </c>
      <c r="E1711" s="445"/>
      <c r="F1711" s="445"/>
      <c r="G1711" s="445"/>
      <c r="H1711" s="446"/>
      <c r="I1711" s="36">
        <f>I1726+I1712</f>
        <v>2251300</v>
      </c>
      <c r="J1711" s="36"/>
      <c r="K1711" s="84">
        <f t="shared" si="213"/>
        <v>2251300</v>
      </c>
      <c r="L1711" s="353"/>
      <c r="M1711" s="342">
        <f>M1712+M1726</f>
        <v>460860</v>
      </c>
      <c r="N1711" s="244"/>
      <c r="O1711" s="84">
        <f t="shared" si="214"/>
        <v>460860</v>
      </c>
      <c r="P1711" s="353"/>
      <c r="Q1711" s="342">
        <f t="shared" si="210"/>
        <v>2712160</v>
      </c>
      <c r="R1711" s="36">
        <f t="shared" si="216"/>
        <v>0</v>
      </c>
      <c r="S1711" s="84">
        <f t="shared" si="217"/>
        <v>2712160</v>
      </c>
    </row>
    <row r="1712" spans="2:19" ht="15" x14ac:dyDescent="0.25">
      <c r="B1712" s="83">
        <f t="shared" si="209"/>
        <v>43</v>
      </c>
      <c r="C1712" s="240"/>
      <c r="D1712" s="240">
        <v>1</v>
      </c>
      <c r="E1712" s="467" t="s">
        <v>150</v>
      </c>
      <c r="F1712" s="445"/>
      <c r="G1712" s="445"/>
      <c r="H1712" s="446"/>
      <c r="I1712" s="37">
        <f>I1713+I1715</f>
        <v>2249000</v>
      </c>
      <c r="J1712" s="37"/>
      <c r="K1712" s="85">
        <f t="shared" si="213"/>
        <v>2249000</v>
      </c>
      <c r="L1712" s="354"/>
      <c r="M1712" s="343">
        <f>M1715</f>
        <v>395800</v>
      </c>
      <c r="N1712" s="245"/>
      <c r="O1712" s="85">
        <f t="shared" si="214"/>
        <v>395800</v>
      </c>
      <c r="P1712" s="354"/>
      <c r="Q1712" s="343">
        <f t="shared" si="210"/>
        <v>2644800</v>
      </c>
      <c r="R1712" s="37">
        <f t="shared" si="216"/>
        <v>0</v>
      </c>
      <c r="S1712" s="85">
        <f t="shared" si="217"/>
        <v>2644800</v>
      </c>
    </row>
    <row r="1713" spans="2:19" x14ac:dyDescent="0.2">
      <c r="B1713" s="83">
        <f t="shared" si="209"/>
        <v>44</v>
      </c>
      <c r="C1713" s="7"/>
      <c r="D1713" s="7"/>
      <c r="E1713" s="7"/>
      <c r="F1713" s="25" t="s">
        <v>149</v>
      </c>
      <c r="G1713" s="7">
        <v>630</v>
      </c>
      <c r="H1713" s="7" t="s">
        <v>132</v>
      </c>
      <c r="I1713" s="23">
        <f>I1714</f>
        <v>2249000</v>
      </c>
      <c r="J1713" s="23"/>
      <c r="K1713" s="86">
        <f t="shared" si="213"/>
        <v>2249000</v>
      </c>
      <c r="L1713" s="355"/>
      <c r="M1713" s="344"/>
      <c r="N1713" s="246"/>
      <c r="O1713" s="86">
        <f t="shared" si="214"/>
        <v>0</v>
      </c>
      <c r="P1713" s="355"/>
      <c r="Q1713" s="344">
        <f t="shared" si="210"/>
        <v>2249000</v>
      </c>
      <c r="R1713" s="23">
        <f t="shared" si="216"/>
        <v>0</v>
      </c>
      <c r="S1713" s="86">
        <f t="shared" si="217"/>
        <v>2249000</v>
      </c>
    </row>
    <row r="1714" spans="2:19" x14ac:dyDescent="0.2">
      <c r="B1714" s="83">
        <f t="shared" si="209"/>
        <v>45</v>
      </c>
      <c r="C1714" s="3"/>
      <c r="D1714" s="3"/>
      <c r="E1714" s="3"/>
      <c r="F1714" s="26" t="s">
        <v>149</v>
      </c>
      <c r="G1714" s="3">
        <v>637</v>
      </c>
      <c r="H1714" s="3" t="s">
        <v>133</v>
      </c>
      <c r="I1714" s="19">
        <f>2544000-200000-24000-13000-3000-55000</f>
        <v>2249000</v>
      </c>
      <c r="J1714" s="19"/>
      <c r="K1714" s="87">
        <f t="shared" si="213"/>
        <v>2249000</v>
      </c>
      <c r="L1714" s="356"/>
      <c r="M1714" s="345"/>
      <c r="N1714" s="208"/>
      <c r="O1714" s="87">
        <f t="shared" si="214"/>
        <v>0</v>
      </c>
      <c r="P1714" s="356"/>
      <c r="Q1714" s="345">
        <f t="shared" si="210"/>
        <v>2249000</v>
      </c>
      <c r="R1714" s="19">
        <f t="shared" si="216"/>
        <v>0</v>
      </c>
      <c r="S1714" s="87">
        <f t="shared" si="217"/>
        <v>2249000</v>
      </c>
    </row>
    <row r="1715" spans="2:19" x14ac:dyDescent="0.2">
      <c r="B1715" s="83">
        <f t="shared" si="209"/>
        <v>46</v>
      </c>
      <c r="C1715" s="7"/>
      <c r="D1715" s="7"/>
      <c r="E1715" s="7"/>
      <c r="F1715" s="25" t="s">
        <v>149</v>
      </c>
      <c r="G1715" s="7">
        <v>710</v>
      </c>
      <c r="H1715" s="7" t="s">
        <v>187</v>
      </c>
      <c r="I1715" s="23"/>
      <c r="J1715" s="23"/>
      <c r="K1715" s="86">
        <f t="shared" si="213"/>
        <v>0</v>
      </c>
      <c r="L1715" s="355"/>
      <c r="M1715" s="344">
        <f>M1716+M1721</f>
        <v>395800</v>
      </c>
      <c r="N1715" s="246"/>
      <c r="O1715" s="86">
        <f t="shared" si="214"/>
        <v>395800</v>
      </c>
      <c r="P1715" s="355"/>
      <c r="Q1715" s="344">
        <f t="shared" si="210"/>
        <v>395800</v>
      </c>
      <c r="R1715" s="23">
        <f t="shared" si="216"/>
        <v>0</v>
      </c>
      <c r="S1715" s="86">
        <f t="shared" si="217"/>
        <v>395800</v>
      </c>
    </row>
    <row r="1716" spans="2:19" x14ac:dyDescent="0.2">
      <c r="B1716" s="83">
        <f t="shared" si="209"/>
        <v>47</v>
      </c>
      <c r="C1716" s="3"/>
      <c r="D1716" s="3"/>
      <c r="E1716" s="3"/>
      <c r="F1716" s="26" t="s">
        <v>149</v>
      </c>
      <c r="G1716" s="3">
        <v>716</v>
      </c>
      <c r="H1716" s="3" t="s">
        <v>231</v>
      </c>
      <c r="I1716" s="19"/>
      <c r="J1716" s="19"/>
      <c r="K1716" s="87">
        <f t="shared" si="213"/>
        <v>0</v>
      </c>
      <c r="L1716" s="356"/>
      <c r="M1716" s="345">
        <f>M1719+M1717+M1718+M1720</f>
        <v>14000</v>
      </c>
      <c r="N1716" s="208"/>
      <c r="O1716" s="87">
        <f t="shared" si="214"/>
        <v>14000</v>
      </c>
      <c r="P1716" s="356"/>
      <c r="Q1716" s="345">
        <f t="shared" si="210"/>
        <v>14000</v>
      </c>
      <c r="R1716" s="19">
        <f t="shared" si="216"/>
        <v>0</v>
      </c>
      <c r="S1716" s="87">
        <f t="shared" si="217"/>
        <v>14000</v>
      </c>
    </row>
    <row r="1717" spans="2:19" x14ac:dyDescent="0.2">
      <c r="B1717" s="83">
        <f t="shared" si="209"/>
        <v>48</v>
      </c>
      <c r="C1717" s="3"/>
      <c r="D1717" s="3"/>
      <c r="E1717" s="3"/>
      <c r="F1717" s="26"/>
      <c r="G1717" s="3"/>
      <c r="H1717" s="148" t="s">
        <v>480</v>
      </c>
      <c r="I1717" s="21"/>
      <c r="J1717" s="21"/>
      <c r="K1717" s="88">
        <f t="shared" si="213"/>
        <v>0</v>
      </c>
      <c r="L1717" s="357"/>
      <c r="M1717" s="346">
        <v>5000</v>
      </c>
      <c r="N1717" s="247"/>
      <c r="O1717" s="88">
        <f t="shared" si="214"/>
        <v>5000</v>
      </c>
      <c r="P1717" s="357"/>
      <c r="Q1717" s="346">
        <f t="shared" si="210"/>
        <v>5000</v>
      </c>
      <c r="R1717" s="21">
        <f t="shared" si="216"/>
        <v>0</v>
      </c>
      <c r="S1717" s="88">
        <f t="shared" si="217"/>
        <v>5000</v>
      </c>
    </row>
    <row r="1718" spans="2:19" x14ac:dyDescent="0.2">
      <c r="B1718" s="83">
        <f t="shared" si="209"/>
        <v>49</v>
      </c>
      <c r="C1718" s="3"/>
      <c r="D1718" s="3"/>
      <c r="E1718" s="3"/>
      <c r="F1718" s="26"/>
      <c r="G1718" s="3"/>
      <c r="H1718" s="148" t="s">
        <v>491</v>
      </c>
      <c r="I1718" s="21"/>
      <c r="J1718" s="21"/>
      <c r="K1718" s="88">
        <f t="shared" si="213"/>
        <v>0</v>
      </c>
      <c r="L1718" s="357"/>
      <c r="M1718" s="346">
        <v>3000</v>
      </c>
      <c r="N1718" s="247"/>
      <c r="O1718" s="88">
        <f t="shared" si="214"/>
        <v>3000</v>
      </c>
      <c r="P1718" s="357"/>
      <c r="Q1718" s="346">
        <f t="shared" si="210"/>
        <v>3000</v>
      </c>
      <c r="R1718" s="21">
        <f t="shared" si="216"/>
        <v>0</v>
      </c>
      <c r="S1718" s="88">
        <f t="shared" si="217"/>
        <v>3000</v>
      </c>
    </row>
    <row r="1719" spans="2:19" x14ac:dyDescent="0.2">
      <c r="B1719" s="83">
        <f t="shared" si="209"/>
        <v>50</v>
      </c>
      <c r="C1719" s="4"/>
      <c r="D1719" s="4"/>
      <c r="E1719" s="4"/>
      <c r="F1719" s="27"/>
      <c r="G1719" s="4"/>
      <c r="H1719" s="4" t="s">
        <v>378</v>
      </c>
      <c r="I1719" s="21"/>
      <c r="J1719" s="21"/>
      <c r="K1719" s="88">
        <f t="shared" si="213"/>
        <v>0</v>
      </c>
      <c r="L1719" s="357"/>
      <c r="M1719" s="346">
        <v>4000</v>
      </c>
      <c r="N1719" s="247"/>
      <c r="O1719" s="88">
        <f t="shared" si="214"/>
        <v>4000</v>
      </c>
      <c r="P1719" s="357"/>
      <c r="Q1719" s="346">
        <f t="shared" si="210"/>
        <v>4000</v>
      </c>
      <c r="R1719" s="21">
        <f t="shared" si="216"/>
        <v>0</v>
      </c>
      <c r="S1719" s="88">
        <f t="shared" si="217"/>
        <v>4000</v>
      </c>
    </row>
    <row r="1720" spans="2:19" x14ac:dyDescent="0.2">
      <c r="B1720" s="83">
        <f t="shared" si="209"/>
        <v>51</v>
      </c>
      <c r="C1720" s="4"/>
      <c r="D1720" s="4"/>
      <c r="E1720" s="4"/>
      <c r="F1720" s="27"/>
      <c r="G1720" s="4"/>
      <c r="H1720" s="4" t="s">
        <v>590</v>
      </c>
      <c r="I1720" s="21"/>
      <c r="J1720" s="21"/>
      <c r="K1720" s="88">
        <f t="shared" si="213"/>
        <v>0</v>
      </c>
      <c r="L1720" s="357"/>
      <c r="M1720" s="346">
        <v>2000</v>
      </c>
      <c r="N1720" s="247"/>
      <c r="O1720" s="88">
        <f t="shared" si="214"/>
        <v>2000</v>
      </c>
      <c r="P1720" s="357"/>
      <c r="Q1720" s="346">
        <f t="shared" si="210"/>
        <v>2000</v>
      </c>
      <c r="R1720" s="21">
        <f t="shared" si="216"/>
        <v>0</v>
      </c>
      <c r="S1720" s="88">
        <f t="shared" si="217"/>
        <v>2000</v>
      </c>
    </row>
    <row r="1721" spans="2:19" x14ac:dyDescent="0.2">
      <c r="B1721" s="83">
        <f t="shared" si="209"/>
        <v>52</v>
      </c>
      <c r="C1721" s="3"/>
      <c r="D1721" s="3"/>
      <c r="E1721" s="3"/>
      <c r="F1721" s="26" t="s">
        <v>149</v>
      </c>
      <c r="G1721" s="3">
        <v>717</v>
      </c>
      <c r="H1721" s="3" t="s">
        <v>197</v>
      </c>
      <c r="I1721" s="19"/>
      <c r="J1721" s="19"/>
      <c r="K1721" s="87">
        <f t="shared" si="213"/>
        <v>0</v>
      </c>
      <c r="L1721" s="356"/>
      <c r="M1721" s="345">
        <f>SUM(M1722:M1725)</f>
        <v>381800</v>
      </c>
      <c r="N1721" s="208"/>
      <c r="O1721" s="87">
        <f t="shared" si="214"/>
        <v>381800</v>
      </c>
      <c r="P1721" s="356"/>
      <c r="Q1721" s="345">
        <f t="shared" si="210"/>
        <v>381800</v>
      </c>
      <c r="R1721" s="19">
        <f t="shared" si="216"/>
        <v>0</v>
      </c>
      <c r="S1721" s="87">
        <f t="shared" si="217"/>
        <v>381800</v>
      </c>
    </row>
    <row r="1722" spans="2:19" x14ac:dyDescent="0.2">
      <c r="B1722" s="83">
        <f t="shared" si="209"/>
        <v>53</v>
      </c>
      <c r="C1722" s="4"/>
      <c r="D1722" s="4"/>
      <c r="E1722" s="4"/>
      <c r="F1722" s="27"/>
      <c r="G1722" s="4"/>
      <c r="H1722" s="13" t="s">
        <v>378</v>
      </c>
      <c r="I1722" s="21"/>
      <c r="J1722" s="21"/>
      <c r="K1722" s="88">
        <f t="shared" si="213"/>
        <v>0</v>
      </c>
      <c r="L1722" s="357"/>
      <c r="M1722" s="346">
        <f>130000+12000+3800</f>
        <v>145800</v>
      </c>
      <c r="N1722" s="247"/>
      <c r="O1722" s="88">
        <f t="shared" si="214"/>
        <v>145800</v>
      </c>
      <c r="P1722" s="357"/>
      <c r="Q1722" s="346">
        <f t="shared" si="210"/>
        <v>145800</v>
      </c>
      <c r="R1722" s="21">
        <f t="shared" si="216"/>
        <v>0</v>
      </c>
      <c r="S1722" s="88">
        <f t="shared" si="217"/>
        <v>145800</v>
      </c>
    </row>
    <row r="1723" spans="2:19" x14ac:dyDescent="0.2">
      <c r="B1723" s="83">
        <f t="shared" si="209"/>
        <v>54</v>
      </c>
      <c r="C1723" s="4"/>
      <c r="D1723" s="4"/>
      <c r="E1723" s="4"/>
      <c r="F1723" s="27"/>
      <c r="G1723" s="4"/>
      <c r="H1723" s="148" t="s">
        <v>480</v>
      </c>
      <c r="I1723" s="21"/>
      <c r="J1723" s="21"/>
      <c r="K1723" s="88">
        <f t="shared" si="213"/>
        <v>0</v>
      </c>
      <c r="L1723" s="357"/>
      <c r="M1723" s="346">
        <f>146000-5000</f>
        <v>141000</v>
      </c>
      <c r="N1723" s="247"/>
      <c r="O1723" s="88">
        <f t="shared" si="214"/>
        <v>141000</v>
      </c>
      <c r="P1723" s="357"/>
      <c r="Q1723" s="346">
        <f t="shared" si="210"/>
        <v>141000</v>
      </c>
      <c r="R1723" s="21">
        <f t="shared" si="216"/>
        <v>0</v>
      </c>
      <c r="S1723" s="88">
        <f t="shared" si="217"/>
        <v>141000</v>
      </c>
    </row>
    <row r="1724" spans="2:19" x14ac:dyDescent="0.2">
      <c r="B1724" s="83">
        <f t="shared" si="209"/>
        <v>55</v>
      </c>
      <c r="C1724" s="4"/>
      <c r="D1724" s="4"/>
      <c r="E1724" s="4"/>
      <c r="F1724" s="27"/>
      <c r="G1724" s="4"/>
      <c r="H1724" s="148" t="s">
        <v>491</v>
      </c>
      <c r="I1724" s="21"/>
      <c r="J1724" s="21"/>
      <c r="K1724" s="88">
        <f t="shared" si="213"/>
        <v>0</v>
      </c>
      <c r="L1724" s="357"/>
      <c r="M1724" s="346">
        <f>60000-3000+13000</f>
        <v>70000</v>
      </c>
      <c r="N1724" s="247"/>
      <c r="O1724" s="88">
        <f t="shared" si="214"/>
        <v>70000</v>
      </c>
      <c r="P1724" s="357"/>
      <c r="Q1724" s="346">
        <f t="shared" si="210"/>
        <v>70000</v>
      </c>
      <c r="R1724" s="21">
        <f t="shared" si="216"/>
        <v>0</v>
      </c>
      <c r="S1724" s="88">
        <f t="shared" si="217"/>
        <v>70000</v>
      </c>
    </row>
    <row r="1725" spans="2:19" x14ac:dyDescent="0.2">
      <c r="B1725" s="83">
        <f t="shared" si="209"/>
        <v>56</v>
      </c>
      <c r="C1725" s="4"/>
      <c r="D1725" s="4"/>
      <c r="E1725" s="4"/>
      <c r="F1725" s="27"/>
      <c r="G1725" s="4"/>
      <c r="H1725" s="148" t="s">
        <v>590</v>
      </c>
      <c r="I1725" s="21"/>
      <c r="J1725" s="21"/>
      <c r="K1725" s="88">
        <f t="shared" si="213"/>
        <v>0</v>
      </c>
      <c r="L1725" s="357"/>
      <c r="M1725" s="346">
        <f>22000+3000</f>
        <v>25000</v>
      </c>
      <c r="N1725" s="247"/>
      <c r="O1725" s="88">
        <f t="shared" si="214"/>
        <v>25000</v>
      </c>
      <c r="P1725" s="357"/>
      <c r="Q1725" s="346">
        <f t="shared" si="210"/>
        <v>25000</v>
      </c>
      <c r="R1725" s="21">
        <f t="shared" si="216"/>
        <v>0</v>
      </c>
      <c r="S1725" s="88">
        <f t="shared" si="217"/>
        <v>25000</v>
      </c>
    </row>
    <row r="1726" spans="2:19" ht="15" x14ac:dyDescent="0.25">
      <c r="B1726" s="83">
        <f t="shared" si="209"/>
        <v>57</v>
      </c>
      <c r="C1726" s="240"/>
      <c r="D1726" s="240">
        <v>2</v>
      </c>
      <c r="E1726" s="467" t="s">
        <v>256</v>
      </c>
      <c r="F1726" s="445"/>
      <c r="G1726" s="445"/>
      <c r="H1726" s="446"/>
      <c r="I1726" s="37">
        <f>I1727+I1729</f>
        <v>2300</v>
      </c>
      <c r="J1726" s="37"/>
      <c r="K1726" s="85">
        <f t="shared" si="213"/>
        <v>2300</v>
      </c>
      <c r="L1726" s="354"/>
      <c r="M1726" s="343">
        <f>M1729</f>
        <v>65060</v>
      </c>
      <c r="N1726" s="245"/>
      <c r="O1726" s="85">
        <f t="shared" si="214"/>
        <v>65060</v>
      </c>
      <c r="P1726" s="354"/>
      <c r="Q1726" s="343">
        <f t="shared" si="210"/>
        <v>67360</v>
      </c>
      <c r="R1726" s="37">
        <f t="shared" si="216"/>
        <v>0</v>
      </c>
      <c r="S1726" s="85">
        <f t="shared" si="217"/>
        <v>67360</v>
      </c>
    </row>
    <row r="1727" spans="2:19" x14ac:dyDescent="0.2">
      <c r="B1727" s="83">
        <f t="shared" si="209"/>
        <v>58</v>
      </c>
      <c r="C1727" s="7"/>
      <c r="D1727" s="7"/>
      <c r="E1727" s="7"/>
      <c r="F1727" s="25" t="s">
        <v>149</v>
      </c>
      <c r="G1727" s="7">
        <v>630</v>
      </c>
      <c r="H1727" s="7" t="s">
        <v>132</v>
      </c>
      <c r="I1727" s="23">
        <f>I1728</f>
        <v>2300</v>
      </c>
      <c r="J1727" s="23"/>
      <c r="K1727" s="86">
        <f t="shared" si="213"/>
        <v>2300</v>
      </c>
      <c r="L1727" s="355"/>
      <c r="M1727" s="344"/>
      <c r="N1727" s="246"/>
      <c r="O1727" s="86">
        <f t="shared" si="214"/>
        <v>0</v>
      </c>
      <c r="P1727" s="355"/>
      <c r="Q1727" s="344">
        <f t="shared" si="210"/>
        <v>2300</v>
      </c>
      <c r="R1727" s="23">
        <f t="shared" si="216"/>
        <v>0</v>
      </c>
      <c r="S1727" s="86">
        <f t="shared" si="217"/>
        <v>2300</v>
      </c>
    </row>
    <row r="1728" spans="2:19" x14ac:dyDescent="0.2">
      <c r="B1728" s="83">
        <f t="shared" si="209"/>
        <v>59</v>
      </c>
      <c r="C1728" s="3"/>
      <c r="D1728" s="3"/>
      <c r="E1728" s="3"/>
      <c r="F1728" s="26" t="s">
        <v>149</v>
      </c>
      <c r="G1728" s="3">
        <v>637</v>
      </c>
      <c r="H1728" s="3" t="s">
        <v>133</v>
      </c>
      <c r="I1728" s="19">
        <v>2300</v>
      </c>
      <c r="J1728" s="19"/>
      <c r="K1728" s="87">
        <f t="shared" si="213"/>
        <v>2300</v>
      </c>
      <c r="L1728" s="356"/>
      <c r="M1728" s="345"/>
      <c r="N1728" s="208"/>
      <c r="O1728" s="87">
        <f t="shared" si="214"/>
        <v>0</v>
      </c>
      <c r="P1728" s="356"/>
      <c r="Q1728" s="345">
        <f t="shared" si="210"/>
        <v>2300</v>
      </c>
      <c r="R1728" s="19">
        <f t="shared" si="216"/>
        <v>0</v>
      </c>
      <c r="S1728" s="87">
        <f t="shared" si="217"/>
        <v>2300</v>
      </c>
    </row>
    <row r="1729" spans="2:19" x14ac:dyDescent="0.2">
      <c r="B1729" s="83">
        <f t="shared" si="209"/>
        <v>60</v>
      </c>
      <c r="C1729" s="7"/>
      <c r="D1729" s="7"/>
      <c r="E1729" s="7"/>
      <c r="F1729" s="25" t="s">
        <v>149</v>
      </c>
      <c r="G1729" s="7">
        <v>710</v>
      </c>
      <c r="H1729" s="7" t="s">
        <v>187</v>
      </c>
      <c r="I1729" s="23"/>
      <c r="J1729" s="23"/>
      <c r="K1729" s="86">
        <f t="shared" si="213"/>
        <v>0</v>
      </c>
      <c r="L1729" s="355"/>
      <c r="M1729" s="344">
        <f>M1730</f>
        <v>65060</v>
      </c>
      <c r="N1729" s="246"/>
      <c r="O1729" s="86">
        <f t="shared" si="214"/>
        <v>65060</v>
      </c>
      <c r="P1729" s="355"/>
      <c r="Q1729" s="344">
        <f t="shared" si="210"/>
        <v>65060</v>
      </c>
      <c r="R1729" s="23">
        <f t="shared" si="216"/>
        <v>0</v>
      </c>
      <c r="S1729" s="86">
        <f t="shared" si="217"/>
        <v>65060</v>
      </c>
    </row>
    <row r="1730" spans="2:19" x14ac:dyDescent="0.2">
      <c r="B1730" s="83">
        <f t="shared" si="209"/>
        <v>61</v>
      </c>
      <c r="C1730" s="3"/>
      <c r="D1730" s="3"/>
      <c r="E1730" s="3"/>
      <c r="F1730" s="26" t="s">
        <v>149</v>
      </c>
      <c r="G1730" s="3">
        <v>717</v>
      </c>
      <c r="H1730" s="3" t="s">
        <v>197</v>
      </c>
      <c r="I1730" s="19"/>
      <c r="J1730" s="19"/>
      <c r="K1730" s="87">
        <f t="shared" si="213"/>
        <v>0</v>
      </c>
      <c r="L1730" s="356"/>
      <c r="M1730" s="345">
        <f>M1731</f>
        <v>65060</v>
      </c>
      <c r="N1730" s="208"/>
      <c r="O1730" s="87">
        <f t="shared" si="214"/>
        <v>65060</v>
      </c>
      <c r="P1730" s="356"/>
      <c r="Q1730" s="345">
        <f t="shared" si="210"/>
        <v>65060</v>
      </c>
      <c r="R1730" s="19">
        <f t="shared" si="216"/>
        <v>0</v>
      </c>
      <c r="S1730" s="87">
        <f t="shared" si="217"/>
        <v>65060</v>
      </c>
    </row>
    <row r="1731" spans="2:19" x14ac:dyDescent="0.2">
      <c r="B1731" s="83">
        <f t="shared" si="209"/>
        <v>62</v>
      </c>
      <c r="C1731" s="4"/>
      <c r="D1731" s="4"/>
      <c r="E1731" s="4"/>
      <c r="F1731" s="27"/>
      <c r="G1731" s="4"/>
      <c r="H1731" s="4" t="s">
        <v>261</v>
      </c>
      <c r="I1731" s="21"/>
      <c r="J1731" s="21"/>
      <c r="K1731" s="88">
        <f t="shared" si="213"/>
        <v>0</v>
      </c>
      <c r="L1731" s="357"/>
      <c r="M1731" s="346">
        <v>65060</v>
      </c>
      <c r="N1731" s="247"/>
      <c r="O1731" s="88">
        <f t="shared" si="214"/>
        <v>65060</v>
      </c>
      <c r="P1731" s="357"/>
      <c r="Q1731" s="346">
        <f t="shared" si="210"/>
        <v>65060</v>
      </c>
      <c r="R1731" s="21">
        <f t="shared" si="216"/>
        <v>0</v>
      </c>
      <c r="S1731" s="88">
        <f t="shared" si="217"/>
        <v>65060</v>
      </c>
    </row>
    <row r="1732" spans="2:19" ht="15" x14ac:dyDescent="0.2">
      <c r="B1732" s="83">
        <f t="shared" si="209"/>
        <v>63</v>
      </c>
      <c r="C1732" s="239">
        <v>3</v>
      </c>
      <c r="D1732" s="444" t="s">
        <v>514</v>
      </c>
      <c r="E1732" s="445"/>
      <c r="F1732" s="445"/>
      <c r="G1732" s="445"/>
      <c r="H1732" s="446"/>
      <c r="I1732" s="36">
        <f>I1733+I1736+I1742+I1747+I1755+I1745</f>
        <v>99500</v>
      </c>
      <c r="J1732" s="36">
        <f>J1733+J1736+J1742+J1747+J1755+J1745</f>
        <v>0</v>
      </c>
      <c r="K1732" s="84">
        <f t="shared" si="213"/>
        <v>99500</v>
      </c>
      <c r="L1732" s="353"/>
      <c r="M1732" s="342">
        <f>M1747</f>
        <v>204520</v>
      </c>
      <c r="N1732" s="244"/>
      <c r="O1732" s="84">
        <f t="shared" si="214"/>
        <v>204520</v>
      </c>
      <c r="P1732" s="353"/>
      <c r="Q1732" s="342">
        <f t="shared" ref="Q1732:Q1785" si="218">I1732+M1732</f>
        <v>304020</v>
      </c>
      <c r="R1732" s="36">
        <f t="shared" si="216"/>
        <v>0</v>
      </c>
      <c r="S1732" s="84">
        <f t="shared" si="217"/>
        <v>304020</v>
      </c>
    </row>
    <row r="1733" spans="2:19" x14ac:dyDescent="0.2">
      <c r="B1733" s="83">
        <f t="shared" si="209"/>
        <v>64</v>
      </c>
      <c r="C1733" s="7"/>
      <c r="D1733" s="7"/>
      <c r="E1733" s="7"/>
      <c r="F1733" s="25" t="s">
        <v>258</v>
      </c>
      <c r="G1733" s="7">
        <v>630</v>
      </c>
      <c r="H1733" s="7" t="s">
        <v>132</v>
      </c>
      <c r="I1733" s="23">
        <f>I1735+I1734</f>
        <v>16100</v>
      </c>
      <c r="J1733" s="23"/>
      <c r="K1733" s="86">
        <f t="shared" ref="K1733:K1785" si="219">J1733+I1733</f>
        <v>16100</v>
      </c>
      <c r="L1733" s="355"/>
      <c r="M1733" s="344"/>
      <c r="N1733" s="246"/>
      <c r="O1733" s="86">
        <f t="shared" ref="O1733:O1785" si="220">N1733+M1733</f>
        <v>0</v>
      </c>
      <c r="P1733" s="355"/>
      <c r="Q1733" s="344">
        <f t="shared" si="218"/>
        <v>16100</v>
      </c>
      <c r="R1733" s="23">
        <f t="shared" si="216"/>
        <v>0</v>
      </c>
      <c r="S1733" s="86">
        <f t="shared" si="217"/>
        <v>16100</v>
      </c>
    </row>
    <row r="1734" spans="2:19" x14ac:dyDescent="0.2">
      <c r="B1734" s="83">
        <f t="shared" ref="B1734:B1743" si="221">B1733+1</f>
        <v>65</v>
      </c>
      <c r="C1734" s="3"/>
      <c r="D1734" s="3"/>
      <c r="E1734" s="3"/>
      <c r="F1734" s="26" t="s">
        <v>258</v>
      </c>
      <c r="G1734" s="3">
        <v>633</v>
      </c>
      <c r="H1734" s="3" t="s">
        <v>136</v>
      </c>
      <c r="I1734" s="19">
        <v>100</v>
      </c>
      <c r="J1734" s="19"/>
      <c r="K1734" s="87">
        <f t="shared" si="219"/>
        <v>100</v>
      </c>
      <c r="L1734" s="356"/>
      <c r="M1734" s="345"/>
      <c r="N1734" s="208"/>
      <c r="O1734" s="87">
        <f t="shared" si="220"/>
        <v>0</v>
      </c>
      <c r="P1734" s="356"/>
      <c r="Q1734" s="345">
        <f t="shared" si="218"/>
        <v>100</v>
      </c>
      <c r="R1734" s="19">
        <f t="shared" si="216"/>
        <v>0</v>
      </c>
      <c r="S1734" s="87">
        <f t="shared" si="217"/>
        <v>100</v>
      </c>
    </row>
    <row r="1735" spans="2:19" x14ac:dyDescent="0.2">
      <c r="B1735" s="83">
        <f t="shared" si="221"/>
        <v>66</v>
      </c>
      <c r="C1735" s="3"/>
      <c r="D1735" s="3"/>
      <c r="E1735" s="3"/>
      <c r="F1735" s="26" t="s">
        <v>258</v>
      </c>
      <c r="G1735" s="3">
        <v>637</v>
      </c>
      <c r="H1735" s="3" t="s">
        <v>133</v>
      </c>
      <c r="I1735" s="19">
        <f>93500-85000+2500+2000+3000</f>
        <v>16000</v>
      </c>
      <c r="J1735" s="19"/>
      <c r="K1735" s="87">
        <f t="shared" si="219"/>
        <v>16000</v>
      </c>
      <c r="L1735" s="356"/>
      <c r="M1735" s="345"/>
      <c r="N1735" s="208"/>
      <c r="O1735" s="87">
        <f t="shared" si="220"/>
        <v>0</v>
      </c>
      <c r="P1735" s="356"/>
      <c r="Q1735" s="345">
        <f t="shared" si="218"/>
        <v>16000</v>
      </c>
      <c r="R1735" s="19">
        <f t="shared" si="216"/>
        <v>0</v>
      </c>
      <c r="S1735" s="87">
        <f t="shared" si="217"/>
        <v>16000</v>
      </c>
    </row>
    <row r="1736" spans="2:19" x14ac:dyDescent="0.2">
      <c r="B1736" s="83">
        <f t="shared" si="221"/>
        <v>67</v>
      </c>
      <c r="C1736" s="7"/>
      <c r="D1736" s="7"/>
      <c r="E1736" s="7"/>
      <c r="F1736" s="25" t="s">
        <v>82</v>
      </c>
      <c r="G1736" s="7">
        <v>630</v>
      </c>
      <c r="H1736" s="7" t="s">
        <v>132</v>
      </c>
      <c r="I1736" s="23">
        <f>I1737+I1738+I1739+I1741</f>
        <v>63000</v>
      </c>
      <c r="J1736" s="23">
        <f>J1737+J1738+J1739+J1741+J1740</f>
        <v>0</v>
      </c>
      <c r="K1736" s="86">
        <f t="shared" si="219"/>
        <v>63000</v>
      </c>
      <c r="L1736" s="355"/>
      <c r="M1736" s="344"/>
      <c r="N1736" s="246"/>
      <c r="O1736" s="86">
        <f t="shared" si="220"/>
        <v>0</v>
      </c>
      <c r="P1736" s="355"/>
      <c r="Q1736" s="344">
        <f t="shared" si="218"/>
        <v>63000</v>
      </c>
      <c r="R1736" s="23">
        <f t="shared" si="216"/>
        <v>0</v>
      </c>
      <c r="S1736" s="86">
        <f t="shared" si="217"/>
        <v>63000</v>
      </c>
    </row>
    <row r="1737" spans="2:19" x14ac:dyDescent="0.2">
      <c r="B1737" s="83">
        <f t="shared" si="221"/>
        <v>68</v>
      </c>
      <c r="C1737" s="3"/>
      <c r="D1737" s="3"/>
      <c r="E1737" s="3"/>
      <c r="F1737" s="26" t="s">
        <v>82</v>
      </c>
      <c r="G1737" s="3">
        <v>637</v>
      </c>
      <c r="H1737" s="55" t="s">
        <v>384</v>
      </c>
      <c r="I1737" s="63">
        <f>15000+29950</f>
        <v>44950</v>
      </c>
      <c r="J1737" s="63"/>
      <c r="K1737" s="175">
        <f t="shared" si="219"/>
        <v>44950</v>
      </c>
      <c r="L1737" s="356"/>
      <c r="M1737" s="345"/>
      <c r="N1737" s="208"/>
      <c r="O1737" s="87">
        <f t="shared" si="220"/>
        <v>0</v>
      </c>
      <c r="P1737" s="356"/>
      <c r="Q1737" s="345">
        <f t="shared" si="218"/>
        <v>44950</v>
      </c>
      <c r="R1737" s="19">
        <f t="shared" si="216"/>
        <v>0</v>
      </c>
      <c r="S1737" s="87">
        <f t="shared" si="217"/>
        <v>44950</v>
      </c>
    </row>
    <row r="1738" spans="2:19" x14ac:dyDescent="0.2">
      <c r="B1738" s="83">
        <f t="shared" si="221"/>
        <v>69</v>
      </c>
      <c r="C1738" s="3"/>
      <c r="D1738" s="3"/>
      <c r="E1738" s="3"/>
      <c r="F1738" s="26" t="s">
        <v>82</v>
      </c>
      <c r="G1738" s="3">
        <v>637</v>
      </c>
      <c r="H1738" s="3" t="s">
        <v>450</v>
      </c>
      <c r="I1738" s="63">
        <f>6450-2350</f>
        <v>4100</v>
      </c>
      <c r="J1738" s="63"/>
      <c r="K1738" s="175">
        <f t="shared" si="219"/>
        <v>4100</v>
      </c>
      <c r="L1738" s="356"/>
      <c r="M1738" s="345"/>
      <c r="N1738" s="208"/>
      <c r="O1738" s="87">
        <f t="shared" si="220"/>
        <v>0</v>
      </c>
      <c r="P1738" s="356"/>
      <c r="Q1738" s="345">
        <f t="shared" si="218"/>
        <v>4100</v>
      </c>
      <c r="R1738" s="19">
        <f t="shared" si="216"/>
        <v>0</v>
      </c>
      <c r="S1738" s="87">
        <f t="shared" si="217"/>
        <v>4100</v>
      </c>
    </row>
    <row r="1739" spans="2:19" ht="24" x14ac:dyDescent="0.2">
      <c r="B1739" s="83">
        <f t="shared" si="221"/>
        <v>70</v>
      </c>
      <c r="C1739" s="47"/>
      <c r="D1739" s="47"/>
      <c r="E1739" s="47"/>
      <c r="F1739" s="168" t="s">
        <v>82</v>
      </c>
      <c r="G1739" s="47">
        <v>637</v>
      </c>
      <c r="H1739" s="169" t="s">
        <v>653</v>
      </c>
      <c r="I1739" s="92">
        <v>9000</v>
      </c>
      <c r="J1739" s="92">
        <v>-9000</v>
      </c>
      <c r="K1739" s="387">
        <f t="shared" si="219"/>
        <v>0</v>
      </c>
      <c r="L1739" s="386"/>
      <c r="M1739" s="364"/>
      <c r="N1739" s="258"/>
      <c r="O1739" s="111">
        <f t="shared" si="220"/>
        <v>0</v>
      </c>
      <c r="P1739" s="386"/>
      <c r="Q1739" s="364">
        <f t="shared" si="218"/>
        <v>9000</v>
      </c>
      <c r="R1739" s="50">
        <f t="shared" si="216"/>
        <v>-9000</v>
      </c>
      <c r="S1739" s="111">
        <f t="shared" si="217"/>
        <v>0</v>
      </c>
    </row>
    <row r="1740" spans="2:19" ht="24" x14ac:dyDescent="0.2">
      <c r="B1740" s="83">
        <f t="shared" si="221"/>
        <v>71</v>
      </c>
      <c r="C1740" s="47"/>
      <c r="D1740" s="47"/>
      <c r="E1740" s="47"/>
      <c r="F1740" s="168" t="s">
        <v>82</v>
      </c>
      <c r="G1740" s="47">
        <v>636</v>
      </c>
      <c r="H1740" s="169" t="s">
        <v>653</v>
      </c>
      <c r="I1740" s="92">
        <v>0</v>
      </c>
      <c r="J1740" s="92">
        <v>9000</v>
      </c>
      <c r="K1740" s="387">
        <f t="shared" si="219"/>
        <v>9000</v>
      </c>
      <c r="L1740" s="386"/>
      <c r="M1740" s="364"/>
      <c r="N1740" s="258"/>
      <c r="O1740" s="111"/>
      <c r="P1740" s="386"/>
      <c r="Q1740" s="364">
        <f t="shared" ref="Q1740" si="222">I1740+M1740</f>
        <v>0</v>
      </c>
      <c r="R1740" s="50">
        <f t="shared" ref="R1740" si="223">J1740+N1740</f>
        <v>9000</v>
      </c>
      <c r="S1740" s="111">
        <f t="shared" ref="S1740" si="224">K1740+O1740</f>
        <v>9000</v>
      </c>
    </row>
    <row r="1741" spans="2:19" x14ac:dyDescent="0.2">
      <c r="B1741" s="83">
        <f t="shared" si="221"/>
        <v>72</v>
      </c>
      <c r="C1741" s="47"/>
      <c r="D1741" s="47"/>
      <c r="E1741" s="47"/>
      <c r="F1741" s="168" t="s">
        <v>82</v>
      </c>
      <c r="G1741" s="47">
        <v>637</v>
      </c>
      <c r="H1741" s="169" t="s">
        <v>662</v>
      </c>
      <c r="I1741" s="92">
        <v>4950</v>
      </c>
      <c r="J1741" s="92"/>
      <c r="K1741" s="387">
        <f t="shared" si="219"/>
        <v>4950</v>
      </c>
      <c r="L1741" s="386"/>
      <c r="M1741" s="364"/>
      <c r="N1741" s="258"/>
      <c r="O1741" s="111">
        <f t="shared" si="220"/>
        <v>0</v>
      </c>
      <c r="P1741" s="386"/>
      <c r="Q1741" s="364">
        <f t="shared" si="218"/>
        <v>4950</v>
      </c>
      <c r="R1741" s="50">
        <f t="shared" si="216"/>
        <v>0</v>
      </c>
      <c r="S1741" s="111">
        <f t="shared" si="217"/>
        <v>4950</v>
      </c>
    </row>
    <row r="1742" spans="2:19" x14ac:dyDescent="0.2">
      <c r="B1742" s="83">
        <f t="shared" si="221"/>
        <v>73</v>
      </c>
      <c r="C1742" s="7"/>
      <c r="D1742" s="7"/>
      <c r="E1742" s="7"/>
      <c r="F1742" s="25" t="s">
        <v>258</v>
      </c>
      <c r="G1742" s="7">
        <v>640</v>
      </c>
      <c r="H1742" s="7" t="s">
        <v>140</v>
      </c>
      <c r="I1742" s="23">
        <f>I1743+I1744</f>
        <v>7200</v>
      </c>
      <c r="J1742" s="23"/>
      <c r="K1742" s="86">
        <f t="shared" si="219"/>
        <v>7200</v>
      </c>
      <c r="L1742" s="355"/>
      <c r="M1742" s="344"/>
      <c r="N1742" s="246"/>
      <c r="O1742" s="86">
        <f t="shared" si="220"/>
        <v>0</v>
      </c>
      <c r="P1742" s="355"/>
      <c r="Q1742" s="344">
        <f t="shared" si="218"/>
        <v>7200</v>
      </c>
      <c r="R1742" s="23">
        <f t="shared" si="216"/>
        <v>0</v>
      </c>
      <c r="S1742" s="86">
        <f t="shared" si="217"/>
        <v>7200</v>
      </c>
    </row>
    <row r="1743" spans="2:19" x14ac:dyDescent="0.2">
      <c r="B1743" s="83">
        <f t="shared" si="221"/>
        <v>74</v>
      </c>
      <c r="C1743" s="3"/>
      <c r="D1743" s="3"/>
      <c r="E1743" s="3"/>
      <c r="F1743" s="26"/>
      <c r="G1743" s="3"/>
      <c r="H1743" s="4" t="s">
        <v>296</v>
      </c>
      <c r="I1743" s="21">
        <v>3200</v>
      </c>
      <c r="J1743" s="21"/>
      <c r="K1743" s="88">
        <f t="shared" si="219"/>
        <v>3200</v>
      </c>
      <c r="L1743" s="357"/>
      <c r="M1743" s="345"/>
      <c r="N1743" s="208"/>
      <c r="O1743" s="87">
        <f t="shared" si="220"/>
        <v>0</v>
      </c>
      <c r="P1743" s="356"/>
      <c r="Q1743" s="345">
        <f t="shared" si="218"/>
        <v>3200</v>
      </c>
      <c r="R1743" s="19">
        <f t="shared" si="216"/>
        <v>0</v>
      </c>
      <c r="S1743" s="87">
        <f t="shared" si="217"/>
        <v>3200</v>
      </c>
    </row>
    <row r="1744" spans="2:19" x14ac:dyDescent="0.2">
      <c r="B1744" s="83">
        <f t="shared" ref="B1744:B1784" si="225">B1743+1</f>
        <v>75</v>
      </c>
      <c r="C1744" s="4"/>
      <c r="D1744" s="4"/>
      <c r="E1744" s="4"/>
      <c r="F1744" s="27"/>
      <c r="G1744" s="4"/>
      <c r="H1744" s="4" t="s">
        <v>511</v>
      </c>
      <c r="I1744" s="21">
        <v>4000</v>
      </c>
      <c r="J1744" s="21"/>
      <c r="K1744" s="88">
        <f t="shared" si="219"/>
        <v>4000</v>
      </c>
      <c r="L1744" s="357"/>
      <c r="M1744" s="346"/>
      <c r="N1744" s="247"/>
      <c r="O1744" s="88">
        <f t="shared" si="220"/>
        <v>0</v>
      </c>
      <c r="P1744" s="357"/>
      <c r="Q1744" s="346">
        <f t="shared" si="218"/>
        <v>4000</v>
      </c>
      <c r="R1744" s="21">
        <f t="shared" si="216"/>
        <v>0</v>
      </c>
      <c r="S1744" s="88">
        <f t="shared" si="217"/>
        <v>4000</v>
      </c>
    </row>
    <row r="1745" spans="2:19" x14ac:dyDescent="0.2">
      <c r="B1745" s="83">
        <f t="shared" si="225"/>
        <v>76</v>
      </c>
      <c r="C1745" s="4"/>
      <c r="D1745" s="4"/>
      <c r="E1745" s="4"/>
      <c r="F1745" s="25" t="s">
        <v>155</v>
      </c>
      <c r="G1745" s="7">
        <v>640</v>
      </c>
      <c r="H1745" s="7" t="s">
        <v>140</v>
      </c>
      <c r="I1745" s="23">
        <f>I1746+I1747</f>
        <v>3200</v>
      </c>
      <c r="J1745" s="23"/>
      <c r="K1745" s="86">
        <f t="shared" si="219"/>
        <v>3200</v>
      </c>
      <c r="L1745" s="355"/>
      <c r="M1745" s="344"/>
      <c r="N1745" s="246"/>
      <c r="O1745" s="86">
        <f t="shared" si="220"/>
        <v>0</v>
      </c>
      <c r="P1745" s="355"/>
      <c r="Q1745" s="344">
        <f t="shared" si="218"/>
        <v>3200</v>
      </c>
      <c r="R1745" s="23">
        <f t="shared" ref="R1745:R1747" si="226">J1745+N1745</f>
        <v>0</v>
      </c>
      <c r="S1745" s="86">
        <f t="shared" ref="S1745:S1747" si="227">K1745+O1745</f>
        <v>3200</v>
      </c>
    </row>
    <row r="1746" spans="2:19" x14ac:dyDescent="0.2">
      <c r="B1746" s="83">
        <f t="shared" si="225"/>
        <v>77</v>
      </c>
      <c r="C1746" s="4"/>
      <c r="D1746" s="4"/>
      <c r="E1746" s="4"/>
      <c r="F1746" s="26"/>
      <c r="G1746" s="3"/>
      <c r="H1746" s="4" t="s">
        <v>607</v>
      </c>
      <c r="I1746" s="21">
        <v>3200</v>
      </c>
      <c r="J1746" s="21"/>
      <c r="K1746" s="88">
        <f t="shared" si="219"/>
        <v>3200</v>
      </c>
      <c r="L1746" s="357"/>
      <c r="M1746" s="345"/>
      <c r="N1746" s="208"/>
      <c r="O1746" s="87">
        <f t="shared" si="220"/>
        <v>0</v>
      </c>
      <c r="P1746" s="356"/>
      <c r="Q1746" s="345">
        <f t="shared" si="218"/>
        <v>3200</v>
      </c>
      <c r="R1746" s="19">
        <f t="shared" si="226"/>
        <v>0</v>
      </c>
      <c r="S1746" s="87">
        <f t="shared" si="227"/>
        <v>3200</v>
      </c>
    </row>
    <row r="1747" spans="2:19" x14ac:dyDescent="0.2">
      <c r="B1747" s="83">
        <f t="shared" si="225"/>
        <v>78</v>
      </c>
      <c r="C1747" s="7"/>
      <c r="D1747" s="7"/>
      <c r="E1747" s="7"/>
      <c r="F1747" s="25" t="s">
        <v>258</v>
      </c>
      <c r="G1747" s="7">
        <v>710</v>
      </c>
      <c r="H1747" s="7" t="s">
        <v>187</v>
      </c>
      <c r="I1747" s="23"/>
      <c r="J1747" s="23"/>
      <c r="K1747" s="86">
        <f t="shared" si="219"/>
        <v>0</v>
      </c>
      <c r="L1747" s="355"/>
      <c r="M1747" s="344">
        <f>M1752+M1750+M1748</f>
        <v>204520</v>
      </c>
      <c r="N1747" s="246"/>
      <c r="O1747" s="86">
        <f t="shared" si="220"/>
        <v>204520</v>
      </c>
      <c r="P1747" s="355"/>
      <c r="Q1747" s="344">
        <f t="shared" si="218"/>
        <v>204520</v>
      </c>
      <c r="R1747" s="23">
        <f t="shared" si="226"/>
        <v>0</v>
      </c>
      <c r="S1747" s="86">
        <f t="shared" si="227"/>
        <v>204520</v>
      </c>
    </row>
    <row r="1748" spans="2:19" x14ac:dyDescent="0.2">
      <c r="B1748" s="83">
        <f t="shared" si="225"/>
        <v>79</v>
      </c>
      <c r="C1748" s="7"/>
      <c r="D1748" s="7"/>
      <c r="E1748" s="7"/>
      <c r="F1748" s="26" t="s">
        <v>258</v>
      </c>
      <c r="G1748" s="3">
        <v>711</v>
      </c>
      <c r="H1748" s="3" t="s">
        <v>224</v>
      </c>
      <c r="I1748" s="23"/>
      <c r="J1748" s="23"/>
      <c r="K1748" s="86">
        <f t="shared" si="219"/>
        <v>0</v>
      </c>
      <c r="L1748" s="355"/>
      <c r="M1748" s="345">
        <f>M1749</f>
        <v>85000</v>
      </c>
      <c r="N1748" s="208"/>
      <c r="O1748" s="87">
        <f t="shared" si="220"/>
        <v>85000</v>
      </c>
      <c r="P1748" s="356"/>
      <c r="Q1748" s="363">
        <f>M1748</f>
        <v>85000</v>
      </c>
      <c r="R1748" s="20">
        <f t="shared" ref="R1748:S1751" si="228">N1748</f>
        <v>0</v>
      </c>
      <c r="S1748" s="123">
        <f t="shared" si="228"/>
        <v>85000</v>
      </c>
    </row>
    <row r="1749" spans="2:19" x14ac:dyDescent="0.2">
      <c r="B1749" s="83">
        <f t="shared" si="225"/>
        <v>80</v>
      </c>
      <c r="C1749" s="7"/>
      <c r="D1749" s="7"/>
      <c r="E1749" s="7"/>
      <c r="F1749" s="27"/>
      <c r="G1749" s="4"/>
      <c r="H1749" s="4" t="s">
        <v>437</v>
      </c>
      <c r="I1749" s="23"/>
      <c r="J1749" s="23"/>
      <c r="K1749" s="86">
        <f t="shared" si="219"/>
        <v>0</v>
      </c>
      <c r="L1749" s="355"/>
      <c r="M1749" s="346">
        <v>85000</v>
      </c>
      <c r="N1749" s="247"/>
      <c r="O1749" s="88">
        <f t="shared" si="220"/>
        <v>85000</v>
      </c>
      <c r="P1749" s="357"/>
      <c r="Q1749" s="368">
        <f>M1749</f>
        <v>85000</v>
      </c>
      <c r="R1749" s="22">
        <f t="shared" si="228"/>
        <v>0</v>
      </c>
      <c r="S1749" s="113">
        <f t="shared" si="228"/>
        <v>85000</v>
      </c>
    </row>
    <row r="1750" spans="2:19" x14ac:dyDescent="0.2">
      <c r="B1750" s="83">
        <f t="shared" si="225"/>
        <v>81</v>
      </c>
      <c r="C1750" s="7"/>
      <c r="D1750" s="7"/>
      <c r="E1750" s="7"/>
      <c r="F1750" s="26" t="s">
        <v>207</v>
      </c>
      <c r="G1750" s="3">
        <v>711</v>
      </c>
      <c r="H1750" s="3" t="s">
        <v>224</v>
      </c>
      <c r="I1750" s="23"/>
      <c r="J1750" s="23"/>
      <c r="K1750" s="86">
        <f t="shared" si="219"/>
        <v>0</v>
      </c>
      <c r="L1750" s="355"/>
      <c r="M1750" s="345">
        <f>M1751</f>
        <v>103800</v>
      </c>
      <c r="N1750" s="208"/>
      <c r="O1750" s="87">
        <f t="shared" si="220"/>
        <v>103800</v>
      </c>
      <c r="P1750" s="356"/>
      <c r="Q1750" s="363">
        <f>M1750</f>
        <v>103800</v>
      </c>
      <c r="R1750" s="20">
        <f t="shared" si="228"/>
        <v>0</v>
      </c>
      <c r="S1750" s="123">
        <f t="shared" si="228"/>
        <v>103800</v>
      </c>
    </row>
    <row r="1751" spans="2:19" x14ac:dyDescent="0.2">
      <c r="B1751" s="83">
        <f t="shared" si="225"/>
        <v>82</v>
      </c>
      <c r="C1751" s="7"/>
      <c r="D1751" s="7"/>
      <c r="E1751" s="7"/>
      <c r="F1751" s="27"/>
      <c r="G1751" s="4"/>
      <c r="H1751" s="4" t="s">
        <v>654</v>
      </c>
      <c r="I1751" s="23"/>
      <c r="J1751" s="23"/>
      <c r="K1751" s="86">
        <f t="shared" si="219"/>
        <v>0</v>
      </c>
      <c r="L1751" s="355"/>
      <c r="M1751" s="346">
        <v>103800</v>
      </c>
      <c r="N1751" s="247"/>
      <c r="O1751" s="88">
        <f t="shared" si="220"/>
        <v>103800</v>
      </c>
      <c r="P1751" s="357"/>
      <c r="Q1751" s="368">
        <f>M1751</f>
        <v>103800</v>
      </c>
      <c r="R1751" s="22">
        <f t="shared" si="228"/>
        <v>0</v>
      </c>
      <c r="S1751" s="113">
        <f t="shared" si="228"/>
        <v>103800</v>
      </c>
    </row>
    <row r="1752" spans="2:19" x14ac:dyDescent="0.2">
      <c r="B1752" s="83">
        <f t="shared" si="225"/>
        <v>83</v>
      </c>
      <c r="C1752" s="3"/>
      <c r="D1752" s="3"/>
      <c r="E1752" s="3"/>
      <c r="F1752" s="26" t="s">
        <v>258</v>
      </c>
      <c r="G1752" s="3">
        <v>716</v>
      </c>
      <c r="H1752" s="3" t="s">
        <v>231</v>
      </c>
      <c r="I1752" s="19"/>
      <c r="J1752" s="19"/>
      <c r="K1752" s="87">
        <f t="shared" si="219"/>
        <v>0</v>
      </c>
      <c r="L1752" s="356"/>
      <c r="M1752" s="345">
        <f>M1753+M1754</f>
        <v>15720</v>
      </c>
      <c r="N1752" s="208"/>
      <c r="O1752" s="87">
        <f t="shared" si="220"/>
        <v>15720</v>
      </c>
      <c r="P1752" s="356"/>
      <c r="Q1752" s="345">
        <f t="shared" si="218"/>
        <v>15720</v>
      </c>
      <c r="R1752" s="19">
        <f t="shared" ref="R1752:R1785" si="229">J1752+N1752</f>
        <v>0</v>
      </c>
      <c r="S1752" s="87">
        <f t="shared" ref="S1752:S1785" si="230">K1752+O1752</f>
        <v>15720</v>
      </c>
    </row>
    <row r="1753" spans="2:19" x14ac:dyDescent="0.2">
      <c r="B1753" s="83">
        <f t="shared" si="225"/>
        <v>84</v>
      </c>
      <c r="C1753" s="4"/>
      <c r="D1753" s="4"/>
      <c r="E1753" s="4"/>
      <c r="F1753" s="27"/>
      <c r="G1753" s="4"/>
      <c r="H1753" s="4" t="s">
        <v>387</v>
      </c>
      <c r="I1753" s="21"/>
      <c r="J1753" s="21"/>
      <c r="K1753" s="88">
        <f t="shared" si="219"/>
        <v>0</v>
      </c>
      <c r="L1753" s="357"/>
      <c r="M1753" s="346">
        <v>6000</v>
      </c>
      <c r="N1753" s="247"/>
      <c r="O1753" s="88">
        <f t="shared" si="220"/>
        <v>6000</v>
      </c>
      <c r="P1753" s="357"/>
      <c r="Q1753" s="346">
        <f t="shared" si="218"/>
        <v>6000</v>
      </c>
      <c r="R1753" s="21">
        <f t="shared" si="229"/>
        <v>0</v>
      </c>
      <c r="S1753" s="88">
        <f t="shared" si="230"/>
        <v>6000</v>
      </c>
    </row>
    <row r="1754" spans="2:19" x14ac:dyDescent="0.2">
      <c r="B1754" s="83">
        <f t="shared" si="225"/>
        <v>85</v>
      </c>
      <c r="C1754" s="4"/>
      <c r="D1754" s="4"/>
      <c r="E1754" s="4"/>
      <c r="F1754" s="27"/>
      <c r="G1754" s="4"/>
      <c r="H1754" s="4" t="s">
        <v>618</v>
      </c>
      <c r="I1754" s="21"/>
      <c r="J1754" s="21"/>
      <c r="K1754" s="88">
        <f t="shared" si="219"/>
        <v>0</v>
      </c>
      <c r="L1754" s="357"/>
      <c r="M1754" s="346">
        <v>9720</v>
      </c>
      <c r="N1754" s="247"/>
      <c r="O1754" s="88">
        <f t="shared" si="220"/>
        <v>9720</v>
      </c>
      <c r="P1754" s="357"/>
      <c r="Q1754" s="346">
        <f t="shared" si="218"/>
        <v>9720</v>
      </c>
      <c r="R1754" s="21">
        <f t="shared" si="229"/>
        <v>0</v>
      </c>
      <c r="S1754" s="88">
        <f t="shared" si="230"/>
        <v>9720</v>
      </c>
    </row>
    <row r="1755" spans="2:19" ht="15" x14ac:dyDescent="0.25">
      <c r="B1755" s="83">
        <f t="shared" si="225"/>
        <v>86</v>
      </c>
      <c r="C1755" s="10"/>
      <c r="D1755" s="10"/>
      <c r="E1755" s="10">
        <v>2</v>
      </c>
      <c r="F1755" s="28"/>
      <c r="G1755" s="10"/>
      <c r="H1755" s="10" t="s">
        <v>408</v>
      </c>
      <c r="I1755" s="38">
        <f>I1756</f>
        <v>10000</v>
      </c>
      <c r="J1755" s="38"/>
      <c r="K1755" s="94">
        <f t="shared" si="219"/>
        <v>10000</v>
      </c>
      <c r="L1755" s="365"/>
      <c r="M1755" s="362">
        <v>0</v>
      </c>
      <c r="N1755" s="253"/>
      <c r="O1755" s="94">
        <f t="shared" si="220"/>
        <v>0</v>
      </c>
      <c r="P1755" s="365"/>
      <c r="Q1755" s="362">
        <f t="shared" si="218"/>
        <v>10000</v>
      </c>
      <c r="R1755" s="38">
        <f t="shared" si="229"/>
        <v>0</v>
      </c>
      <c r="S1755" s="94">
        <f t="shared" si="230"/>
        <v>10000</v>
      </c>
    </row>
    <row r="1756" spans="2:19" x14ac:dyDescent="0.2">
      <c r="B1756" s="83">
        <f t="shared" si="225"/>
        <v>87</v>
      </c>
      <c r="C1756" s="7"/>
      <c r="D1756" s="7"/>
      <c r="E1756" s="7"/>
      <c r="F1756" s="25" t="s">
        <v>207</v>
      </c>
      <c r="G1756" s="7">
        <v>630</v>
      </c>
      <c r="H1756" s="7" t="s">
        <v>132</v>
      </c>
      <c r="I1756" s="23">
        <f>I1757</f>
        <v>10000</v>
      </c>
      <c r="J1756" s="23"/>
      <c r="K1756" s="86">
        <f t="shared" si="219"/>
        <v>10000</v>
      </c>
      <c r="L1756" s="355"/>
      <c r="M1756" s="344"/>
      <c r="N1756" s="246"/>
      <c r="O1756" s="86">
        <f t="shared" si="220"/>
        <v>0</v>
      </c>
      <c r="P1756" s="355"/>
      <c r="Q1756" s="344">
        <f t="shared" si="218"/>
        <v>10000</v>
      </c>
      <c r="R1756" s="23">
        <f t="shared" si="229"/>
        <v>0</v>
      </c>
      <c r="S1756" s="86">
        <f t="shared" si="230"/>
        <v>10000</v>
      </c>
    </row>
    <row r="1757" spans="2:19" x14ac:dyDescent="0.2">
      <c r="B1757" s="83">
        <f t="shared" si="225"/>
        <v>88</v>
      </c>
      <c r="C1757" s="3"/>
      <c r="D1757" s="3"/>
      <c r="E1757" s="3"/>
      <c r="F1757" s="26" t="s">
        <v>207</v>
      </c>
      <c r="G1757" s="3">
        <v>635</v>
      </c>
      <c r="H1757" s="3" t="s">
        <v>144</v>
      </c>
      <c r="I1757" s="19">
        <v>10000</v>
      </c>
      <c r="J1757" s="19"/>
      <c r="K1757" s="87">
        <f t="shared" si="219"/>
        <v>10000</v>
      </c>
      <c r="L1757" s="356"/>
      <c r="M1757" s="345"/>
      <c r="N1757" s="208"/>
      <c r="O1757" s="87">
        <f t="shared" si="220"/>
        <v>0</v>
      </c>
      <c r="P1757" s="356"/>
      <c r="Q1757" s="345">
        <f t="shared" si="218"/>
        <v>10000</v>
      </c>
      <c r="R1757" s="19">
        <f t="shared" si="229"/>
        <v>0</v>
      </c>
      <c r="S1757" s="87">
        <f t="shared" si="230"/>
        <v>10000</v>
      </c>
    </row>
    <row r="1758" spans="2:19" ht="15" x14ac:dyDescent="0.2">
      <c r="B1758" s="83">
        <f t="shared" si="225"/>
        <v>89</v>
      </c>
      <c r="C1758" s="239">
        <v>4</v>
      </c>
      <c r="D1758" s="444" t="s">
        <v>70</v>
      </c>
      <c r="E1758" s="445"/>
      <c r="F1758" s="445"/>
      <c r="G1758" s="445"/>
      <c r="H1758" s="446"/>
      <c r="I1758" s="36">
        <f>I1759</f>
        <v>22000</v>
      </c>
      <c r="J1758" s="36"/>
      <c r="K1758" s="84">
        <f t="shared" si="219"/>
        <v>22000</v>
      </c>
      <c r="L1758" s="353"/>
      <c r="M1758" s="342">
        <v>0</v>
      </c>
      <c r="N1758" s="244"/>
      <c r="O1758" s="84">
        <f t="shared" si="220"/>
        <v>0</v>
      </c>
      <c r="P1758" s="353"/>
      <c r="Q1758" s="342">
        <f t="shared" si="218"/>
        <v>22000</v>
      </c>
      <c r="R1758" s="36">
        <f t="shared" si="229"/>
        <v>0</v>
      </c>
      <c r="S1758" s="84">
        <f t="shared" si="230"/>
        <v>22000</v>
      </c>
    </row>
    <row r="1759" spans="2:19" x14ac:dyDescent="0.2">
      <c r="B1759" s="83">
        <f t="shared" si="225"/>
        <v>90</v>
      </c>
      <c r="C1759" s="7"/>
      <c r="D1759" s="7"/>
      <c r="E1759" s="7"/>
      <c r="F1759" s="25" t="s">
        <v>207</v>
      </c>
      <c r="G1759" s="7">
        <v>640</v>
      </c>
      <c r="H1759" s="7" t="s">
        <v>140</v>
      </c>
      <c r="I1759" s="23">
        <f>I1760</f>
        <v>22000</v>
      </c>
      <c r="J1759" s="23"/>
      <c r="K1759" s="86">
        <f t="shared" si="219"/>
        <v>22000</v>
      </c>
      <c r="L1759" s="355"/>
      <c r="M1759" s="344"/>
      <c r="N1759" s="246"/>
      <c r="O1759" s="86">
        <f t="shared" si="220"/>
        <v>0</v>
      </c>
      <c r="P1759" s="355"/>
      <c r="Q1759" s="344">
        <f t="shared" si="218"/>
        <v>22000</v>
      </c>
      <c r="R1759" s="23">
        <f t="shared" si="229"/>
        <v>0</v>
      </c>
      <c r="S1759" s="86">
        <f t="shared" si="230"/>
        <v>22000</v>
      </c>
    </row>
    <row r="1760" spans="2:19" x14ac:dyDescent="0.2">
      <c r="B1760" s="83">
        <f t="shared" si="225"/>
        <v>91</v>
      </c>
      <c r="C1760" s="3"/>
      <c r="D1760" s="3"/>
      <c r="E1760" s="3"/>
      <c r="F1760" s="26" t="s">
        <v>207</v>
      </c>
      <c r="G1760" s="3">
        <v>642</v>
      </c>
      <c r="H1760" s="3" t="s">
        <v>141</v>
      </c>
      <c r="I1760" s="19">
        <f>I1761</f>
        <v>22000</v>
      </c>
      <c r="J1760" s="19"/>
      <c r="K1760" s="87">
        <f t="shared" si="219"/>
        <v>22000</v>
      </c>
      <c r="L1760" s="356"/>
      <c r="M1760" s="345"/>
      <c r="N1760" s="208"/>
      <c r="O1760" s="87">
        <f t="shared" si="220"/>
        <v>0</v>
      </c>
      <c r="P1760" s="356"/>
      <c r="Q1760" s="345">
        <f t="shared" si="218"/>
        <v>22000</v>
      </c>
      <c r="R1760" s="19">
        <f t="shared" si="229"/>
        <v>0</v>
      </c>
      <c r="S1760" s="87">
        <f t="shared" si="230"/>
        <v>22000</v>
      </c>
    </row>
    <row r="1761" spans="2:19" x14ac:dyDescent="0.2">
      <c r="B1761" s="83">
        <f t="shared" si="225"/>
        <v>92</v>
      </c>
      <c r="C1761" s="4"/>
      <c r="D1761" s="4"/>
      <c r="E1761" s="4"/>
      <c r="F1761" s="27"/>
      <c r="G1761" s="4"/>
      <c r="H1761" s="4" t="s">
        <v>350</v>
      </c>
      <c r="I1761" s="21">
        <v>22000</v>
      </c>
      <c r="J1761" s="21"/>
      <c r="K1761" s="88">
        <f t="shared" si="219"/>
        <v>22000</v>
      </c>
      <c r="L1761" s="357"/>
      <c r="M1761" s="346"/>
      <c r="N1761" s="247"/>
      <c r="O1761" s="88">
        <f t="shared" si="220"/>
        <v>0</v>
      </c>
      <c r="P1761" s="357"/>
      <c r="Q1761" s="346">
        <f t="shared" si="218"/>
        <v>22000</v>
      </c>
      <c r="R1761" s="21">
        <f t="shared" si="229"/>
        <v>0</v>
      </c>
      <c r="S1761" s="88">
        <f t="shared" si="230"/>
        <v>22000</v>
      </c>
    </row>
    <row r="1762" spans="2:19" ht="15" x14ac:dyDescent="0.2">
      <c r="B1762" s="83">
        <f t="shared" si="225"/>
        <v>93</v>
      </c>
      <c r="C1762" s="239">
        <v>5</v>
      </c>
      <c r="D1762" s="444" t="s">
        <v>49</v>
      </c>
      <c r="E1762" s="445"/>
      <c r="F1762" s="445"/>
      <c r="G1762" s="445"/>
      <c r="H1762" s="446"/>
      <c r="I1762" s="36">
        <f>I1763</f>
        <v>14600</v>
      </c>
      <c r="J1762" s="36"/>
      <c r="K1762" s="84">
        <f t="shared" si="219"/>
        <v>14600</v>
      </c>
      <c r="L1762" s="353"/>
      <c r="M1762" s="342">
        <v>0</v>
      </c>
      <c r="N1762" s="244"/>
      <c r="O1762" s="84">
        <f t="shared" si="220"/>
        <v>0</v>
      </c>
      <c r="P1762" s="353"/>
      <c r="Q1762" s="342">
        <f t="shared" si="218"/>
        <v>14600</v>
      </c>
      <c r="R1762" s="36">
        <f t="shared" si="229"/>
        <v>0</v>
      </c>
      <c r="S1762" s="84">
        <f t="shared" si="230"/>
        <v>14600</v>
      </c>
    </row>
    <row r="1763" spans="2:19" ht="15" x14ac:dyDescent="0.25">
      <c r="B1763" s="83">
        <f t="shared" si="225"/>
        <v>94</v>
      </c>
      <c r="C1763" s="10"/>
      <c r="D1763" s="10"/>
      <c r="E1763" s="10">
        <v>2</v>
      </c>
      <c r="F1763" s="28"/>
      <c r="G1763" s="10"/>
      <c r="H1763" s="10" t="s">
        <v>408</v>
      </c>
      <c r="I1763" s="38">
        <f>I1764</f>
        <v>14600</v>
      </c>
      <c r="J1763" s="38"/>
      <c r="K1763" s="94">
        <f t="shared" si="219"/>
        <v>14600</v>
      </c>
      <c r="L1763" s="365"/>
      <c r="M1763" s="362"/>
      <c r="N1763" s="253"/>
      <c r="O1763" s="94">
        <f t="shared" si="220"/>
        <v>0</v>
      </c>
      <c r="P1763" s="365"/>
      <c r="Q1763" s="362">
        <f t="shared" si="218"/>
        <v>14600</v>
      </c>
      <c r="R1763" s="38">
        <f t="shared" si="229"/>
        <v>0</v>
      </c>
      <c r="S1763" s="94">
        <f t="shared" si="230"/>
        <v>14600</v>
      </c>
    </row>
    <row r="1764" spans="2:19" x14ac:dyDescent="0.2">
      <c r="B1764" s="83">
        <f t="shared" si="225"/>
        <v>95</v>
      </c>
      <c r="C1764" s="7"/>
      <c r="D1764" s="7"/>
      <c r="E1764" s="7"/>
      <c r="F1764" s="25" t="s">
        <v>207</v>
      </c>
      <c r="G1764" s="7">
        <v>630</v>
      </c>
      <c r="H1764" s="7" t="s">
        <v>132</v>
      </c>
      <c r="I1764" s="23">
        <f>SUM(I1765:I1768)</f>
        <v>14600</v>
      </c>
      <c r="J1764" s="23"/>
      <c r="K1764" s="86">
        <f t="shared" si="219"/>
        <v>14600</v>
      </c>
      <c r="L1764" s="355"/>
      <c r="M1764" s="344"/>
      <c r="N1764" s="246"/>
      <c r="O1764" s="86">
        <f t="shared" si="220"/>
        <v>0</v>
      </c>
      <c r="P1764" s="355"/>
      <c r="Q1764" s="344">
        <f t="shared" si="218"/>
        <v>14600</v>
      </c>
      <c r="R1764" s="23">
        <f t="shared" si="229"/>
        <v>0</v>
      </c>
      <c r="S1764" s="86">
        <f t="shared" si="230"/>
        <v>14600</v>
      </c>
    </row>
    <row r="1765" spans="2:19" x14ac:dyDescent="0.2">
      <c r="B1765" s="83">
        <f t="shared" si="225"/>
        <v>96</v>
      </c>
      <c r="C1765" s="3"/>
      <c r="D1765" s="3"/>
      <c r="E1765" s="3"/>
      <c r="F1765" s="26" t="s">
        <v>207</v>
      </c>
      <c r="G1765" s="3">
        <v>632</v>
      </c>
      <c r="H1765" s="3" t="s">
        <v>145</v>
      </c>
      <c r="I1765" s="19">
        <v>10300</v>
      </c>
      <c r="J1765" s="19"/>
      <c r="K1765" s="87">
        <f t="shared" si="219"/>
        <v>10300</v>
      </c>
      <c r="L1765" s="356"/>
      <c r="M1765" s="345"/>
      <c r="N1765" s="208"/>
      <c r="O1765" s="87">
        <f t="shared" si="220"/>
        <v>0</v>
      </c>
      <c r="P1765" s="356"/>
      <c r="Q1765" s="345">
        <f t="shared" si="218"/>
        <v>10300</v>
      </c>
      <c r="R1765" s="19">
        <f t="shared" si="229"/>
        <v>0</v>
      </c>
      <c r="S1765" s="87">
        <f t="shared" si="230"/>
        <v>10300</v>
      </c>
    </row>
    <row r="1766" spans="2:19" x14ac:dyDescent="0.2">
      <c r="B1766" s="83">
        <f t="shared" si="225"/>
        <v>97</v>
      </c>
      <c r="C1766" s="3"/>
      <c r="D1766" s="3"/>
      <c r="E1766" s="3"/>
      <c r="F1766" s="26" t="s">
        <v>207</v>
      </c>
      <c r="G1766" s="3">
        <v>633</v>
      </c>
      <c r="H1766" s="3" t="s">
        <v>136</v>
      </c>
      <c r="I1766" s="19">
        <f>2000+1000</f>
        <v>3000</v>
      </c>
      <c r="J1766" s="19"/>
      <c r="K1766" s="87">
        <f t="shared" si="219"/>
        <v>3000</v>
      </c>
      <c r="L1766" s="356"/>
      <c r="M1766" s="345"/>
      <c r="N1766" s="208"/>
      <c r="O1766" s="87">
        <f t="shared" si="220"/>
        <v>0</v>
      </c>
      <c r="P1766" s="356"/>
      <c r="Q1766" s="345">
        <f t="shared" si="218"/>
        <v>3000</v>
      </c>
      <c r="R1766" s="19">
        <f t="shared" si="229"/>
        <v>0</v>
      </c>
      <c r="S1766" s="87">
        <f t="shared" si="230"/>
        <v>3000</v>
      </c>
    </row>
    <row r="1767" spans="2:19" x14ac:dyDescent="0.2">
      <c r="B1767" s="83">
        <f t="shared" si="225"/>
        <v>98</v>
      </c>
      <c r="C1767" s="3"/>
      <c r="D1767" s="3"/>
      <c r="E1767" s="3"/>
      <c r="F1767" s="26" t="s">
        <v>207</v>
      </c>
      <c r="G1767" s="3">
        <v>635</v>
      </c>
      <c r="H1767" s="3" t="s">
        <v>144</v>
      </c>
      <c r="I1767" s="19">
        <v>400</v>
      </c>
      <c r="J1767" s="19"/>
      <c r="K1767" s="87">
        <f t="shared" si="219"/>
        <v>400</v>
      </c>
      <c r="L1767" s="356"/>
      <c r="M1767" s="345"/>
      <c r="N1767" s="208"/>
      <c r="O1767" s="87">
        <f t="shared" si="220"/>
        <v>0</v>
      </c>
      <c r="P1767" s="356"/>
      <c r="Q1767" s="345">
        <f t="shared" si="218"/>
        <v>400</v>
      </c>
      <c r="R1767" s="19">
        <f t="shared" si="229"/>
        <v>0</v>
      </c>
      <c r="S1767" s="87">
        <f t="shared" si="230"/>
        <v>400</v>
      </c>
    </row>
    <row r="1768" spans="2:19" x14ac:dyDescent="0.2">
      <c r="B1768" s="83">
        <f t="shared" si="225"/>
        <v>99</v>
      </c>
      <c r="C1768" s="3"/>
      <c r="D1768" s="3"/>
      <c r="E1768" s="3"/>
      <c r="F1768" s="26" t="s">
        <v>207</v>
      </c>
      <c r="G1768" s="3">
        <v>637</v>
      </c>
      <c r="H1768" s="3" t="s">
        <v>133</v>
      </c>
      <c r="I1768" s="19">
        <v>900</v>
      </c>
      <c r="J1768" s="19"/>
      <c r="K1768" s="87">
        <f t="shared" si="219"/>
        <v>900</v>
      </c>
      <c r="L1768" s="356"/>
      <c r="M1768" s="345"/>
      <c r="N1768" s="208"/>
      <c r="O1768" s="87">
        <f t="shared" si="220"/>
        <v>0</v>
      </c>
      <c r="P1768" s="356"/>
      <c r="Q1768" s="345">
        <f t="shared" si="218"/>
        <v>900</v>
      </c>
      <c r="R1768" s="19">
        <f t="shared" si="229"/>
        <v>0</v>
      </c>
      <c r="S1768" s="87">
        <f t="shared" si="230"/>
        <v>900</v>
      </c>
    </row>
    <row r="1769" spans="2:19" ht="15" x14ac:dyDescent="0.2">
      <c r="B1769" s="83">
        <f t="shared" si="225"/>
        <v>100</v>
      </c>
      <c r="C1769" s="239">
        <v>6</v>
      </c>
      <c r="D1769" s="444" t="s">
        <v>64</v>
      </c>
      <c r="E1769" s="445"/>
      <c r="F1769" s="445"/>
      <c r="G1769" s="445"/>
      <c r="H1769" s="446"/>
      <c r="I1769" s="36">
        <f>I1770</f>
        <v>501455</v>
      </c>
      <c r="J1769" s="36"/>
      <c r="K1769" s="84">
        <f t="shared" si="219"/>
        <v>501455</v>
      </c>
      <c r="L1769" s="353"/>
      <c r="M1769" s="342">
        <f>M1770</f>
        <v>39200</v>
      </c>
      <c r="N1769" s="244"/>
      <c r="O1769" s="84">
        <f t="shared" si="220"/>
        <v>39200</v>
      </c>
      <c r="P1769" s="353"/>
      <c r="Q1769" s="342">
        <f t="shared" si="218"/>
        <v>540655</v>
      </c>
      <c r="R1769" s="36">
        <f t="shared" si="229"/>
        <v>0</v>
      </c>
      <c r="S1769" s="84">
        <f t="shared" si="230"/>
        <v>540655</v>
      </c>
    </row>
    <row r="1770" spans="2:19" ht="15" x14ac:dyDescent="0.25">
      <c r="B1770" s="83">
        <f t="shared" si="225"/>
        <v>101</v>
      </c>
      <c r="C1770" s="10"/>
      <c r="D1770" s="10"/>
      <c r="E1770" s="10">
        <v>2</v>
      </c>
      <c r="F1770" s="28"/>
      <c r="G1770" s="10"/>
      <c r="H1770" s="10" t="s">
        <v>408</v>
      </c>
      <c r="I1770" s="38">
        <f>I1771+I1772+I1773+I1780+I1781</f>
        <v>501455</v>
      </c>
      <c r="J1770" s="38"/>
      <c r="K1770" s="94">
        <f t="shared" si="219"/>
        <v>501455</v>
      </c>
      <c r="L1770" s="365"/>
      <c r="M1770" s="362">
        <f>M1781</f>
        <v>39200</v>
      </c>
      <c r="N1770" s="253"/>
      <c r="O1770" s="94">
        <f t="shared" si="220"/>
        <v>39200</v>
      </c>
      <c r="P1770" s="365"/>
      <c r="Q1770" s="362">
        <f t="shared" si="218"/>
        <v>540655</v>
      </c>
      <c r="R1770" s="38">
        <f t="shared" si="229"/>
        <v>0</v>
      </c>
      <c r="S1770" s="94">
        <f t="shared" si="230"/>
        <v>540655</v>
      </c>
    </row>
    <row r="1771" spans="2:19" x14ac:dyDescent="0.2">
      <c r="B1771" s="83">
        <f t="shared" si="225"/>
        <v>102</v>
      </c>
      <c r="C1771" s="7"/>
      <c r="D1771" s="7"/>
      <c r="E1771" s="7"/>
      <c r="F1771" s="25" t="s">
        <v>207</v>
      </c>
      <c r="G1771" s="7">
        <v>610</v>
      </c>
      <c r="H1771" s="7" t="s">
        <v>142</v>
      </c>
      <c r="I1771" s="23">
        <f>85400+100000+52195+34300</f>
        <v>271895</v>
      </c>
      <c r="J1771" s="23"/>
      <c r="K1771" s="86">
        <f t="shared" si="219"/>
        <v>271895</v>
      </c>
      <c r="L1771" s="355"/>
      <c r="M1771" s="344"/>
      <c r="N1771" s="246"/>
      <c r="O1771" s="86">
        <f t="shared" si="220"/>
        <v>0</v>
      </c>
      <c r="P1771" s="355"/>
      <c r="Q1771" s="344">
        <f t="shared" si="218"/>
        <v>271895</v>
      </c>
      <c r="R1771" s="23">
        <f t="shared" si="229"/>
        <v>0</v>
      </c>
      <c r="S1771" s="86">
        <f t="shared" si="230"/>
        <v>271895</v>
      </c>
    </row>
    <row r="1772" spans="2:19" x14ac:dyDescent="0.2">
      <c r="B1772" s="83">
        <f t="shared" si="225"/>
        <v>103</v>
      </c>
      <c r="C1772" s="7"/>
      <c r="D1772" s="7"/>
      <c r="E1772" s="7"/>
      <c r="F1772" s="25" t="s">
        <v>207</v>
      </c>
      <c r="G1772" s="7">
        <v>620</v>
      </c>
      <c r="H1772" s="7" t="s">
        <v>135</v>
      </c>
      <c r="I1772" s="23">
        <f>45700+40000+20145+13000</f>
        <v>118845</v>
      </c>
      <c r="J1772" s="23"/>
      <c r="K1772" s="86">
        <f t="shared" si="219"/>
        <v>118845</v>
      </c>
      <c r="L1772" s="355"/>
      <c r="M1772" s="344"/>
      <c r="N1772" s="246"/>
      <c r="O1772" s="86">
        <f t="shared" si="220"/>
        <v>0</v>
      </c>
      <c r="P1772" s="355"/>
      <c r="Q1772" s="344">
        <f t="shared" si="218"/>
        <v>118845</v>
      </c>
      <c r="R1772" s="23">
        <f t="shared" si="229"/>
        <v>0</v>
      </c>
      <c r="S1772" s="86">
        <f t="shared" si="230"/>
        <v>118845</v>
      </c>
    </row>
    <row r="1773" spans="2:19" x14ac:dyDescent="0.2">
      <c r="B1773" s="83">
        <f t="shared" si="225"/>
        <v>104</v>
      </c>
      <c r="C1773" s="7"/>
      <c r="D1773" s="7"/>
      <c r="E1773" s="7"/>
      <c r="F1773" s="25" t="s">
        <v>207</v>
      </c>
      <c r="G1773" s="7">
        <v>630</v>
      </c>
      <c r="H1773" s="7" t="s">
        <v>132</v>
      </c>
      <c r="I1773" s="23">
        <f>SUM(I1774:I1779)</f>
        <v>107850</v>
      </c>
      <c r="J1773" s="23"/>
      <c r="K1773" s="86">
        <f t="shared" si="219"/>
        <v>107850</v>
      </c>
      <c r="L1773" s="355"/>
      <c r="M1773" s="344"/>
      <c r="N1773" s="246"/>
      <c r="O1773" s="86">
        <f t="shared" si="220"/>
        <v>0</v>
      </c>
      <c r="P1773" s="355"/>
      <c r="Q1773" s="344">
        <f t="shared" si="218"/>
        <v>107850</v>
      </c>
      <c r="R1773" s="23">
        <f t="shared" si="229"/>
        <v>0</v>
      </c>
      <c r="S1773" s="86">
        <f t="shared" si="230"/>
        <v>107850</v>
      </c>
    </row>
    <row r="1774" spans="2:19" x14ac:dyDescent="0.2">
      <c r="B1774" s="83">
        <f t="shared" si="225"/>
        <v>105</v>
      </c>
      <c r="C1774" s="3"/>
      <c r="D1774" s="3"/>
      <c r="E1774" s="3"/>
      <c r="F1774" s="26" t="s">
        <v>207</v>
      </c>
      <c r="G1774" s="3">
        <v>631</v>
      </c>
      <c r="H1774" s="3" t="s">
        <v>138</v>
      </c>
      <c r="I1774" s="19">
        <v>100</v>
      </c>
      <c r="J1774" s="19"/>
      <c r="K1774" s="87">
        <f t="shared" si="219"/>
        <v>100</v>
      </c>
      <c r="L1774" s="356"/>
      <c r="M1774" s="345"/>
      <c r="N1774" s="208"/>
      <c r="O1774" s="87">
        <f t="shared" si="220"/>
        <v>0</v>
      </c>
      <c r="P1774" s="356"/>
      <c r="Q1774" s="345">
        <f t="shared" si="218"/>
        <v>100</v>
      </c>
      <c r="R1774" s="19">
        <f t="shared" si="229"/>
        <v>0</v>
      </c>
      <c r="S1774" s="87">
        <f t="shared" si="230"/>
        <v>100</v>
      </c>
    </row>
    <row r="1775" spans="2:19" x14ac:dyDescent="0.2">
      <c r="B1775" s="83">
        <f t="shared" si="225"/>
        <v>106</v>
      </c>
      <c r="C1775" s="3"/>
      <c r="D1775" s="3"/>
      <c r="E1775" s="3"/>
      <c r="F1775" s="26" t="s">
        <v>207</v>
      </c>
      <c r="G1775" s="3">
        <v>632</v>
      </c>
      <c r="H1775" s="3" t="s">
        <v>145</v>
      </c>
      <c r="I1775" s="19">
        <f>3700+2400</f>
        <v>6100</v>
      </c>
      <c r="J1775" s="19"/>
      <c r="K1775" s="87">
        <f t="shared" si="219"/>
        <v>6100</v>
      </c>
      <c r="L1775" s="356"/>
      <c r="M1775" s="345"/>
      <c r="N1775" s="208"/>
      <c r="O1775" s="87">
        <f t="shared" si="220"/>
        <v>0</v>
      </c>
      <c r="P1775" s="356"/>
      <c r="Q1775" s="345">
        <f t="shared" si="218"/>
        <v>6100</v>
      </c>
      <c r="R1775" s="19">
        <f t="shared" si="229"/>
        <v>0</v>
      </c>
      <c r="S1775" s="87">
        <f t="shared" si="230"/>
        <v>6100</v>
      </c>
    </row>
    <row r="1776" spans="2:19" x14ac:dyDescent="0.2">
      <c r="B1776" s="83">
        <f t="shared" si="225"/>
        <v>107</v>
      </c>
      <c r="C1776" s="3"/>
      <c r="D1776" s="3"/>
      <c r="E1776" s="3"/>
      <c r="F1776" s="26" t="s">
        <v>207</v>
      </c>
      <c r="G1776" s="3">
        <v>633</v>
      </c>
      <c r="H1776" s="3" t="s">
        <v>136</v>
      </c>
      <c r="I1776" s="19">
        <f>5250+1200+2300</f>
        <v>8750</v>
      </c>
      <c r="J1776" s="19"/>
      <c r="K1776" s="87">
        <f t="shared" si="219"/>
        <v>8750</v>
      </c>
      <c r="L1776" s="356"/>
      <c r="M1776" s="345"/>
      <c r="N1776" s="208"/>
      <c r="O1776" s="87">
        <f t="shared" si="220"/>
        <v>0</v>
      </c>
      <c r="P1776" s="356"/>
      <c r="Q1776" s="345">
        <f t="shared" si="218"/>
        <v>8750</v>
      </c>
      <c r="R1776" s="19">
        <f t="shared" si="229"/>
        <v>0</v>
      </c>
      <c r="S1776" s="87">
        <f t="shared" si="230"/>
        <v>8750</v>
      </c>
    </row>
    <row r="1777" spans="2:19" x14ac:dyDescent="0.2">
      <c r="B1777" s="83">
        <f t="shared" si="225"/>
        <v>108</v>
      </c>
      <c r="C1777" s="3"/>
      <c r="D1777" s="3"/>
      <c r="E1777" s="3"/>
      <c r="F1777" s="26" t="s">
        <v>207</v>
      </c>
      <c r="G1777" s="3">
        <v>634</v>
      </c>
      <c r="H1777" s="3" t="s">
        <v>143</v>
      </c>
      <c r="I1777" s="19">
        <f>11850+4200</f>
        <v>16050</v>
      </c>
      <c r="J1777" s="19"/>
      <c r="K1777" s="87">
        <f t="shared" si="219"/>
        <v>16050</v>
      </c>
      <c r="L1777" s="356"/>
      <c r="M1777" s="345"/>
      <c r="N1777" s="208"/>
      <c r="O1777" s="87">
        <f t="shared" si="220"/>
        <v>0</v>
      </c>
      <c r="P1777" s="356"/>
      <c r="Q1777" s="345">
        <f t="shared" si="218"/>
        <v>16050</v>
      </c>
      <c r="R1777" s="19">
        <f t="shared" si="229"/>
        <v>0</v>
      </c>
      <c r="S1777" s="87">
        <f t="shared" si="230"/>
        <v>16050</v>
      </c>
    </row>
    <row r="1778" spans="2:19" x14ac:dyDescent="0.2">
      <c r="B1778" s="83">
        <f t="shared" si="225"/>
        <v>109</v>
      </c>
      <c r="C1778" s="3"/>
      <c r="D1778" s="3"/>
      <c r="E1778" s="3"/>
      <c r="F1778" s="26" t="s">
        <v>207</v>
      </c>
      <c r="G1778" s="3">
        <v>635</v>
      </c>
      <c r="H1778" s="3" t="s">
        <v>144</v>
      </c>
      <c r="I1778" s="19">
        <v>1400</v>
      </c>
      <c r="J1778" s="19"/>
      <c r="K1778" s="87">
        <f t="shared" si="219"/>
        <v>1400</v>
      </c>
      <c r="L1778" s="356"/>
      <c r="M1778" s="345"/>
      <c r="N1778" s="208"/>
      <c r="O1778" s="87">
        <f t="shared" si="220"/>
        <v>0</v>
      </c>
      <c r="P1778" s="356"/>
      <c r="Q1778" s="345">
        <f t="shared" si="218"/>
        <v>1400</v>
      </c>
      <c r="R1778" s="19">
        <f t="shared" si="229"/>
        <v>0</v>
      </c>
      <c r="S1778" s="87">
        <f t="shared" si="230"/>
        <v>1400</v>
      </c>
    </row>
    <row r="1779" spans="2:19" x14ac:dyDescent="0.2">
      <c r="B1779" s="83">
        <f t="shared" si="225"/>
        <v>110</v>
      </c>
      <c r="C1779" s="3"/>
      <c r="D1779" s="3"/>
      <c r="E1779" s="3"/>
      <c r="F1779" s="26" t="s">
        <v>207</v>
      </c>
      <c r="G1779" s="3">
        <v>637</v>
      </c>
      <c r="H1779" s="3" t="s">
        <v>133</v>
      </c>
      <c r="I1779" s="19">
        <f>71650+6150-2350</f>
        <v>75450</v>
      </c>
      <c r="J1779" s="19"/>
      <c r="K1779" s="87">
        <f t="shared" si="219"/>
        <v>75450</v>
      </c>
      <c r="L1779" s="356"/>
      <c r="M1779" s="345"/>
      <c r="N1779" s="208"/>
      <c r="O1779" s="87">
        <f t="shared" si="220"/>
        <v>0</v>
      </c>
      <c r="P1779" s="356"/>
      <c r="Q1779" s="345">
        <f t="shared" si="218"/>
        <v>75450</v>
      </c>
      <c r="R1779" s="19">
        <f t="shared" si="229"/>
        <v>0</v>
      </c>
      <c r="S1779" s="87">
        <f t="shared" si="230"/>
        <v>75450</v>
      </c>
    </row>
    <row r="1780" spans="2:19" x14ac:dyDescent="0.2">
      <c r="B1780" s="83">
        <f t="shared" si="225"/>
        <v>111</v>
      </c>
      <c r="C1780" s="7"/>
      <c r="D1780" s="7"/>
      <c r="E1780" s="7"/>
      <c r="F1780" s="25" t="s">
        <v>207</v>
      </c>
      <c r="G1780" s="7">
        <v>640</v>
      </c>
      <c r="H1780" s="7" t="s">
        <v>140</v>
      </c>
      <c r="I1780" s="23">
        <f>600+2265</f>
        <v>2865</v>
      </c>
      <c r="J1780" s="23"/>
      <c r="K1780" s="86">
        <f t="shared" si="219"/>
        <v>2865</v>
      </c>
      <c r="L1780" s="355"/>
      <c r="M1780" s="344"/>
      <c r="N1780" s="246"/>
      <c r="O1780" s="86">
        <f t="shared" si="220"/>
        <v>0</v>
      </c>
      <c r="P1780" s="355"/>
      <c r="Q1780" s="344">
        <f t="shared" si="218"/>
        <v>2865</v>
      </c>
      <c r="R1780" s="23">
        <f t="shared" si="229"/>
        <v>0</v>
      </c>
      <c r="S1780" s="86">
        <f t="shared" si="230"/>
        <v>2865</v>
      </c>
    </row>
    <row r="1781" spans="2:19" x14ac:dyDescent="0.2">
      <c r="B1781" s="83">
        <f t="shared" si="225"/>
        <v>112</v>
      </c>
      <c r="C1781" s="7"/>
      <c r="D1781" s="7"/>
      <c r="E1781" s="7"/>
      <c r="F1781" s="25" t="s">
        <v>207</v>
      </c>
      <c r="G1781" s="7">
        <v>710</v>
      </c>
      <c r="H1781" s="7" t="s">
        <v>187</v>
      </c>
      <c r="I1781" s="23"/>
      <c r="J1781" s="23"/>
      <c r="K1781" s="86">
        <f t="shared" si="219"/>
        <v>0</v>
      </c>
      <c r="L1781" s="355"/>
      <c r="M1781" s="344">
        <f>M1782+M1784</f>
        <v>39200</v>
      </c>
      <c r="N1781" s="246"/>
      <c r="O1781" s="86">
        <f t="shared" si="220"/>
        <v>39200</v>
      </c>
      <c r="P1781" s="355"/>
      <c r="Q1781" s="344">
        <f t="shared" si="218"/>
        <v>39200</v>
      </c>
      <c r="R1781" s="23">
        <f t="shared" si="229"/>
        <v>0</v>
      </c>
      <c r="S1781" s="86">
        <f t="shared" si="230"/>
        <v>39200</v>
      </c>
    </row>
    <row r="1782" spans="2:19" x14ac:dyDescent="0.2">
      <c r="B1782" s="83">
        <f t="shared" si="225"/>
        <v>113</v>
      </c>
      <c r="C1782" s="3"/>
      <c r="D1782" s="3"/>
      <c r="E1782" s="3"/>
      <c r="F1782" s="26" t="s">
        <v>207</v>
      </c>
      <c r="G1782" s="3">
        <v>711</v>
      </c>
      <c r="H1782" s="3" t="s">
        <v>224</v>
      </c>
      <c r="I1782" s="19"/>
      <c r="J1782" s="19"/>
      <c r="K1782" s="87">
        <f t="shared" si="219"/>
        <v>0</v>
      </c>
      <c r="L1782" s="356"/>
      <c r="M1782" s="345">
        <f>M1783</f>
        <v>26200</v>
      </c>
      <c r="N1782" s="208"/>
      <c r="O1782" s="87">
        <f t="shared" si="220"/>
        <v>26200</v>
      </c>
      <c r="P1782" s="356"/>
      <c r="Q1782" s="345">
        <f t="shared" si="218"/>
        <v>26200</v>
      </c>
      <c r="R1782" s="19">
        <f t="shared" si="229"/>
        <v>0</v>
      </c>
      <c r="S1782" s="87">
        <f t="shared" si="230"/>
        <v>26200</v>
      </c>
    </row>
    <row r="1783" spans="2:19" x14ac:dyDescent="0.2">
      <c r="B1783" s="188">
        <f>B1782+1</f>
        <v>114</v>
      </c>
      <c r="C1783" s="144"/>
      <c r="D1783" s="144"/>
      <c r="E1783" s="144"/>
      <c r="F1783" s="215"/>
      <c r="G1783" s="144"/>
      <c r="H1783" s="144" t="s">
        <v>379</v>
      </c>
      <c r="I1783" s="192"/>
      <c r="J1783" s="192"/>
      <c r="K1783" s="176">
        <f t="shared" si="219"/>
        <v>0</v>
      </c>
      <c r="L1783" s="411"/>
      <c r="M1783" s="410">
        <f>28000-1800</f>
        <v>26200</v>
      </c>
      <c r="N1783" s="265"/>
      <c r="O1783" s="176">
        <f t="shared" si="220"/>
        <v>26200</v>
      </c>
      <c r="P1783" s="411"/>
      <c r="Q1783" s="410">
        <f t="shared" si="218"/>
        <v>26200</v>
      </c>
      <c r="R1783" s="192">
        <f t="shared" si="229"/>
        <v>0</v>
      </c>
      <c r="S1783" s="176">
        <f t="shared" si="230"/>
        <v>26200</v>
      </c>
    </row>
    <row r="1784" spans="2:19" x14ac:dyDescent="0.2">
      <c r="B1784" s="83">
        <f t="shared" si="225"/>
        <v>115</v>
      </c>
      <c r="C1784" s="3"/>
      <c r="D1784" s="3"/>
      <c r="E1784" s="3"/>
      <c r="F1784" s="26" t="s">
        <v>207</v>
      </c>
      <c r="G1784" s="3">
        <v>714</v>
      </c>
      <c r="H1784" s="3" t="s">
        <v>188</v>
      </c>
      <c r="I1784" s="19"/>
      <c r="J1784" s="19"/>
      <c r="K1784" s="87">
        <f t="shared" si="219"/>
        <v>0</v>
      </c>
      <c r="L1784" s="356"/>
      <c r="M1784" s="345">
        <f>M1785</f>
        <v>13000</v>
      </c>
      <c r="N1784" s="208"/>
      <c r="O1784" s="87">
        <f t="shared" si="220"/>
        <v>13000</v>
      </c>
      <c r="P1784" s="356"/>
      <c r="Q1784" s="345">
        <f t="shared" si="218"/>
        <v>13000</v>
      </c>
      <c r="R1784" s="19">
        <f t="shared" si="229"/>
        <v>0</v>
      </c>
      <c r="S1784" s="87">
        <f t="shared" si="230"/>
        <v>13000</v>
      </c>
    </row>
    <row r="1785" spans="2:19" ht="13.5" thickBot="1" x14ac:dyDescent="0.25">
      <c r="B1785" s="89">
        <f>B1784+1</f>
        <v>116</v>
      </c>
      <c r="C1785" s="95"/>
      <c r="D1785" s="95"/>
      <c r="E1785" s="95"/>
      <c r="F1785" s="101"/>
      <c r="G1785" s="95"/>
      <c r="H1785" s="95" t="s">
        <v>591</v>
      </c>
      <c r="I1785" s="98"/>
      <c r="J1785" s="98"/>
      <c r="K1785" s="99">
        <f t="shared" si="219"/>
        <v>0</v>
      </c>
      <c r="L1785" s="361"/>
      <c r="M1785" s="350">
        <v>13000</v>
      </c>
      <c r="N1785" s="250"/>
      <c r="O1785" s="99">
        <f t="shared" si="220"/>
        <v>13000</v>
      </c>
      <c r="P1785" s="361"/>
      <c r="Q1785" s="350">
        <f t="shared" si="218"/>
        <v>13000</v>
      </c>
      <c r="R1785" s="98">
        <f t="shared" si="229"/>
        <v>0</v>
      </c>
      <c r="S1785" s="99">
        <f t="shared" si="230"/>
        <v>13000</v>
      </c>
    </row>
    <row r="1824" ht="6" customHeight="1" x14ac:dyDescent="0.2"/>
    <row r="1825" spans="2:19" ht="27.75" thickBot="1" x14ac:dyDescent="0.4">
      <c r="B1825" s="455" t="s">
        <v>31</v>
      </c>
      <c r="C1825" s="456"/>
      <c r="D1825" s="456"/>
      <c r="E1825" s="456"/>
      <c r="F1825" s="456"/>
      <c r="G1825" s="456"/>
      <c r="H1825" s="456"/>
      <c r="I1825" s="456"/>
      <c r="J1825" s="456"/>
      <c r="K1825" s="456"/>
      <c r="L1825" s="456"/>
      <c r="M1825" s="456"/>
      <c r="N1825" s="456"/>
      <c r="O1825" s="456"/>
      <c r="P1825" s="456"/>
      <c r="Q1825" s="456"/>
    </row>
    <row r="1826" spans="2:19" ht="13.5" customHeight="1" thickBot="1" x14ac:dyDescent="0.25">
      <c r="B1826" s="452" t="s">
        <v>359</v>
      </c>
      <c r="C1826" s="453"/>
      <c r="D1826" s="453"/>
      <c r="E1826" s="453"/>
      <c r="F1826" s="453"/>
      <c r="G1826" s="453"/>
      <c r="H1826" s="453"/>
      <c r="I1826" s="453"/>
      <c r="J1826" s="453"/>
      <c r="K1826" s="453"/>
      <c r="L1826" s="453"/>
      <c r="M1826" s="453"/>
      <c r="N1826" s="453"/>
      <c r="O1826" s="454"/>
      <c r="P1826" s="339"/>
      <c r="Q1826" s="457" t="s">
        <v>667</v>
      </c>
      <c r="R1826" s="488" t="s">
        <v>668</v>
      </c>
      <c r="S1826" s="491" t="s">
        <v>669</v>
      </c>
    </row>
    <row r="1827" spans="2:19" ht="13.5" customHeight="1" thickBot="1" x14ac:dyDescent="0.25">
      <c r="B1827" s="466"/>
      <c r="C1827" s="460" t="s">
        <v>125</v>
      </c>
      <c r="D1827" s="460" t="s">
        <v>126</v>
      </c>
      <c r="E1827" s="460"/>
      <c r="F1827" s="460" t="s">
        <v>127</v>
      </c>
      <c r="G1827" s="470" t="s">
        <v>128</v>
      </c>
      <c r="H1827" s="473" t="s">
        <v>129</v>
      </c>
      <c r="I1827" s="463" t="s">
        <v>670</v>
      </c>
      <c r="J1827" s="495" t="s">
        <v>668</v>
      </c>
      <c r="K1827" s="491" t="s">
        <v>671</v>
      </c>
      <c r="L1827" s="53"/>
      <c r="M1827" s="474" t="s">
        <v>672</v>
      </c>
      <c r="N1827" s="488" t="s">
        <v>668</v>
      </c>
      <c r="O1827" s="491" t="s">
        <v>671</v>
      </c>
      <c r="P1827" s="53"/>
      <c r="Q1827" s="458"/>
      <c r="R1827" s="489"/>
      <c r="S1827" s="492"/>
    </row>
    <row r="1828" spans="2:19" ht="13.5" thickBot="1" x14ac:dyDescent="0.25">
      <c r="B1828" s="466"/>
      <c r="C1828" s="461"/>
      <c r="D1828" s="461"/>
      <c r="E1828" s="461"/>
      <c r="F1828" s="461"/>
      <c r="G1828" s="471"/>
      <c r="H1828" s="473"/>
      <c r="I1828" s="463"/>
      <c r="J1828" s="495"/>
      <c r="K1828" s="492"/>
      <c r="L1828" s="53"/>
      <c r="M1828" s="475"/>
      <c r="N1828" s="489"/>
      <c r="O1828" s="492"/>
      <c r="P1828" s="53"/>
      <c r="Q1828" s="458"/>
      <c r="R1828" s="489"/>
      <c r="S1828" s="492"/>
    </row>
    <row r="1829" spans="2:19" ht="13.5" thickBot="1" x14ac:dyDescent="0.25">
      <c r="B1829" s="466"/>
      <c r="C1829" s="461"/>
      <c r="D1829" s="461"/>
      <c r="E1829" s="461"/>
      <c r="F1829" s="461"/>
      <c r="G1829" s="471"/>
      <c r="H1829" s="473"/>
      <c r="I1829" s="463"/>
      <c r="J1829" s="495"/>
      <c r="K1829" s="492"/>
      <c r="L1829" s="53"/>
      <c r="M1829" s="475"/>
      <c r="N1829" s="489"/>
      <c r="O1829" s="492"/>
      <c r="P1829" s="53"/>
      <c r="Q1829" s="458"/>
      <c r="R1829" s="489"/>
      <c r="S1829" s="492"/>
    </row>
    <row r="1830" spans="2:19" ht="13.5" thickBot="1" x14ac:dyDescent="0.25">
      <c r="B1830" s="466"/>
      <c r="C1830" s="462"/>
      <c r="D1830" s="462"/>
      <c r="E1830" s="462"/>
      <c r="F1830" s="462"/>
      <c r="G1830" s="472"/>
      <c r="H1830" s="473"/>
      <c r="I1830" s="464"/>
      <c r="J1830" s="496"/>
      <c r="K1830" s="493"/>
      <c r="L1830" s="53"/>
      <c r="M1830" s="476"/>
      <c r="N1830" s="490"/>
      <c r="O1830" s="493"/>
      <c r="P1830" s="53"/>
      <c r="Q1830" s="459"/>
      <c r="R1830" s="490"/>
      <c r="S1830" s="493"/>
    </row>
    <row r="1831" spans="2:19" ht="16.5" thickTop="1" x14ac:dyDescent="0.2">
      <c r="B1831" s="83">
        <f t="shared" ref="B1831:B1894" si="231">B1830+1</f>
        <v>1</v>
      </c>
      <c r="C1831" s="477" t="s">
        <v>31</v>
      </c>
      <c r="D1831" s="482"/>
      <c r="E1831" s="482"/>
      <c r="F1831" s="482"/>
      <c r="G1831" s="482"/>
      <c r="H1831" s="483"/>
      <c r="I1831" s="35">
        <f>I1972+I1963+I1958+I1955+I1942+I1920+I1888+I1864+I1846+I1842+I1832</f>
        <v>3357403</v>
      </c>
      <c r="J1831" s="35">
        <f>J1972+J1963+J1958+J1955+J1942+J1920+J1888+J1864+J1846+J1842+J1832</f>
        <v>0</v>
      </c>
      <c r="K1831" s="93">
        <f>I1831+J1831</f>
        <v>3357403</v>
      </c>
      <c r="L1831" s="360"/>
      <c r="M1831" s="348">
        <f>M1832+M1842+M1846+M1864+M1888+M1920+M1942+M1955+M1958+M1963+M1972</f>
        <v>41520</v>
      </c>
      <c r="N1831" s="35">
        <f>N1832+N1842+N1846+N1864+N1888+N1920+N1942+N1955+N1958+N1963+N1972</f>
        <v>0</v>
      </c>
      <c r="O1831" s="93">
        <f>N1831+M1831</f>
        <v>41520</v>
      </c>
      <c r="P1831" s="360"/>
      <c r="Q1831" s="348">
        <f t="shared" ref="Q1831:Q1894" si="232">I1831+M1831</f>
        <v>3398923</v>
      </c>
      <c r="R1831" s="35">
        <f t="shared" ref="R1831:R1873" si="233">J1831+N1831</f>
        <v>0</v>
      </c>
      <c r="S1831" s="93">
        <f>K1831+O1831</f>
        <v>3398923</v>
      </c>
    </row>
    <row r="1832" spans="2:19" ht="15" x14ac:dyDescent="0.2">
      <c r="B1832" s="83">
        <f t="shared" si="231"/>
        <v>2</v>
      </c>
      <c r="C1832" s="239">
        <v>1</v>
      </c>
      <c r="D1832" s="444" t="s">
        <v>78</v>
      </c>
      <c r="E1832" s="445"/>
      <c r="F1832" s="445"/>
      <c r="G1832" s="445"/>
      <c r="H1832" s="446"/>
      <c r="I1832" s="36">
        <f>I1833</f>
        <v>258357</v>
      </c>
      <c r="J1832" s="36">
        <f>J1833</f>
        <v>300</v>
      </c>
      <c r="K1832" s="84">
        <f t="shared" ref="K1832:K1895" si="234">I1832+J1832</f>
        <v>258657</v>
      </c>
      <c r="L1832" s="353"/>
      <c r="M1832" s="342">
        <v>0</v>
      </c>
      <c r="N1832" s="36">
        <v>0</v>
      </c>
      <c r="O1832" s="84">
        <f t="shared" ref="O1832:O1895" si="235">N1832+M1832</f>
        <v>0</v>
      </c>
      <c r="P1832" s="353"/>
      <c r="Q1832" s="342">
        <f t="shared" si="232"/>
        <v>258357</v>
      </c>
      <c r="R1832" s="36">
        <f t="shared" si="233"/>
        <v>300</v>
      </c>
      <c r="S1832" s="84">
        <f t="shared" ref="S1832:S1873" si="236">K1832+O1832</f>
        <v>258657</v>
      </c>
    </row>
    <row r="1833" spans="2:19" ht="15" x14ac:dyDescent="0.25">
      <c r="B1833" s="83">
        <f>B1832+1</f>
        <v>3</v>
      </c>
      <c r="C1833" s="10"/>
      <c r="D1833" s="10"/>
      <c r="E1833" s="10">
        <v>5</v>
      </c>
      <c r="F1833" s="28"/>
      <c r="G1833" s="10"/>
      <c r="H1833" s="10" t="s">
        <v>115</v>
      </c>
      <c r="I1833" s="38">
        <f>I1834+I1835+I1836+I1841</f>
        <v>258357</v>
      </c>
      <c r="J1833" s="38">
        <f>J1834+J1835+J1836+J1841</f>
        <v>300</v>
      </c>
      <c r="K1833" s="94">
        <f t="shared" si="234"/>
        <v>258657</v>
      </c>
      <c r="L1833" s="365"/>
      <c r="M1833" s="362">
        <v>0</v>
      </c>
      <c r="N1833" s="253"/>
      <c r="O1833" s="94">
        <f t="shared" si="235"/>
        <v>0</v>
      </c>
      <c r="P1833" s="365"/>
      <c r="Q1833" s="362">
        <f t="shared" si="232"/>
        <v>258357</v>
      </c>
      <c r="R1833" s="38">
        <f t="shared" si="233"/>
        <v>300</v>
      </c>
      <c r="S1833" s="94">
        <f t="shared" si="236"/>
        <v>258657</v>
      </c>
    </row>
    <row r="1834" spans="2:19" x14ac:dyDescent="0.2">
      <c r="B1834" s="83">
        <f t="shared" si="231"/>
        <v>4</v>
      </c>
      <c r="C1834" s="7"/>
      <c r="D1834" s="7"/>
      <c r="E1834" s="7"/>
      <c r="F1834" s="25" t="s">
        <v>83</v>
      </c>
      <c r="G1834" s="7">
        <v>610</v>
      </c>
      <c r="H1834" s="7" t="s">
        <v>142</v>
      </c>
      <c r="I1834" s="23">
        <v>138446</v>
      </c>
      <c r="J1834" s="23"/>
      <c r="K1834" s="86">
        <f t="shared" si="234"/>
        <v>138446</v>
      </c>
      <c r="L1834" s="355"/>
      <c r="M1834" s="344"/>
      <c r="N1834" s="246"/>
      <c r="O1834" s="86">
        <f t="shared" si="235"/>
        <v>0</v>
      </c>
      <c r="P1834" s="355"/>
      <c r="Q1834" s="344">
        <f t="shared" si="232"/>
        <v>138446</v>
      </c>
      <c r="R1834" s="23">
        <f t="shared" si="233"/>
        <v>0</v>
      </c>
      <c r="S1834" s="86">
        <f t="shared" si="236"/>
        <v>138446</v>
      </c>
    </row>
    <row r="1835" spans="2:19" x14ac:dyDescent="0.2">
      <c r="B1835" s="83">
        <f t="shared" si="231"/>
        <v>5</v>
      </c>
      <c r="C1835" s="7"/>
      <c r="D1835" s="7"/>
      <c r="E1835" s="7"/>
      <c r="F1835" s="25" t="s">
        <v>83</v>
      </c>
      <c r="G1835" s="7">
        <v>620</v>
      </c>
      <c r="H1835" s="7" t="s">
        <v>135</v>
      </c>
      <c r="I1835" s="23">
        <v>49972</v>
      </c>
      <c r="J1835" s="23"/>
      <c r="K1835" s="86">
        <f t="shared" si="234"/>
        <v>49972</v>
      </c>
      <c r="L1835" s="355"/>
      <c r="M1835" s="344"/>
      <c r="N1835" s="246"/>
      <c r="O1835" s="86">
        <f t="shared" si="235"/>
        <v>0</v>
      </c>
      <c r="P1835" s="355"/>
      <c r="Q1835" s="344">
        <f t="shared" si="232"/>
        <v>49972</v>
      </c>
      <c r="R1835" s="23">
        <f t="shared" si="233"/>
        <v>0</v>
      </c>
      <c r="S1835" s="86">
        <f t="shared" si="236"/>
        <v>49972</v>
      </c>
    </row>
    <row r="1836" spans="2:19" x14ac:dyDescent="0.2">
      <c r="B1836" s="83">
        <f t="shared" si="231"/>
        <v>6</v>
      </c>
      <c r="C1836" s="7"/>
      <c r="D1836" s="7"/>
      <c r="E1836" s="7"/>
      <c r="F1836" s="25" t="s">
        <v>83</v>
      </c>
      <c r="G1836" s="7">
        <v>630</v>
      </c>
      <c r="H1836" s="7" t="s">
        <v>132</v>
      </c>
      <c r="I1836" s="23">
        <f>I1840+I1839+I1838+I1837</f>
        <v>62069</v>
      </c>
      <c r="J1836" s="23"/>
      <c r="K1836" s="86">
        <f t="shared" si="234"/>
        <v>62069</v>
      </c>
      <c r="L1836" s="355"/>
      <c r="M1836" s="344"/>
      <c r="N1836" s="246"/>
      <c r="O1836" s="86">
        <f t="shared" si="235"/>
        <v>0</v>
      </c>
      <c r="P1836" s="355"/>
      <c r="Q1836" s="344">
        <f t="shared" si="232"/>
        <v>62069</v>
      </c>
      <c r="R1836" s="23">
        <f t="shared" si="233"/>
        <v>0</v>
      </c>
      <c r="S1836" s="86">
        <f t="shared" si="236"/>
        <v>62069</v>
      </c>
    </row>
    <row r="1837" spans="2:19" x14ac:dyDescent="0.2">
      <c r="B1837" s="83">
        <f t="shared" si="231"/>
        <v>7</v>
      </c>
      <c r="C1837" s="3"/>
      <c r="D1837" s="3"/>
      <c r="E1837" s="3"/>
      <c r="F1837" s="26" t="s">
        <v>83</v>
      </c>
      <c r="G1837" s="3">
        <v>632</v>
      </c>
      <c r="H1837" s="3" t="s">
        <v>145</v>
      </c>
      <c r="I1837" s="19">
        <v>15650</v>
      </c>
      <c r="J1837" s="19"/>
      <c r="K1837" s="87">
        <f t="shared" si="234"/>
        <v>15650</v>
      </c>
      <c r="L1837" s="356"/>
      <c r="M1837" s="345"/>
      <c r="N1837" s="208"/>
      <c r="O1837" s="87">
        <f t="shared" si="235"/>
        <v>0</v>
      </c>
      <c r="P1837" s="356"/>
      <c r="Q1837" s="345">
        <f t="shared" si="232"/>
        <v>15650</v>
      </c>
      <c r="R1837" s="19">
        <f t="shared" si="233"/>
        <v>0</v>
      </c>
      <c r="S1837" s="87">
        <f t="shared" si="236"/>
        <v>15650</v>
      </c>
    </row>
    <row r="1838" spans="2:19" x14ac:dyDescent="0.2">
      <c r="B1838" s="83">
        <f t="shared" si="231"/>
        <v>8</v>
      </c>
      <c r="C1838" s="3"/>
      <c r="D1838" s="3"/>
      <c r="E1838" s="3"/>
      <c r="F1838" s="26" t="s">
        <v>83</v>
      </c>
      <c r="G1838" s="3">
        <v>633</v>
      </c>
      <c r="H1838" s="3" t="s">
        <v>136</v>
      </c>
      <c r="I1838" s="19">
        <f>27650-3000</f>
        <v>24650</v>
      </c>
      <c r="J1838" s="19"/>
      <c r="K1838" s="87">
        <f t="shared" si="234"/>
        <v>24650</v>
      </c>
      <c r="L1838" s="356"/>
      <c r="M1838" s="345"/>
      <c r="N1838" s="208"/>
      <c r="O1838" s="87">
        <f t="shared" si="235"/>
        <v>0</v>
      </c>
      <c r="P1838" s="356"/>
      <c r="Q1838" s="345">
        <f t="shared" si="232"/>
        <v>24650</v>
      </c>
      <c r="R1838" s="19">
        <f t="shared" si="233"/>
        <v>0</v>
      </c>
      <c r="S1838" s="87">
        <f t="shared" si="236"/>
        <v>24650</v>
      </c>
    </row>
    <row r="1839" spans="2:19" x14ac:dyDescent="0.2">
      <c r="B1839" s="83">
        <f t="shared" si="231"/>
        <v>9</v>
      </c>
      <c r="C1839" s="3"/>
      <c r="D1839" s="3"/>
      <c r="E1839" s="3"/>
      <c r="F1839" s="26" t="s">
        <v>83</v>
      </c>
      <c r="G1839" s="3">
        <v>635</v>
      </c>
      <c r="H1839" s="3" t="s">
        <v>144</v>
      </c>
      <c r="I1839" s="19">
        <f>6310+3000+7169</f>
        <v>16479</v>
      </c>
      <c r="J1839" s="19"/>
      <c r="K1839" s="87">
        <f t="shared" si="234"/>
        <v>16479</v>
      </c>
      <c r="L1839" s="356"/>
      <c r="M1839" s="345"/>
      <c r="N1839" s="208"/>
      <c r="O1839" s="87">
        <f t="shared" si="235"/>
        <v>0</v>
      </c>
      <c r="P1839" s="356"/>
      <c r="Q1839" s="345">
        <f t="shared" si="232"/>
        <v>16479</v>
      </c>
      <c r="R1839" s="19">
        <f t="shared" si="233"/>
        <v>0</v>
      </c>
      <c r="S1839" s="87">
        <f t="shared" si="236"/>
        <v>16479</v>
      </c>
    </row>
    <row r="1840" spans="2:19" x14ac:dyDescent="0.2">
      <c r="B1840" s="83">
        <f t="shared" si="231"/>
        <v>10</v>
      </c>
      <c r="C1840" s="3"/>
      <c r="D1840" s="3"/>
      <c r="E1840" s="3"/>
      <c r="F1840" s="26" t="s">
        <v>83</v>
      </c>
      <c r="G1840" s="3">
        <v>637</v>
      </c>
      <c r="H1840" s="3" t="s">
        <v>133</v>
      </c>
      <c r="I1840" s="19">
        <v>5290</v>
      </c>
      <c r="J1840" s="19"/>
      <c r="K1840" s="87">
        <f t="shared" si="234"/>
        <v>5290</v>
      </c>
      <c r="L1840" s="356"/>
      <c r="M1840" s="345"/>
      <c r="N1840" s="208"/>
      <c r="O1840" s="87">
        <f t="shared" si="235"/>
        <v>0</v>
      </c>
      <c r="P1840" s="356"/>
      <c r="Q1840" s="345">
        <f t="shared" si="232"/>
        <v>5290</v>
      </c>
      <c r="R1840" s="19">
        <f t="shared" si="233"/>
        <v>0</v>
      </c>
      <c r="S1840" s="87">
        <f t="shared" si="236"/>
        <v>5290</v>
      </c>
    </row>
    <row r="1841" spans="2:19" x14ac:dyDescent="0.2">
      <c r="B1841" s="83">
        <f t="shared" si="231"/>
        <v>11</v>
      </c>
      <c r="C1841" s="7"/>
      <c r="D1841" s="7"/>
      <c r="E1841" s="7"/>
      <c r="F1841" s="25" t="s">
        <v>83</v>
      </c>
      <c r="G1841" s="7">
        <v>640</v>
      </c>
      <c r="H1841" s="7" t="s">
        <v>140</v>
      </c>
      <c r="I1841" s="23">
        <f>1817+6053</f>
        <v>7870</v>
      </c>
      <c r="J1841" s="23">
        <v>300</v>
      </c>
      <c r="K1841" s="86">
        <f t="shared" si="234"/>
        <v>8170</v>
      </c>
      <c r="L1841" s="355"/>
      <c r="M1841" s="344"/>
      <c r="N1841" s="246"/>
      <c r="O1841" s="86">
        <f t="shared" si="235"/>
        <v>0</v>
      </c>
      <c r="P1841" s="355"/>
      <c r="Q1841" s="344">
        <f t="shared" si="232"/>
        <v>7870</v>
      </c>
      <c r="R1841" s="23">
        <f t="shared" si="233"/>
        <v>300</v>
      </c>
      <c r="S1841" s="86">
        <f t="shared" si="236"/>
        <v>8170</v>
      </c>
    </row>
    <row r="1842" spans="2:19" ht="15" x14ac:dyDescent="0.2">
      <c r="B1842" s="83">
        <f t="shared" si="231"/>
        <v>12</v>
      </c>
      <c r="C1842" s="239">
        <v>2</v>
      </c>
      <c r="D1842" s="444" t="s">
        <v>59</v>
      </c>
      <c r="E1842" s="445"/>
      <c r="F1842" s="445"/>
      <c r="G1842" s="445"/>
      <c r="H1842" s="446"/>
      <c r="I1842" s="36">
        <f>I1843</f>
        <v>1000</v>
      </c>
      <c r="J1842" s="36"/>
      <c r="K1842" s="84">
        <f t="shared" si="234"/>
        <v>1000</v>
      </c>
      <c r="L1842" s="353"/>
      <c r="M1842" s="342">
        <v>0</v>
      </c>
      <c r="N1842" s="244"/>
      <c r="O1842" s="84">
        <f t="shared" si="235"/>
        <v>0</v>
      </c>
      <c r="P1842" s="353"/>
      <c r="Q1842" s="342">
        <f t="shared" si="232"/>
        <v>1000</v>
      </c>
      <c r="R1842" s="36">
        <f t="shared" si="233"/>
        <v>0</v>
      </c>
      <c r="S1842" s="84">
        <f t="shared" si="236"/>
        <v>1000</v>
      </c>
    </row>
    <row r="1843" spans="2:19" x14ac:dyDescent="0.2">
      <c r="B1843" s="83">
        <f t="shared" si="231"/>
        <v>13</v>
      </c>
      <c r="C1843" s="7"/>
      <c r="D1843" s="7"/>
      <c r="E1843" s="7"/>
      <c r="F1843" s="25" t="s">
        <v>58</v>
      </c>
      <c r="G1843" s="7">
        <v>640</v>
      </c>
      <c r="H1843" s="7" t="s">
        <v>140</v>
      </c>
      <c r="I1843" s="23">
        <f>I1844</f>
        <v>1000</v>
      </c>
      <c r="J1843" s="23"/>
      <c r="K1843" s="86">
        <f t="shared" si="234"/>
        <v>1000</v>
      </c>
      <c r="L1843" s="355"/>
      <c r="M1843" s="344"/>
      <c r="N1843" s="246"/>
      <c r="O1843" s="86">
        <f t="shared" si="235"/>
        <v>0</v>
      </c>
      <c r="P1843" s="355"/>
      <c r="Q1843" s="344">
        <f t="shared" si="232"/>
        <v>1000</v>
      </c>
      <c r="R1843" s="23">
        <f t="shared" si="233"/>
        <v>0</v>
      </c>
      <c r="S1843" s="86">
        <f t="shared" si="236"/>
        <v>1000</v>
      </c>
    </row>
    <row r="1844" spans="2:19" x14ac:dyDescent="0.2">
      <c r="B1844" s="83">
        <f t="shared" si="231"/>
        <v>14</v>
      </c>
      <c r="C1844" s="3"/>
      <c r="D1844" s="3"/>
      <c r="E1844" s="3"/>
      <c r="F1844" s="26" t="s">
        <v>58</v>
      </c>
      <c r="G1844" s="3">
        <v>642</v>
      </c>
      <c r="H1844" s="3" t="s">
        <v>141</v>
      </c>
      <c r="I1844" s="19">
        <f>I1845</f>
        <v>1000</v>
      </c>
      <c r="J1844" s="19"/>
      <c r="K1844" s="87">
        <f t="shared" si="234"/>
        <v>1000</v>
      </c>
      <c r="L1844" s="356"/>
      <c r="M1844" s="345"/>
      <c r="N1844" s="208"/>
      <c r="O1844" s="87">
        <f t="shared" si="235"/>
        <v>0</v>
      </c>
      <c r="P1844" s="356"/>
      <c r="Q1844" s="345">
        <f t="shared" si="232"/>
        <v>1000</v>
      </c>
      <c r="R1844" s="19">
        <f t="shared" si="233"/>
        <v>0</v>
      </c>
      <c r="S1844" s="87">
        <f t="shared" si="236"/>
        <v>1000</v>
      </c>
    </row>
    <row r="1845" spans="2:19" x14ac:dyDescent="0.2">
      <c r="B1845" s="83">
        <f t="shared" si="231"/>
        <v>15</v>
      </c>
      <c r="C1845" s="4"/>
      <c r="D1845" s="4"/>
      <c r="E1845" s="4"/>
      <c r="F1845" s="27"/>
      <c r="G1845" s="4"/>
      <c r="H1845" s="4" t="s">
        <v>380</v>
      </c>
      <c r="I1845" s="21">
        <f>2000-1000</f>
        <v>1000</v>
      </c>
      <c r="J1845" s="21"/>
      <c r="K1845" s="88">
        <f t="shared" si="234"/>
        <v>1000</v>
      </c>
      <c r="L1845" s="357"/>
      <c r="M1845" s="346"/>
      <c r="N1845" s="247"/>
      <c r="O1845" s="88">
        <f t="shared" si="235"/>
        <v>0</v>
      </c>
      <c r="P1845" s="357"/>
      <c r="Q1845" s="346">
        <f t="shared" si="232"/>
        <v>1000</v>
      </c>
      <c r="R1845" s="21">
        <f t="shared" si="233"/>
        <v>0</v>
      </c>
      <c r="S1845" s="88">
        <f t="shared" si="236"/>
        <v>1000</v>
      </c>
    </row>
    <row r="1846" spans="2:19" ht="15" x14ac:dyDescent="0.2">
      <c r="B1846" s="83">
        <f t="shared" si="231"/>
        <v>16</v>
      </c>
      <c r="C1846" s="239">
        <v>3</v>
      </c>
      <c r="D1846" s="444" t="s">
        <v>69</v>
      </c>
      <c r="E1846" s="445"/>
      <c r="F1846" s="445"/>
      <c r="G1846" s="445"/>
      <c r="H1846" s="446"/>
      <c r="I1846" s="36">
        <f>I1847</f>
        <v>67024</v>
      </c>
      <c r="J1846" s="36"/>
      <c r="K1846" s="84">
        <f t="shared" si="234"/>
        <v>67024</v>
      </c>
      <c r="L1846" s="353"/>
      <c r="M1846" s="342">
        <v>0</v>
      </c>
      <c r="N1846" s="244"/>
      <c r="O1846" s="84">
        <f t="shared" si="235"/>
        <v>0</v>
      </c>
      <c r="P1846" s="353"/>
      <c r="Q1846" s="342">
        <f t="shared" si="232"/>
        <v>67024</v>
      </c>
      <c r="R1846" s="36">
        <f t="shared" si="233"/>
        <v>0</v>
      </c>
      <c r="S1846" s="84">
        <f t="shared" si="236"/>
        <v>67024</v>
      </c>
    </row>
    <row r="1847" spans="2:19" x14ac:dyDescent="0.2">
      <c r="B1847" s="83">
        <f t="shared" si="231"/>
        <v>17</v>
      </c>
      <c r="C1847" s="7"/>
      <c r="D1847" s="7"/>
      <c r="E1847" s="7"/>
      <c r="F1847" s="25" t="s">
        <v>68</v>
      </c>
      <c r="G1847" s="7">
        <v>640</v>
      </c>
      <c r="H1847" s="7" t="s">
        <v>140</v>
      </c>
      <c r="I1847" s="23">
        <f>I1848</f>
        <v>67024</v>
      </c>
      <c r="J1847" s="23"/>
      <c r="K1847" s="86">
        <f t="shared" si="234"/>
        <v>67024</v>
      </c>
      <c r="L1847" s="355"/>
      <c r="M1847" s="344"/>
      <c r="N1847" s="246"/>
      <c r="O1847" s="86">
        <f t="shared" si="235"/>
        <v>0</v>
      </c>
      <c r="P1847" s="355"/>
      <c r="Q1847" s="344">
        <f t="shared" si="232"/>
        <v>67024</v>
      </c>
      <c r="R1847" s="23">
        <f t="shared" si="233"/>
        <v>0</v>
      </c>
      <c r="S1847" s="86">
        <f t="shared" si="236"/>
        <v>67024</v>
      </c>
    </row>
    <row r="1848" spans="2:19" x14ac:dyDescent="0.2">
      <c r="B1848" s="83">
        <f t="shared" si="231"/>
        <v>18</v>
      </c>
      <c r="C1848" s="3"/>
      <c r="D1848" s="3"/>
      <c r="E1848" s="3"/>
      <c r="F1848" s="26" t="s">
        <v>68</v>
      </c>
      <c r="G1848" s="3">
        <v>642</v>
      </c>
      <c r="H1848" s="3" t="s">
        <v>141</v>
      </c>
      <c r="I1848" s="19">
        <f>SUM(I1849:I1854)+I1863</f>
        <v>67024</v>
      </c>
      <c r="J1848" s="19"/>
      <c r="K1848" s="87">
        <f t="shared" si="234"/>
        <v>67024</v>
      </c>
      <c r="L1848" s="356"/>
      <c r="M1848" s="345"/>
      <c r="N1848" s="208"/>
      <c r="O1848" s="87">
        <f t="shared" si="235"/>
        <v>0</v>
      </c>
      <c r="P1848" s="356"/>
      <c r="Q1848" s="345">
        <f t="shared" si="232"/>
        <v>67024</v>
      </c>
      <c r="R1848" s="19">
        <f t="shared" si="233"/>
        <v>0</v>
      </c>
      <c r="S1848" s="87">
        <f t="shared" si="236"/>
        <v>67024</v>
      </c>
    </row>
    <row r="1849" spans="2:19" x14ac:dyDescent="0.2">
      <c r="B1849" s="83">
        <f t="shared" si="231"/>
        <v>19</v>
      </c>
      <c r="C1849" s="4"/>
      <c r="D1849" s="12"/>
      <c r="E1849" s="4"/>
      <c r="F1849" s="27"/>
      <c r="G1849" s="4"/>
      <c r="H1849" s="13" t="s">
        <v>296</v>
      </c>
      <c r="I1849" s="21">
        <f>15000+510</f>
        <v>15510</v>
      </c>
      <c r="J1849" s="21"/>
      <c r="K1849" s="88">
        <f t="shared" si="234"/>
        <v>15510</v>
      </c>
      <c r="L1849" s="357"/>
      <c r="M1849" s="346"/>
      <c r="N1849" s="247"/>
      <c r="O1849" s="88">
        <f t="shared" si="235"/>
        <v>0</v>
      </c>
      <c r="P1849" s="357"/>
      <c r="Q1849" s="346">
        <f t="shared" si="232"/>
        <v>15510</v>
      </c>
      <c r="R1849" s="21">
        <f t="shared" si="233"/>
        <v>0</v>
      </c>
      <c r="S1849" s="88">
        <f t="shared" si="236"/>
        <v>15510</v>
      </c>
    </row>
    <row r="1850" spans="2:19" ht="22.5" x14ac:dyDescent="0.2">
      <c r="B1850" s="83">
        <f t="shared" si="231"/>
        <v>20</v>
      </c>
      <c r="C1850" s="149"/>
      <c r="D1850" s="153"/>
      <c r="E1850" s="149"/>
      <c r="F1850" s="150"/>
      <c r="G1850" s="149"/>
      <c r="H1850" s="154" t="s">
        <v>488</v>
      </c>
      <c r="I1850" s="151">
        <v>792</v>
      </c>
      <c r="J1850" s="151"/>
      <c r="K1850" s="152">
        <f t="shared" si="234"/>
        <v>792</v>
      </c>
      <c r="L1850" s="366"/>
      <c r="M1850" s="369"/>
      <c r="N1850" s="255"/>
      <c r="O1850" s="152">
        <f t="shared" si="235"/>
        <v>0</v>
      </c>
      <c r="P1850" s="366"/>
      <c r="Q1850" s="369">
        <f t="shared" si="232"/>
        <v>792</v>
      </c>
      <c r="R1850" s="151">
        <f t="shared" si="233"/>
        <v>0</v>
      </c>
      <c r="S1850" s="152">
        <f t="shared" si="236"/>
        <v>792</v>
      </c>
    </row>
    <row r="1851" spans="2:19" x14ac:dyDescent="0.2">
      <c r="B1851" s="83">
        <f t="shared" si="231"/>
        <v>21</v>
      </c>
      <c r="C1851" s="4"/>
      <c r="D1851" s="12"/>
      <c r="E1851" s="4"/>
      <c r="F1851" s="27"/>
      <c r="G1851" s="4"/>
      <c r="H1851" s="13" t="s">
        <v>487</v>
      </c>
      <c r="I1851" s="21">
        <v>2367</v>
      </c>
      <c r="J1851" s="21"/>
      <c r="K1851" s="88">
        <f t="shared" si="234"/>
        <v>2367</v>
      </c>
      <c r="L1851" s="357"/>
      <c r="M1851" s="346"/>
      <c r="N1851" s="247"/>
      <c r="O1851" s="88">
        <f t="shared" si="235"/>
        <v>0</v>
      </c>
      <c r="P1851" s="357"/>
      <c r="Q1851" s="346">
        <f t="shared" si="232"/>
        <v>2367</v>
      </c>
      <c r="R1851" s="21">
        <f t="shared" si="233"/>
        <v>0</v>
      </c>
      <c r="S1851" s="88">
        <f t="shared" si="236"/>
        <v>2367</v>
      </c>
    </row>
    <row r="1852" spans="2:19" x14ac:dyDescent="0.2">
      <c r="B1852" s="83">
        <f t="shared" si="231"/>
        <v>22</v>
      </c>
      <c r="C1852" s="4"/>
      <c r="D1852" s="12"/>
      <c r="E1852" s="4"/>
      <c r="F1852" s="27"/>
      <c r="G1852" s="4"/>
      <c r="H1852" s="13" t="s">
        <v>328</v>
      </c>
      <c r="I1852" s="21">
        <f>10000+12000</f>
        <v>22000</v>
      </c>
      <c r="J1852" s="21"/>
      <c r="K1852" s="88">
        <f t="shared" si="234"/>
        <v>22000</v>
      </c>
      <c r="L1852" s="357"/>
      <c r="M1852" s="346"/>
      <c r="N1852" s="247"/>
      <c r="O1852" s="88">
        <f t="shared" si="235"/>
        <v>0</v>
      </c>
      <c r="P1852" s="357"/>
      <c r="Q1852" s="346">
        <f t="shared" si="232"/>
        <v>22000</v>
      </c>
      <c r="R1852" s="21">
        <f t="shared" si="233"/>
        <v>0</v>
      </c>
      <c r="S1852" s="88">
        <f t="shared" si="236"/>
        <v>22000</v>
      </c>
    </row>
    <row r="1853" spans="2:19" x14ac:dyDescent="0.2">
      <c r="B1853" s="83">
        <f t="shared" si="231"/>
        <v>23</v>
      </c>
      <c r="C1853" s="4"/>
      <c r="D1853" s="12"/>
      <c r="E1853" s="4"/>
      <c r="F1853" s="27"/>
      <c r="G1853" s="4"/>
      <c r="H1853" s="13" t="s">
        <v>431</v>
      </c>
      <c r="I1853" s="21">
        <v>15000</v>
      </c>
      <c r="J1853" s="21"/>
      <c r="K1853" s="88">
        <f t="shared" si="234"/>
        <v>15000</v>
      </c>
      <c r="L1853" s="357"/>
      <c r="M1853" s="346"/>
      <c r="N1853" s="247"/>
      <c r="O1853" s="88">
        <f t="shared" si="235"/>
        <v>0</v>
      </c>
      <c r="P1853" s="357"/>
      <c r="Q1853" s="346">
        <f t="shared" si="232"/>
        <v>15000</v>
      </c>
      <c r="R1853" s="21">
        <f t="shared" si="233"/>
        <v>0</v>
      </c>
      <c r="S1853" s="88">
        <f t="shared" si="236"/>
        <v>15000</v>
      </c>
    </row>
    <row r="1854" spans="2:19" x14ac:dyDescent="0.2">
      <c r="B1854" s="83">
        <f t="shared" si="231"/>
        <v>24</v>
      </c>
      <c r="C1854" s="4"/>
      <c r="D1854" s="12"/>
      <c r="E1854" s="4"/>
      <c r="F1854" s="27"/>
      <c r="G1854" s="4"/>
      <c r="H1854" s="13" t="s">
        <v>327</v>
      </c>
      <c r="I1854" s="21">
        <f>SUM(I1855:I1862)</f>
        <v>9855</v>
      </c>
      <c r="J1854" s="21"/>
      <c r="K1854" s="88">
        <f t="shared" si="234"/>
        <v>9855</v>
      </c>
      <c r="L1854" s="357"/>
      <c r="M1854" s="346"/>
      <c r="N1854" s="247"/>
      <c r="O1854" s="88">
        <f t="shared" si="235"/>
        <v>0</v>
      </c>
      <c r="P1854" s="357"/>
      <c r="Q1854" s="346">
        <f t="shared" si="232"/>
        <v>9855</v>
      </c>
      <c r="R1854" s="21">
        <f t="shared" si="233"/>
        <v>0</v>
      </c>
      <c r="S1854" s="88">
        <f t="shared" si="236"/>
        <v>9855</v>
      </c>
    </row>
    <row r="1855" spans="2:19" x14ac:dyDescent="0.2">
      <c r="B1855" s="83">
        <f t="shared" si="231"/>
        <v>25</v>
      </c>
      <c r="C1855" s="4"/>
      <c r="D1855" s="12"/>
      <c r="E1855" s="4"/>
      <c r="F1855" s="27"/>
      <c r="G1855" s="4"/>
      <c r="H1855" s="13" t="s">
        <v>329</v>
      </c>
      <c r="I1855" s="21">
        <v>1242</v>
      </c>
      <c r="J1855" s="21"/>
      <c r="K1855" s="88">
        <f t="shared" si="234"/>
        <v>1242</v>
      </c>
      <c r="L1855" s="357"/>
      <c r="M1855" s="346"/>
      <c r="N1855" s="247"/>
      <c r="O1855" s="88">
        <f t="shared" si="235"/>
        <v>0</v>
      </c>
      <c r="P1855" s="357"/>
      <c r="Q1855" s="346">
        <f t="shared" si="232"/>
        <v>1242</v>
      </c>
      <c r="R1855" s="21">
        <f t="shared" si="233"/>
        <v>0</v>
      </c>
      <c r="S1855" s="88">
        <f t="shared" si="236"/>
        <v>1242</v>
      </c>
    </row>
    <row r="1856" spans="2:19" x14ac:dyDescent="0.2">
      <c r="B1856" s="83">
        <f t="shared" si="231"/>
        <v>26</v>
      </c>
      <c r="C1856" s="4"/>
      <c r="D1856" s="12"/>
      <c r="E1856" s="4"/>
      <c r="F1856" s="27"/>
      <c r="G1856" s="4"/>
      <c r="H1856" s="13" t="s">
        <v>330</v>
      </c>
      <c r="I1856" s="21">
        <v>2133</v>
      </c>
      <c r="J1856" s="21"/>
      <c r="K1856" s="88">
        <f t="shared" si="234"/>
        <v>2133</v>
      </c>
      <c r="L1856" s="357"/>
      <c r="M1856" s="346"/>
      <c r="N1856" s="247"/>
      <c r="O1856" s="88">
        <f t="shared" si="235"/>
        <v>0</v>
      </c>
      <c r="P1856" s="357"/>
      <c r="Q1856" s="346">
        <f t="shared" si="232"/>
        <v>2133</v>
      </c>
      <c r="R1856" s="21">
        <f t="shared" si="233"/>
        <v>0</v>
      </c>
      <c r="S1856" s="88">
        <f t="shared" si="236"/>
        <v>2133</v>
      </c>
    </row>
    <row r="1857" spans="2:19" x14ac:dyDescent="0.2">
      <c r="B1857" s="83">
        <f t="shared" si="231"/>
        <v>27</v>
      </c>
      <c r="C1857" s="4"/>
      <c r="D1857" s="12"/>
      <c r="E1857" s="4"/>
      <c r="F1857" s="27"/>
      <c r="G1857" s="4"/>
      <c r="H1857" s="13" t="s">
        <v>331</v>
      </c>
      <c r="I1857" s="21">
        <v>387</v>
      </c>
      <c r="J1857" s="21"/>
      <c r="K1857" s="88">
        <f t="shared" si="234"/>
        <v>387</v>
      </c>
      <c r="L1857" s="357"/>
      <c r="M1857" s="346"/>
      <c r="N1857" s="247"/>
      <c r="O1857" s="88">
        <f t="shared" si="235"/>
        <v>0</v>
      </c>
      <c r="P1857" s="357"/>
      <c r="Q1857" s="346">
        <f t="shared" si="232"/>
        <v>387</v>
      </c>
      <c r="R1857" s="21">
        <f t="shared" si="233"/>
        <v>0</v>
      </c>
      <c r="S1857" s="88">
        <f t="shared" si="236"/>
        <v>387</v>
      </c>
    </row>
    <row r="1858" spans="2:19" x14ac:dyDescent="0.2">
      <c r="B1858" s="83">
        <f t="shared" si="231"/>
        <v>28</v>
      </c>
      <c r="C1858" s="4"/>
      <c r="D1858" s="12"/>
      <c r="E1858" s="4"/>
      <c r="F1858" s="27"/>
      <c r="G1858" s="4"/>
      <c r="H1858" s="13" t="s">
        <v>332</v>
      </c>
      <c r="I1858" s="21">
        <v>2754</v>
      </c>
      <c r="J1858" s="21"/>
      <c r="K1858" s="88">
        <f t="shared" si="234"/>
        <v>2754</v>
      </c>
      <c r="L1858" s="357"/>
      <c r="M1858" s="346"/>
      <c r="N1858" s="247"/>
      <c r="O1858" s="88">
        <f t="shared" si="235"/>
        <v>0</v>
      </c>
      <c r="P1858" s="357"/>
      <c r="Q1858" s="346">
        <f t="shared" si="232"/>
        <v>2754</v>
      </c>
      <c r="R1858" s="21">
        <f t="shared" si="233"/>
        <v>0</v>
      </c>
      <c r="S1858" s="88">
        <f t="shared" si="236"/>
        <v>2754</v>
      </c>
    </row>
    <row r="1859" spans="2:19" x14ac:dyDescent="0.2">
      <c r="B1859" s="83">
        <f t="shared" si="231"/>
        <v>29</v>
      </c>
      <c r="C1859" s="4"/>
      <c r="D1859" s="12"/>
      <c r="E1859" s="4"/>
      <c r="F1859" s="27"/>
      <c r="G1859" s="4"/>
      <c r="H1859" s="13" t="s">
        <v>333</v>
      </c>
      <c r="I1859" s="21">
        <v>558</v>
      </c>
      <c r="J1859" s="21"/>
      <c r="K1859" s="88">
        <f t="shared" si="234"/>
        <v>558</v>
      </c>
      <c r="L1859" s="357"/>
      <c r="M1859" s="346"/>
      <c r="N1859" s="247"/>
      <c r="O1859" s="88">
        <f t="shared" si="235"/>
        <v>0</v>
      </c>
      <c r="P1859" s="357"/>
      <c r="Q1859" s="346">
        <f t="shared" si="232"/>
        <v>558</v>
      </c>
      <c r="R1859" s="21">
        <f t="shared" si="233"/>
        <v>0</v>
      </c>
      <c r="S1859" s="88">
        <f t="shared" si="236"/>
        <v>558</v>
      </c>
    </row>
    <row r="1860" spans="2:19" x14ac:dyDescent="0.2">
      <c r="B1860" s="83">
        <f t="shared" si="231"/>
        <v>30</v>
      </c>
      <c r="C1860" s="4"/>
      <c r="D1860" s="12"/>
      <c r="E1860" s="4"/>
      <c r="F1860" s="27"/>
      <c r="G1860" s="4"/>
      <c r="H1860" s="13" t="s">
        <v>334</v>
      </c>
      <c r="I1860" s="21">
        <v>1719</v>
      </c>
      <c r="J1860" s="21"/>
      <c r="K1860" s="88">
        <f t="shared" si="234"/>
        <v>1719</v>
      </c>
      <c r="L1860" s="357"/>
      <c r="M1860" s="346"/>
      <c r="N1860" s="247"/>
      <c r="O1860" s="88">
        <f t="shared" si="235"/>
        <v>0</v>
      </c>
      <c r="P1860" s="357"/>
      <c r="Q1860" s="346">
        <f t="shared" si="232"/>
        <v>1719</v>
      </c>
      <c r="R1860" s="21">
        <f t="shared" si="233"/>
        <v>0</v>
      </c>
      <c r="S1860" s="88">
        <f t="shared" si="236"/>
        <v>1719</v>
      </c>
    </row>
    <row r="1861" spans="2:19" x14ac:dyDescent="0.2">
      <c r="B1861" s="83">
        <f t="shared" si="231"/>
        <v>31</v>
      </c>
      <c r="C1861" s="4"/>
      <c r="D1861" s="12"/>
      <c r="E1861" s="4"/>
      <c r="F1861" s="27"/>
      <c r="G1861" s="4"/>
      <c r="H1861" s="13" t="s">
        <v>335</v>
      </c>
      <c r="I1861" s="21">
        <v>882</v>
      </c>
      <c r="J1861" s="21"/>
      <c r="K1861" s="88">
        <f t="shared" si="234"/>
        <v>882</v>
      </c>
      <c r="L1861" s="357"/>
      <c r="M1861" s="346"/>
      <c r="N1861" s="247"/>
      <c r="O1861" s="88">
        <f t="shared" si="235"/>
        <v>0</v>
      </c>
      <c r="P1861" s="357"/>
      <c r="Q1861" s="346">
        <f t="shared" si="232"/>
        <v>882</v>
      </c>
      <c r="R1861" s="21">
        <f t="shared" si="233"/>
        <v>0</v>
      </c>
      <c r="S1861" s="88">
        <f t="shared" si="236"/>
        <v>882</v>
      </c>
    </row>
    <row r="1862" spans="2:19" x14ac:dyDescent="0.2">
      <c r="B1862" s="83">
        <f t="shared" si="231"/>
        <v>32</v>
      </c>
      <c r="C1862" s="4"/>
      <c r="D1862" s="12"/>
      <c r="E1862" s="4"/>
      <c r="F1862" s="27"/>
      <c r="G1862" s="4"/>
      <c r="H1862" s="13" t="s">
        <v>570</v>
      </c>
      <c r="I1862" s="21">
        <v>180</v>
      </c>
      <c r="J1862" s="21"/>
      <c r="K1862" s="88">
        <f t="shared" si="234"/>
        <v>180</v>
      </c>
      <c r="L1862" s="357"/>
      <c r="M1862" s="346"/>
      <c r="N1862" s="247"/>
      <c r="O1862" s="88">
        <f t="shared" si="235"/>
        <v>0</v>
      </c>
      <c r="P1862" s="357"/>
      <c r="Q1862" s="346">
        <f t="shared" si="232"/>
        <v>180</v>
      </c>
      <c r="R1862" s="21">
        <f t="shared" si="233"/>
        <v>0</v>
      </c>
      <c r="S1862" s="88">
        <f t="shared" si="236"/>
        <v>180</v>
      </c>
    </row>
    <row r="1863" spans="2:19" ht="22.5" x14ac:dyDescent="0.2">
      <c r="B1863" s="83">
        <f t="shared" si="231"/>
        <v>33</v>
      </c>
      <c r="C1863" s="4"/>
      <c r="D1863" s="12"/>
      <c r="E1863" s="4"/>
      <c r="F1863" s="27"/>
      <c r="G1863" s="4"/>
      <c r="H1863" s="228" t="s">
        <v>635</v>
      </c>
      <c r="I1863" s="21">
        <v>1500</v>
      </c>
      <c r="J1863" s="21"/>
      <c r="K1863" s="88">
        <f t="shared" si="234"/>
        <v>1500</v>
      </c>
      <c r="L1863" s="357"/>
      <c r="M1863" s="346"/>
      <c r="N1863" s="247"/>
      <c r="O1863" s="88">
        <f t="shared" si="235"/>
        <v>0</v>
      </c>
      <c r="P1863" s="357"/>
      <c r="Q1863" s="346">
        <f t="shared" si="232"/>
        <v>1500</v>
      </c>
      <c r="R1863" s="21">
        <f t="shared" si="233"/>
        <v>0</v>
      </c>
      <c r="S1863" s="88">
        <f t="shared" si="236"/>
        <v>1500</v>
      </c>
    </row>
    <row r="1864" spans="2:19" ht="15" x14ac:dyDescent="0.2">
      <c r="B1864" s="83">
        <f t="shared" si="231"/>
        <v>34</v>
      </c>
      <c r="C1864" s="239">
        <v>4</v>
      </c>
      <c r="D1864" s="444" t="s">
        <v>482</v>
      </c>
      <c r="E1864" s="445"/>
      <c r="F1864" s="445"/>
      <c r="G1864" s="445"/>
      <c r="H1864" s="446"/>
      <c r="I1864" s="36">
        <f>I1865+I1878</f>
        <v>139778</v>
      </c>
      <c r="J1864" s="36"/>
      <c r="K1864" s="84">
        <f t="shared" si="234"/>
        <v>139778</v>
      </c>
      <c r="L1864" s="353"/>
      <c r="M1864" s="342">
        <f>M1865</f>
        <v>10500</v>
      </c>
      <c r="N1864" s="244"/>
      <c r="O1864" s="84">
        <f t="shared" si="235"/>
        <v>10500</v>
      </c>
      <c r="P1864" s="353"/>
      <c r="Q1864" s="342">
        <f t="shared" si="232"/>
        <v>150278</v>
      </c>
      <c r="R1864" s="36">
        <f t="shared" si="233"/>
        <v>0</v>
      </c>
      <c r="S1864" s="84">
        <f t="shared" si="236"/>
        <v>150278</v>
      </c>
    </row>
    <row r="1865" spans="2:19" ht="15" x14ac:dyDescent="0.25">
      <c r="B1865" s="83">
        <f t="shared" si="231"/>
        <v>35</v>
      </c>
      <c r="C1865" s="240"/>
      <c r="D1865" s="240">
        <v>1</v>
      </c>
      <c r="E1865" s="467" t="s">
        <v>63</v>
      </c>
      <c r="F1865" s="445"/>
      <c r="G1865" s="445"/>
      <c r="H1865" s="446"/>
      <c r="I1865" s="37">
        <f>I1866</f>
        <v>66337</v>
      </c>
      <c r="J1865" s="37"/>
      <c r="K1865" s="85">
        <f t="shared" si="234"/>
        <v>66337</v>
      </c>
      <c r="L1865" s="354"/>
      <c r="M1865" s="343">
        <f>M1866</f>
        <v>10500</v>
      </c>
      <c r="N1865" s="245"/>
      <c r="O1865" s="85">
        <f t="shared" si="235"/>
        <v>10500</v>
      </c>
      <c r="P1865" s="354"/>
      <c r="Q1865" s="343">
        <f t="shared" si="232"/>
        <v>76837</v>
      </c>
      <c r="R1865" s="37">
        <f t="shared" si="233"/>
        <v>0</v>
      </c>
      <c r="S1865" s="85">
        <f t="shared" si="236"/>
        <v>76837</v>
      </c>
    </row>
    <row r="1866" spans="2:19" ht="15" x14ac:dyDescent="0.25">
      <c r="B1866" s="83">
        <f t="shared" si="231"/>
        <v>36</v>
      </c>
      <c r="C1866" s="10"/>
      <c r="D1866" s="10"/>
      <c r="E1866" s="10">
        <v>5</v>
      </c>
      <c r="F1866" s="28"/>
      <c r="G1866" s="10"/>
      <c r="H1866" s="10" t="s">
        <v>115</v>
      </c>
      <c r="I1866" s="38">
        <f>I1867+I1868+I1869+I1874</f>
        <v>66337</v>
      </c>
      <c r="J1866" s="38"/>
      <c r="K1866" s="94">
        <f t="shared" si="234"/>
        <v>66337</v>
      </c>
      <c r="L1866" s="365"/>
      <c r="M1866" s="362">
        <f>M1875</f>
        <v>10500</v>
      </c>
      <c r="N1866" s="253"/>
      <c r="O1866" s="94">
        <f t="shared" si="235"/>
        <v>10500</v>
      </c>
      <c r="P1866" s="365"/>
      <c r="Q1866" s="362">
        <f t="shared" si="232"/>
        <v>76837</v>
      </c>
      <c r="R1866" s="38">
        <f t="shared" si="233"/>
        <v>0</v>
      </c>
      <c r="S1866" s="94">
        <f t="shared" si="236"/>
        <v>76837</v>
      </c>
    </row>
    <row r="1867" spans="2:19" x14ac:dyDescent="0.2">
      <c r="B1867" s="83">
        <f t="shared" si="231"/>
        <v>37</v>
      </c>
      <c r="C1867" s="7"/>
      <c r="D1867" s="7"/>
      <c r="E1867" s="7"/>
      <c r="F1867" s="25" t="s">
        <v>58</v>
      </c>
      <c r="G1867" s="7">
        <v>610</v>
      </c>
      <c r="H1867" s="7" t="s">
        <v>142</v>
      </c>
      <c r="I1867" s="23">
        <v>32213</v>
      </c>
      <c r="J1867" s="23"/>
      <c r="K1867" s="86">
        <f t="shared" si="234"/>
        <v>32213</v>
      </c>
      <c r="L1867" s="355"/>
      <c r="M1867" s="344"/>
      <c r="N1867" s="246"/>
      <c r="O1867" s="86">
        <f t="shared" si="235"/>
        <v>0</v>
      </c>
      <c r="P1867" s="355"/>
      <c r="Q1867" s="344">
        <f t="shared" si="232"/>
        <v>32213</v>
      </c>
      <c r="R1867" s="23">
        <f t="shared" si="233"/>
        <v>0</v>
      </c>
      <c r="S1867" s="86">
        <f t="shared" si="236"/>
        <v>32213</v>
      </c>
    </row>
    <row r="1868" spans="2:19" x14ac:dyDescent="0.2">
      <c r="B1868" s="83">
        <f t="shared" si="231"/>
        <v>38</v>
      </c>
      <c r="C1868" s="7"/>
      <c r="D1868" s="7"/>
      <c r="E1868" s="7"/>
      <c r="F1868" s="25" t="s">
        <v>58</v>
      </c>
      <c r="G1868" s="7">
        <v>620</v>
      </c>
      <c r="H1868" s="7" t="s">
        <v>135</v>
      </c>
      <c r="I1868" s="23">
        <v>11936</v>
      </c>
      <c r="J1868" s="23"/>
      <c r="K1868" s="86">
        <f t="shared" si="234"/>
        <v>11936</v>
      </c>
      <c r="L1868" s="355"/>
      <c r="M1868" s="344"/>
      <c r="N1868" s="246"/>
      <c r="O1868" s="86">
        <f t="shared" si="235"/>
        <v>0</v>
      </c>
      <c r="P1868" s="355"/>
      <c r="Q1868" s="344">
        <f t="shared" si="232"/>
        <v>11936</v>
      </c>
      <c r="R1868" s="23">
        <f t="shared" si="233"/>
        <v>0</v>
      </c>
      <c r="S1868" s="86">
        <f t="shared" si="236"/>
        <v>11936</v>
      </c>
    </row>
    <row r="1869" spans="2:19" x14ac:dyDescent="0.2">
      <c r="B1869" s="83">
        <f t="shared" si="231"/>
        <v>39</v>
      </c>
      <c r="C1869" s="7"/>
      <c r="D1869" s="7"/>
      <c r="E1869" s="7"/>
      <c r="F1869" s="25" t="s">
        <v>58</v>
      </c>
      <c r="G1869" s="7">
        <v>630</v>
      </c>
      <c r="H1869" s="7" t="s">
        <v>132</v>
      </c>
      <c r="I1869" s="23">
        <f>I1873+I1872+I1871+I1870</f>
        <v>22078</v>
      </c>
      <c r="J1869" s="23"/>
      <c r="K1869" s="86">
        <f t="shared" si="234"/>
        <v>22078</v>
      </c>
      <c r="L1869" s="355"/>
      <c r="M1869" s="344"/>
      <c r="N1869" s="246"/>
      <c r="O1869" s="86">
        <f t="shared" si="235"/>
        <v>0</v>
      </c>
      <c r="P1869" s="355"/>
      <c r="Q1869" s="344">
        <f t="shared" si="232"/>
        <v>22078</v>
      </c>
      <c r="R1869" s="23">
        <f t="shared" si="233"/>
        <v>0</v>
      </c>
      <c r="S1869" s="86">
        <f t="shared" si="236"/>
        <v>22078</v>
      </c>
    </row>
    <row r="1870" spans="2:19" x14ac:dyDescent="0.2">
      <c r="B1870" s="83">
        <f t="shared" si="231"/>
        <v>40</v>
      </c>
      <c r="C1870" s="3"/>
      <c r="D1870" s="3"/>
      <c r="E1870" s="3"/>
      <c r="F1870" s="26" t="s">
        <v>58</v>
      </c>
      <c r="G1870" s="3">
        <v>632</v>
      </c>
      <c r="H1870" s="3" t="s">
        <v>145</v>
      </c>
      <c r="I1870" s="19">
        <v>6985</v>
      </c>
      <c r="J1870" s="19"/>
      <c r="K1870" s="87">
        <f t="shared" si="234"/>
        <v>6985</v>
      </c>
      <c r="L1870" s="356"/>
      <c r="M1870" s="345"/>
      <c r="N1870" s="208"/>
      <c r="O1870" s="87">
        <f t="shared" si="235"/>
        <v>0</v>
      </c>
      <c r="P1870" s="356"/>
      <c r="Q1870" s="345">
        <f t="shared" si="232"/>
        <v>6985</v>
      </c>
      <c r="R1870" s="19">
        <f t="shared" si="233"/>
        <v>0</v>
      </c>
      <c r="S1870" s="87">
        <f t="shared" si="236"/>
        <v>6985</v>
      </c>
    </row>
    <row r="1871" spans="2:19" x14ac:dyDescent="0.2">
      <c r="B1871" s="83">
        <f t="shared" si="231"/>
        <v>41</v>
      </c>
      <c r="C1871" s="3"/>
      <c r="D1871" s="3"/>
      <c r="E1871" s="3"/>
      <c r="F1871" s="26" t="s">
        <v>58</v>
      </c>
      <c r="G1871" s="3">
        <v>633</v>
      </c>
      <c r="H1871" s="3" t="s">
        <v>136</v>
      </c>
      <c r="I1871" s="19">
        <f>730+400</f>
        <v>1130</v>
      </c>
      <c r="J1871" s="19"/>
      <c r="K1871" s="87">
        <f t="shared" si="234"/>
        <v>1130</v>
      </c>
      <c r="L1871" s="356"/>
      <c r="M1871" s="345"/>
      <c r="N1871" s="208"/>
      <c r="O1871" s="87">
        <f t="shared" si="235"/>
        <v>0</v>
      </c>
      <c r="P1871" s="356"/>
      <c r="Q1871" s="345">
        <f t="shared" si="232"/>
        <v>1130</v>
      </c>
      <c r="R1871" s="19">
        <f t="shared" si="233"/>
        <v>0</v>
      </c>
      <c r="S1871" s="87">
        <f t="shared" si="236"/>
        <v>1130</v>
      </c>
    </row>
    <row r="1872" spans="2:19" x14ac:dyDescent="0.2">
      <c r="B1872" s="83">
        <f t="shared" si="231"/>
        <v>42</v>
      </c>
      <c r="C1872" s="3"/>
      <c r="D1872" s="3"/>
      <c r="E1872" s="3"/>
      <c r="F1872" s="26" t="s">
        <v>58</v>
      </c>
      <c r="G1872" s="3">
        <v>635</v>
      </c>
      <c r="H1872" s="3" t="s">
        <v>144</v>
      </c>
      <c r="I1872" s="19">
        <f>1750+5000</f>
        <v>6750</v>
      </c>
      <c r="J1872" s="19"/>
      <c r="K1872" s="87">
        <f t="shared" si="234"/>
        <v>6750</v>
      </c>
      <c r="L1872" s="356"/>
      <c r="M1872" s="345"/>
      <c r="N1872" s="208"/>
      <c r="O1872" s="87">
        <f t="shared" si="235"/>
        <v>0</v>
      </c>
      <c r="P1872" s="356"/>
      <c r="Q1872" s="345">
        <f t="shared" si="232"/>
        <v>6750</v>
      </c>
      <c r="R1872" s="19">
        <f t="shared" si="233"/>
        <v>0</v>
      </c>
      <c r="S1872" s="87">
        <f t="shared" si="236"/>
        <v>6750</v>
      </c>
    </row>
    <row r="1873" spans="2:19" x14ac:dyDescent="0.2">
      <c r="B1873" s="83">
        <f t="shared" si="231"/>
        <v>43</v>
      </c>
      <c r="C1873" s="3"/>
      <c r="D1873" s="3"/>
      <c r="E1873" s="3"/>
      <c r="F1873" s="26" t="s">
        <v>58</v>
      </c>
      <c r="G1873" s="3">
        <v>637</v>
      </c>
      <c r="H1873" s="3" t="s">
        <v>133</v>
      </c>
      <c r="I1873" s="19">
        <v>7213</v>
      </c>
      <c r="J1873" s="19"/>
      <c r="K1873" s="87">
        <f t="shared" si="234"/>
        <v>7213</v>
      </c>
      <c r="L1873" s="356"/>
      <c r="M1873" s="345"/>
      <c r="N1873" s="208"/>
      <c r="O1873" s="87">
        <f t="shared" si="235"/>
        <v>0</v>
      </c>
      <c r="P1873" s="356"/>
      <c r="Q1873" s="345">
        <f t="shared" si="232"/>
        <v>7213</v>
      </c>
      <c r="R1873" s="19">
        <f t="shared" si="233"/>
        <v>0</v>
      </c>
      <c r="S1873" s="87">
        <f t="shared" si="236"/>
        <v>7213</v>
      </c>
    </row>
    <row r="1874" spans="2:19" x14ac:dyDescent="0.2">
      <c r="B1874" s="83">
        <f t="shared" si="231"/>
        <v>44</v>
      </c>
      <c r="C1874" s="3"/>
      <c r="D1874" s="3"/>
      <c r="E1874" s="130"/>
      <c r="F1874" s="30" t="s">
        <v>58</v>
      </c>
      <c r="G1874" s="2">
        <v>640</v>
      </c>
      <c r="H1874" s="2" t="s">
        <v>140</v>
      </c>
      <c r="I1874" s="18">
        <v>110</v>
      </c>
      <c r="J1874" s="18"/>
      <c r="K1874" s="114">
        <f t="shared" si="234"/>
        <v>110</v>
      </c>
      <c r="L1874" s="355"/>
      <c r="M1874" s="349"/>
      <c r="N1874" s="207"/>
      <c r="O1874" s="114">
        <f t="shared" si="235"/>
        <v>0</v>
      </c>
      <c r="P1874" s="355"/>
      <c r="Q1874" s="349">
        <f>I1874</f>
        <v>110</v>
      </c>
      <c r="R1874" s="18">
        <f t="shared" ref="R1874:S1874" si="237">J1874</f>
        <v>0</v>
      </c>
      <c r="S1874" s="114">
        <f t="shared" si="237"/>
        <v>110</v>
      </c>
    </row>
    <row r="1875" spans="2:19" x14ac:dyDescent="0.2">
      <c r="B1875" s="83">
        <f t="shared" si="231"/>
        <v>45</v>
      </c>
      <c r="C1875" s="3"/>
      <c r="D1875" s="3"/>
      <c r="E1875" s="130"/>
      <c r="F1875" s="25" t="s">
        <v>58</v>
      </c>
      <c r="G1875" s="7">
        <v>710</v>
      </c>
      <c r="H1875" s="7" t="s">
        <v>187</v>
      </c>
      <c r="I1875" s="23"/>
      <c r="J1875" s="23"/>
      <c r="K1875" s="86">
        <f t="shared" si="234"/>
        <v>0</v>
      </c>
      <c r="L1875" s="355"/>
      <c r="M1875" s="344">
        <f>M1878+M1876</f>
        <v>10500</v>
      </c>
      <c r="N1875" s="246"/>
      <c r="O1875" s="86">
        <f t="shared" si="235"/>
        <v>10500</v>
      </c>
      <c r="P1875" s="355"/>
      <c r="Q1875" s="344">
        <f t="shared" si="232"/>
        <v>10500</v>
      </c>
      <c r="R1875" s="23">
        <f t="shared" ref="R1875:R1938" si="238">J1875+N1875</f>
        <v>0</v>
      </c>
      <c r="S1875" s="86">
        <f t="shared" ref="S1875:S1938" si="239">K1875+O1875</f>
        <v>10500</v>
      </c>
    </row>
    <row r="1876" spans="2:19" x14ac:dyDescent="0.2">
      <c r="B1876" s="83">
        <f t="shared" si="231"/>
        <v>46</v>
      </c>
      <c r="C1876" s="3"/>
      <c r="D1876" s="3"/>
      <c r="E1876" s="130"/>
      <c r="F1876" s="26" t="s">
        <v>58</v>
      </c>
      <c r="G1876" s="3">
        <v>716</v>
      </c>
      <c r="H1876" s="3" t="s">
        <v>231</v>
      </c>
      <c r="I1876" s="19"/>
      <c r="J1876" s="19"/>
      <c r="K1876" s="87">
        <f t="shared" si="234"/>
        <v>0</v>
      </c>
      <c r="L1876" s="356"/>
      <c r="M1876" s="345">
        <f>M1877</f>
        <v>10500</v>
      </c>
      <c r="N1876" s="208"/>
      <c r="O1876" s="87">
        <f t="shared" si="235"/>
        <v>10500</v>
      </c>
      <c r="P1876" s="356"/>
      <c r="Q1876" s="345">
        <f t="shared" si="232"/>
        <v>10500</v>
      </c>
      <c r="R1876" s="19">
        <f t="shared" si="238"/>
        <v>0</v>
      </c>
      <c r="S1876" s="87">
        <f t="shared" si="239"/>
        <v>10500</v>
      </c>
    </row>
    <row r="1877" spans="2:19" x14ac:dyDescent="0.2">
      <c r="B1877" s="83">
        <f t="shared" si="231"/>
        <v>47</v>
      </c>
      <c r="C1877" s="3"/>
      <c r="D1877" s="3"/>
      <c r="E1877" s="130"/>
      <c r="F1877" s="31"/>
      <c r="G1877" s="4"/>
      <c r="H1877" s="13" t="s">
        <v>617</v>
      </c>
      <c r="I1877" s="21"/>
      <c r="J1877" s="21"/>
      <c r="K1877" s="88">
        <f t="shared" si="234"/>
        <v>0</v>
      </c>
      <c r="L1877" s="357"/>
      <c r="M1877" s="346">
        <f>10000+500</f>
        <v>10500</v>
      </c>
      <c r="N1877" s="247"/>
      <c r="O1877" s="88">
        <f t="shared" si="235"/>
        <v>10500</v>
      </c>
      <c r="P1877" s="357"/>
      <c r="Q1877" s="346">
        <f t="shared" si="232"/>
        <v>10500</v>
      </c>
      <c r="R1877" s="21">
        <f t="shared" si="238"/>
        <v>0</v>
      </c>
      <c r="S1877" s="88">
        <f t="shared" si="239"/>
        <v>10500</v>
      </c>
    </row>
    <row r="1878" spans="2:19" ht="15" x14ac:dyDescent="0.25">
      <c r="B1878" s="83">
        <f t="shared" si="231"/>
        <v>48</v>
      </c>
      <c r="C1878" s="240"/>
      <c r="D1878" s="240">
        <v>2</v>
      </c>
      <c r="E1878" s="467" t="s">
        <v>307</v>
      </c>
      <c r="F1878" s="445"/>
      <c r="G1878" s="445"/>
      <c r="H1878" s="446"/>
      <c r="I1878" s="37">
        <f>I1879</f>
        <v>73441</v>
      </c>
      <c r="J1878" s="37"/>
      <c r="K1878" s="85">
        <f t="shared" si="234"/>
        <v>73441</v>
      </c>
      <c r="L1878" s="354"/>
      <c r="M1878" s="343">
        <v>0</v>
      </c>
      <c r="N1878" s="245"/>
      <c r="O1878" s="85">
        <f t="shared" si="235"/>
        <v>0</v>
      </c>
      <c r="P1878" s="354"/>
      <c r="Q1878" s="343">
        <f t="shared" si="232"/>
        <v>73441</v>
      </c>
      <c r="R1878" s="37">
        <f t="shared" si="238"/>
        <v>0</v>
      </c>
      <c r="S1878" s="85">
        <f t="shared" si="239"/>
        <v>73441</v>
      </c>
    </row>
    <row r="1879" spans="2:19" ht="15" x14ac:dyDescent="0.25">
      <c r="B1879" s="83">
        <f t="shared" si="231"/>
        <v>49</v>
      </c>
      <c r="C1879" s="10"/>
      <c r="D1879" s="10"/>
      <c r="E1879" s="10">
        <v>5</v>
      </c>
      <c r="F1879" s="28"/>
      <c r="G1879" s="10"/>
      <c r="H1879" s="10" t="s">
        <v>115</v>
      </c>
      <c r="I1879" s="38">
        <f>I1880+I1881+I1882</f>
        <v>73441</v>
      </c>
      <c r="J1879" s="38"/>
      <c r="K1879" s="94">
        <f t="shared" si="234"/>
        <v>73441</v>
      </c>
      <c r="L1879" s="365"/>
      <c r="M1879" s="362"/>
      <c r="N1879" s="253"/>
      <c r="O1879" s="94">
        <f t="shared" si="235"/>
        <v>0</v>
      </c>
      <c r="P1879" s="365"/>
      <c r="Q1879" s="362">
        <f t="shared" si="232"/>
        <v>73441</v>
      </c>
      <c r="R1879" s="38">
        <f t="shared" si="238"/>
        <v>0</v>
      </c>
      <c r="S1879" s="94">
        <f t="shared" si="239"/>
        <v>73441</v>
      </c>
    </row>
    <row r="1880" spans="2:19" x14ac:dyDescent="0.2">
      <c r="B1880" s="83">
        <f t="shared" si="231"/>
        <v>50</v>
      </c>
      <c r="C1880" s="7"/>
      <c r="D1880" s="7"/>
      <c r="E1880" s="7"/>
      <c r="F1880" s="25" t="s">
        <v>58</v>
      </c>
      <c r="G1880" s="7">
        <v>610</v>
      </c>
      <c r="H1880" s="7" t="s">
        <v>142</v>
      </c>
      <c r="I1880" s="23">
        <f>40444-1414</f>
        <v>39030</v>
      </c>
      <c r="J1880" s="23"/>
      <c r="K1880" s="86">
        <f t="shared" si="234"/>
        <v>39030</v>
      </c>
      <c r="L1880" s="355"/>
      <c r="M1880" s="344"/>
      <c r="N1880" s="246"/>
      <c r="O1880" s="86">
        <f t="shared" si="235"/>
        <v>0</v>
      </c>
      <c r="P1880" s="355"/>
      <c r="Q1880" s="344">
        <f t="shared" si="232"/>
        <v>39030</v>
      </c>
      <c r="R1880" s="23">
        <f t="shared" si="238"/>
        <v>0</v>
      </c>
      <c r="S1880" s="86">
        <f t="shared" si="239"/>
        <v>39030</v>
      </c>
    </row>
    <row r="1881" spans="2:19" x14ac:dyDescent="0.2">
      <c r="B1881" s="83">
        <f t="shared" si="231"/>
        <v>51</v>
      </c>
      <c r="C1881" s="7"/>
      <c r="D1881" s="7"/>
      <c r="E1881" s="7"/>
      <c r="F1881" s="25" t="s">
        <v>58</v>
      </c>
      <c r="G1881" s="7">
        <v>620</v>
      </c>
      <c r="H1881" s="7" t="s">
        <v>135</v>
      </c>
      <c r="I1881" s="23">
        <v>15209</v>
      </c>
      <c r="J1881" s="23"/>
      <c r="K1881" s="86">
        <f t="shared" si="234"/>
        <v>15209</v>
      </c>
      <c r="L1881" s="355"/>
      <c r="M1881" s="344"/>
      <c r="N1881" s="246"/>
      <c r="O1881" s="86">
        <f t="shared" si="235"/>
        <v>0</v>
      </c>
      <c r="P1881" s="355"/>
      <c r="Q1881" s="344">
        <f t="shared" si="232"/>
        <v>15209</v>
      </c>
      <c r="R1881" s="23">
        <f t="shared" si="238"/>
        <v>0</v>
      </c>
      <c r="S1881" s="86">
        <f t="shared" si="239"/>
        <v>15209</v>
      </c>
    </row>
    <row r="1882" spans="2:19" x14ac:dyDescent="0.2">
      <c r="B1882" s="83">
        <f t="shared" si="231"/>
        <v>52</v>
      </c>
      <c r="C1882" s="7"/>
      <c r="D1882" s="7"/>
      <c r="E1882" s="7"/>
      <c r="F1882" s="25" t="s">
        <v>58</v>
      </c>
      <c r="G1882" s="7">
        <v>630</v>
      </c>
      <c r="H1882" s="7" t="s">
        <v>132</v>
      </c>
      <c r="I1882" s="23">
        <f>I1887+I1886+I1885+I1884+I1883</f>
        <v>19202</v>
      </c>
      <c r="J1882" s="23"/>
      <c r="K1882" s="86">
        <f t="shared" si="234"/>
        <v>19202</v>
      </c>
      <c r="L1882" s="355"/>
      <c r="M1882" s="344"/>
      <c r="N1882" s="246"/>
      <c r="O1882" s="86">
        <f t="shared" si="235"/>
        <v>0</v>
      </c>
      <c r="P1882" s="355"/>
      <c r="Q1882" s="344">
        <f t="shared" si="232"/>
        <v>19202</v>
      </c>
      <c r="R1882" s="23">
        <f t="shared" si="238"/>
        <v>0</v>
      </c>
      <c r="S1882" s="86">
        <f t="shared" si="239"/>
        <v>19202</v>
      </c>
    </row>
    <row r="1883" spans="2:19" x14ac:dyDescent="0.2">
      <c r="B1883" s="83">
        <f t="shared" si="231"/>
        <v>53</v>
      </c>
      <c r="C1883" s="3"/>
      <c r="D1883" s="3"/>
      <c r="E1883" s="3"/>
      <c r="F1883" s="26" t="s">
        <v>58</v>
      </c>
      <c r="G1883" s="3">
        <v>631</v>
      </c>
      <c r="H1883" s="3" t="s">
        <v>138</v>
      </c>
      <c r="I1883" s="19">
        <v>102</v>
      </c>
      <c r="J1883" s="19"/>
      <c r="K1883" s="87">
        <f t="shared" si="234"/>
        <v>102</v>
      </c>
      <c r="L1883" s="356"/>
      <c r="M1883" s="345"/>
      <c r="N1883" s="208"/>
      <c r="O1883" s="87">
        <f t="shared" si="235"/>
        <v>0</v>
      </c>
      <c r="P1883" s="356"/>
      <c r="Q1883" s="345">
        <f t="shared" si="232"/>
        <v>102</v>
      </c>
      <c r="R1883" s="19">
        <f t="shared" si="238"/>
        <v>0</v>
      </c>
      <c r="S1883" s="87">
        <f t="shared" si="239"/>
        <v>102</v>
      </c>
    </row>
    <row r="1884" spans="2:19" x14ac:dyDescent="0.2">
      <c r="B1884" s="83">
        <f t="shared" si="231"/>
        <v>54</v>
      </c>
      <c r="C1884" s="3"/>
      <c r="D1884" s="3"/>
      <c r="E1884" s="3"/>
      <c r="F1884" s="26" t="s">
        <v>58</v>
      </c>
      <c r="G1884" s="3">
        <v>632</v>
      </c>
      <c r="H1884" s="3" t="s">
        <v>145</v>
      </c>
      <c r="I1884" s="19">
        <v>6518</v>
      </c>
      <c r="J1884" s="19"/>
      <c r="K1884" s="87">
        <f t="shared" si="234"/>
        <v>6518</v>
      </c>
      <c r="L1884" s="356"/>
      <c r="M1884" s="345"/>
      <c r="N1884" s="208"/>
      <c r="O1884" s="87">
        <f t="shared" si="235"/>
        <v>0</v>
      </c>
      <c r="P1884" s="356"/>
      <c r="Q1884" s="345">
        <f t="shared" si="232"/>
        <v>6518</v>
      </c>
      <c r="R1884" s="19">
        <f t="shared" si="238"/>
        <v>0</v>
      </c>
      <c r="S1884" s="87">
        <f t="shared" si="239"/>
        <v>6518</v>
      </c>
    </row>
    <row r="1885" spans="2:19" x14ac:dyDescent="0.2">
      <c r="B1885" s="83">
        <f t="shared" si="231"/>
        <v>55</v>
      </c>
      <c r="C1885" s="3"/>
      <c r="D1885" s="3"/>
      <c r="E1885" s="3"/>
      <c r="F1885" s="26" t="s">
        <v>58</v>
      </c>
      <c r="G1885" s="3">
        <v>633</v>
      </c>
      <c r="H1885" s="3" t="s">
        <v>136</v>
      </c>
      <c r="I1885" s="19">
        <v>1085</v>
      </c>
      <c r="J1885" s="19"/>
      <c r="K1885" s="87">
        <f t="shared" si="234"/>
        <v>1085</v>
      </c>
      <c r="L1885" s="356"/>
      <c r="M1885" s="345"/>
      <c r="N1885" s="208"/>
      <c r="O1885" s="87">
        <f t="shared" si="235"/>
        <v>0</v>
      </c>
      <c r="P1885" s="356"/>
      <c r="Q1885" s="345">
        <f t="shared" si="232"/>
        <v>1085</v>
      </c>
      <c r="R1885" s="19">
        <f t="shared" si="238"/>
        <v>0</v>
      </c>
      <c r="S1885" s="87">
        <f t="shared" si="239"/>
        <v>1085</v>
      </c>
    </row>
    <row r="1886" spans="2:19" x14ac:dyDescent="0.2">
      <c r="B1886" s="83">
        <f t="shared" si="231"/>
        <v>56</v>
      </c>
      <c r="C1886" s="3"/>
      <c r="D1886" s="3"/>
      <c r="E1886" s="3"/>
      <c r="F1886" s="26" t="s">
        <v>58</v>
      </c>
      <c r="G1886" s="3">
        <v>635</v>
      </c>
      <c r="H1886" s="3" t="s">
        <v>144</v>
      </c>
      <c r="I1886" s="19">
        <f>1100+1673</f>
        <v>2773</v>
      </c>
      <c r="J1886" s="19"/>
      <c r="K1886" s="87">
        <f t="shared" si="234"/>
        <v>2773</v>
      </c>
      <c r="L1886" s="356"/>
      <c r="M1886" s="345"/>
      <c r="N1886" s="208"/>
      <c r="O1886" s="87">
        <f t="shared" si="235"/>
        <v>0</v>
      </c>
      <c r="P1886" s="356"/>
      <c r="Q1886" s="345">
        <f t="shared" si="232"/>
        <v>2773</v>
      </c>
      <c r="R1886" s="19">
        <f t="shared" si="238"/>
        <v>0</v>
      </c>
      <c r="S1886" s="87">
        <f t="shared" si="239"/>
        <v>2773</v>
      </c>
    </row>
    <row r="1887" spans="2:19" x14ac:dyDescent="0.2">
      <c r="B1887" s="83">
        <f t="shared" si="231"/>
        <v>57</v>
      </c>
      <c r="C1887" s="3"/>
      <c r="D1887" s="3"/>
      <c r="E1887" s="3"/>
      <c r="F1887" s="26" t="s">
        <v>58</v>
      </c>
      <c r="G1887" s="3">
        <v>637</v>
      </c>
      <c r="H1887" s="3" t="s">
        <v>133</v>
      </c>
      <c r="I1887" s="19">
        <v>8724</v>
      </c>
      <c r="J1887" s="19"/>
      <c r="K1887" s="87">
        <f t="shared" si="234"/>
        <v>8724</v>
      </c>
      <c r="L1887" s="356"/>
      <c r="M1887" s="345"/>
      <c r="N1887" s="208"/>
      <c r="O1887" s="87">
        <f t="shared" si="235"/>
        <v>0</v>
      </c>
      <c r="P1887" s="356"/>
      <c r="Q1887" s="345">
        <f t="shared" si="232"/>
        <v>8724</v>
      </c>
      <c r="R1887" s="19">
        <f t="shared" si="238"/>
        <v>0</v>
      </c>
      <c r="S1887" s="87">
        <f t="shared" si="239"/>
        <v>8724</v>
      </c>
    </row>
    <row r="1888" spans="2:19" ht="15" x14ac:dyDescent="0.2">
      <c r="B1888" s="83">
        <f t="shared" si="231"/>
        <v>58</v>
      </c>
      <c r="C1888" s="239">
        <v>5</v>
      </c>
      <c r="D1888" s="444" t="s">
        <v>190</v>
      </c>
      <c r="E1888" s="445"/>
      <c r="F1888" s="445"/>
      <c r="G1888" s="445"/>
      <c r="H1888" s="446"/>
      <c r="I1888" s="36">
        <f>I1911+I1899+I1889</f>
        <v>633755</v>
      </c>
      <c r="J1888" s="36">
        <f>J1911+J1899+J1889</f>
        <v>800</v>
      </c>
      <c r="K1888" s="84">
        <f t="shared" si="234"/>
        <v>634555</v>
      </c>
      <c r="L1888" s="353"/>
      <c r="M1888" s="342">
        <v>0</v>
      </c>
      <c r="N1888" s="244"/>
      <c r="O1888" s="84">
        <f t="shared" si="235"/>
        <v>0</v>
      </c>
      <c r="P1888" s="353"/>
      <c r="Q1888" s="342">
        <f t="shared" si="232"/>
        <v>633755</v>
      </c>
      <c r="R1888" s="36">
        <f t="shared" si="238"/>
        <v>800</v>
      </c>
      <c r="S1888" s="84">
        <f t="shared" si="239"/>
        <v>634555</v>
      </c>
    </row>
    <row r="1889" spans="2:19" ht="15" x14ac:dyDescent="0.25">
      <c r="B1889" s="83">
        <f t="shared" si="231"/>
        <v>59</v>
      </c>
      <c r="C1889" s="240"/>
      <c r="D1889" s="240">
        <v>1</v>
      </c>
      <c r="E1889" s="467" t="s">
        <v>189</v>
      </c>
      <c r="F1889" s="445"/>
      <c r="G1889" s="445"/>
      <c r="H1889" s="446"/>
      <c r="I1889" s="37">
        <f>I1890+I1894</f>
        <v>8891</v>
      </c>
      <c r="J1889" s="37"/>
      <c r="K1889" s="85">
        <f t="shared" si="234"/>
        <v>8891</v>
      </c>
      <c r="L1889" s="354"/>
      <c r="M1889" s="343"/>
      <c r="N1889" s="245"/>
      <c r="O1889" s="85">
        <f t="shared" si="235"/>
        <v>0</v>
      </c>
      <c r="P1889" s="354"/>
      <c r="Q1889" s="343">
        <f t="shared" si="232"/>
        <v>8891</v>
      </c>
      <c r="R1889" s="37">
        <f t="shared" si="238"/>
        <v>0</v>
      </c>
      <c r="S1889" s="85">
        <f t="shared" si="239"/>
        <v>8891</v>
      </c>
    </row>
    <row r="1890" spans="2:19" x14ac:dyDescent="0.2">
      <c r="B1890" s="83">
        <f t="shared" si="231"/>
        <v>60</v>
      </c>
      <c r="C1890" s="7"/>
      <c r="D1890" s="7"/>
      <c r="E1890" s="7"/>
      <c r="F1890" s="25" t="s">
        <v>85</v>
      </c>
      <c r="G1890" s="7">
        <v>630</v>
      </c>
      <c r="H1890" s="7" t="s">
        <v>132</v>
      </c>
      <c r="I1890" s="23">
        <f>SUM(I1891:I1893)</f>
        <v>6661</v>
      </c>
      <c r="J1890" s="23"/>
      <c r="K1890" s="86">
        <f t="shared" si="234"/>
        <v>6661</v>
      </c>
      <c r="L1890" s="355"/>
      <c r="M1890" s="344"/>
      <c r="N1890" s="246"/>
      <c r="O1890" s="86">
        <f t="shared" si="235"/>
        <v>0</v>
      </c>
      <c r="P1890" s="355"/>
      <c r="Q1890" s="344">
        <f t="shared" si="232"/>
        <v>6661</v>
      </c>
      <c r="R1890" s="23">
        <f t="shared" si="238"/>
        <v>0</v>
      </c>
      <c r="S1890" s="86">
        <f t="shared" si="239"/>
        <v>6661</v>
      </c>
    </row>
    <row r="1891" spans="2:19" x14ac:dyDescent="0.2">
      <c r="B1891" s="83">
        <f t="shared" si="231"/>
        <v>61</v>
      </c>
      <c r="C1891" s="3"/>
      <c r="D1891" s="3"/>
      <c r="E1891" s="3"/>
      <c r="F1891" s="26" t="s">
        <v>85</v>
      </c>
      <c r="G1891" s="3">
        <v>633</v>
      </c>
      <c r="H1891" s="3" t="s">
        <v>136</v>
      </c>
      <c r="I1891" s="19">
        <f>3183+500-280</f>
        <v>3403</v>
      </c>
      <c r="J1891" s="19"/>
      <c r="K1891" s="87">
        <f t="shared" si="234"/>
        <v>3403</v>
      </c>
      <c r="L1891" s="356"/>
      <c r="M1891" s="345"/>
      <c r="N1891" s="208"/>
      <c r="O1891" s="87">
        <f t="shared" si="235"/>
        <v>0</v>
      </c>
      <c r="P1891" s="356"/>
      <c r="Q1891" s="345">
        <f t="shared" si="232"/>
        <v>3403</v>
      </c>
      <c r="R1891" s="19">
        <f t="shared" si="238"/>
        <v>0</v>
      </c>
      <c r="S1891" s="87">
        <f t="shared" si="239"/>
        <v>3403</v>
      </c>
    </row>
    <row r="1892" spans="2:19" x14ac:dyDescent="0.2">
      <c r="B1892" s="83">
        <f t="shared" si="231"/>
        <v>62</v>
      </c>
      <c r="C1892" s="3"/>
      <c r="D1892" s="3"/>
      <c r="E1892" s="3"/>
      <c r="F1892" s="26" t="s">
        <v>85</v>
      </c>
      <c r="G1892" s="3">
        <v>634</v>
      </c>
      <c r="H1892" s="3" t="s">
        <v>143</v>
      </c>
      <c r="I1892" s="19">
        <f>350+280</f>
        <v>630</v>
      </c>
      <c r="J1892" s="19"/>
      <c r="K1892" s="87">
        <f t="shared" si="234"/>
        <v>630</v>
      </c>
      <c r="L1892" s="356"/>
      <c r="M1892" s="345"/>
      <c r="N1892" s="208"/>
      <c r="O1892" s="87">
        <f t="shared" si="235"/>
        <v>0</v>
      </c>
      <c r="P1892" s="356"/>
      <c r="Q1892" s="345">
        <f t="shared" si="232"/>
        <v>630</v>
      </c>
      <c r="R1892" s="19">
        <f t="shared" si="238"/>
        <v>0</v>
      </c>
      <c r="S1892" s="87">
        <f t="shared" si="239"/>
        <v>630</v>
      </c>
    </row>
    <row r="1893" spans="2:19" x14ac:dyDescent="0.2">
      <c r="B1893" s="83">
        <f t="shared" si="231"/>
        <v>63</v>
      </c>
      <c r="C1893" s="3"/>
      <c r="D1893" s="3"/>
      <c r="E1893" s="3"/>
      <c r="F1893" s="26" t="s">
        <v>85</v>
      </c>
      <c r="G1893" s="3">
        <v>637</v>
      </c>
      <c r="H1893" s="3" t="s">
        <v>133</v>
      </c>
      <c r="I1893" s="19">
        <v>2628</v>
      </c>
      <c r="J1893" s="19"/>
      <c r="K1893" s="87">
        <f t="shared" si="234"/>
        <v>2628</v>
      </c>
      <c r="L1893" s="356"/>
      <c r="M1893" s="345"/>
      <c r="N1893" s="208"/>
      <c r="O1893" s="87">
        <f t="shared" si="235"/>
        <v>0</v>
      </c>
      <c r="P1893" s="356"/>
      <c r="Q1893" s="345">
        <f t="shared" si="232"/>
        <v>2628</v>
      </c>
      <c r="R1893" s="19">
        <f t="shared" si="238"/>
        <v>0</v>
      </c>
      <c r="S1893" s="87">
        <f t="shared" si="239"/>
        <v>2628</v>
      </c>
    </row>
    <row r="1894" spans="2:19" x14ac:dyDescent="0.2">
      <c r="B1894" s="83">
        <f t="shared" si="231"/>
        <v>64</v>
      </c>
      <c r="C1894" s="7"/>
      <c r="D1894" s="7"/>
      <c r="E1894" s="7"/>
      <c r="F1894" s="25" t="s">
        <v>82</v>
      </c>
      <c r="G1894" s="7">
        <v>640</v>
      </c>
      <c r="H1894" s="7" t="s">
        <v>140</v>
      </c>
      <c r="I1894" s="23">
        <f>I1895</f>
        <v>2230</v>
      </c>
      <c r="J1894" s="23"/>
      <c r="K1894" s="86">
        <f t="shared" si="234"/>
        <v>2230</v>
      </c>
      <c r="L1894" s="355"/>
      <c r="M1894" s="344"/>
      <c r="N1894" s="246"/>
      <c r="O1894" s="86">
        <f t="shared" si="235"/>
        <v>0</v>
      </c>
      <c r="P1894" s="355"/>
      <c r="Q1894" s="344">
        <f t="shared" si="232"/>
        <v>2230</v>
      </c>
      <c r="R1894" s="23">
        <f t="shared" si="238"/>
        <v>0</v>
      </c>
      <c r="S1894" s="86">
        <f t="shared" si="239"/>
        <v>2230</v>
      </c>
    </row>
    <row r="1895" spans="2:19" x14ac:dyDescent="0.2">
      <c r="B1895" s="83">
        <f t="shared" ref="B1895:B1958" si="240">B1894+1</f>
        <v>65</v>
      </c>
      <c r="C1895" s="3"/>
      <c r="D1895" s="3"/>
      <c r="E1895" s="3"/>
      <c r="F1895" s="26" t="s">
        <v>82</v>
      </c>
      <c r="G1895" s="3">
        <v>642</v>
      </c>
      <c r="H1895" s="3" t="s">
        <v>141</v>
      </c>
      <c r="I1895" s="19">
        <f>I1898+I1897+I1896</f>
        <v>2230</v>
      </c>
      <c r="J1895" s="19"/>
      <c r="K1895" s="87">
        <f t="shared" si="234"/>
        <v>2230</v>
      </c>
      <c r="L1895" s="356"/>
      <c r="M1895" s="345"/>
      <c r="N1895" s="208"/>
      <c r="O1895" s="87">
        <f t="shared" si="235"/>
        <v>0</v>
      </c>
      <c r="P1895" s="356"/>
      <c r="Q1895" s="345">
        <f t="shared" ref="Q1895:Q1958" si="241">I1895+M1895</f>
        <v>2230</v>
      </c>
      <c r="R1895" s="19">
        <f t="shared" si="238"/>
        <v>0</v>
      </c>
      <c r="S1895" s="87">
        <f t="shared" si="239"/>
        <v>2230</v>
      </c>
    </row>
    <row r="1896" spans="2:19" x14ac:dyDescent="0.2">
      <c r="B1896" s="83">
        <f t="shared" si="240"/>
        <v>66</v>
      </c>
      <c r="C1896" s="4"/>
      <c r="D1896" s="4"/>
      <c r="E1896" s="4"/>
      <c r="F1896" s="27"/>
      <c r="G1896" s="4"/>
      <c r="H1896" s="4" t="s">
        <v>248</v>
      </c>
      <c r="I1896" s="21">
        <v>500</v>
      </c>
      <c r="J1896" s="21"/>
      <c r="K1896" s="88">
        <f t="shared" ref="K1896:K1959" si="242">I1896+J1896</f>
        <v>500</v>
      </c>
      <c r="L1896" s="357"/>
      <c r="M1896" s="346"/>
      <c r="N1896" s="247"/>
      <c r="O1896" s="88">
        <f t="shared" ref="O1896:O1959" si="243">N1896+M1896</f>
        <v>0</v>
      </c>
      <c r="P1896" s="357"/>
      <c r="Q1896" s="346">
        <f t="shared" si="241"/>
        <v>500</v>
      </c>
      <c r="R1896" s="21">
        <f t="shared" si="238"/>
        <v>0</v>
      </c>
      <c r="S1896" s="88">
        <f t="shared" si="239"/>
        <v>500</v>
      </c>
    </row>
    <row r="1897" spans="2:19" x14ac:dyDescent="0.2">
      <c r="B1897" s="83">
        <f t="shared" si="240"/>
        <v>67</v>
      </c>
      <c r="C1897" s="4"/>
      <c r="D1897" s="4"/>
      <c r="E1897" s="4"/>
      <c r="F1897" s="27"/>
      <c r="G1897" s="4"/>
      <c r="H1897" s="4" t="s">
        <v>249</v>
      </c>
      <c r="I1897" s="21">
        <v>1500</v>
      </c>
      <c r="J1897" s="21"/>
      <c r="K1897" s="88">
        <f t="shared" si="242"/>
        <v>1500</v>
      </c>
      <c r="L1897" s="357"/>
      <c r="M1897" s="346"/>
      <c r="N1897" s="247"/>
      <c r="O1897" s="88">
        <f t="shared" si="243"/>
        <v>0</v>
      </c>
      <c r="P1897" s="357"/>
      <c r="Q1897" s="346">
        <f t="shared" si="241"/>
        <v>1500</v>
      </c>
      <c r="R1897" s="21">
        <f t="shared" si="238"/>
        <v>0</v>
      </c>
      <c r="S1897" s="88">
        <f t="shared" si="239"/>
        <v>1500</v>
      </c>
    </row>
    <row r="1898" spans="2:19" x14ac:dyDescent="0.2">
      <c r="B1898" s="83">
        <f t="shared" si="240"/>
        <v>68</v>
      </c>
      <c r="C1898" s="4"/>
      <c r="D1898" s="4"/>
      <c r="E1898" s="4"/>
      <c r="F1898" s="27"/>
      <c r="G1898" s="4"/>
      <c r="H1898" s="4" t="s">
        <v>6</v>
      </c>
      <c r="I1898" s="21">
        <v>230</v>
      </c>
      <c r="J1898" s="21"/>
      <c r="K1898" s="88">
        <f t="shared" si="242"/>
        <v>230</v>
      </c>
      <c r="L1898" s="357"/>
      <c r="M1898" s="346"/>
      <c r="N1898" s="247"/>
      <c r="O1898" s="88">
        <f t="shared" si="243"/>
        <v>0</v>
      </c>
      <c r="P1898" s="357"/>
      <c r="Q1898" s="346">
        <f t="shared" si="241"/>
        <v>230</v>
      </c>
      <c r="R1898" s="21">
        <f t="shared" si="238"/>
        <v>0</v>
      </c>
      <c r="S1898" s="88">
        <f t="shared" si="239"/>
        <v>230</v>
      </c>
    </row>
    <row r="1899" spans="2:19" ht="15" x14ac:dyDescent="0.25">
      <c r="B1899" s="83">
        <f t="shared" si="240"/>
        <v>69</v>
      </c>
      <c r="C1899" s="240"/>
      <c r="D1899" s="240">
        <v>2</v>
      </c>
      <c r="E1899" s="467" t="s">
        <v>66</v>
      </c>
      <c r="F1899" s="445"/>
      <c r="G1899" s="445"/>
      <c r="H1899" s="446"/>
      <c r="I1899" s="37">
        <f>I1900</f>
        <v>602299</v>
      </c>
      <c r="J1899" s="37">
        <f>J1900</f>
        <v>800</v>
      </c>
      <c r="K1899" s="85">
        <f t="shared" si="242"/>
        <v>603099</v>
      </c>
      <c r="L1899" s="354"/>
      <c r="M1899" s="343">
        <v>0</v>
      </c>
      <c r="N1899" s="245"/>
      <c r="O1899" s="85">
        <f t="shared" si="243"/>
        <v>0</v>
      </c>
      <c r="P1899" s="354"/>
      <c r="Q1899" s="343">
        <f t="shared" si="241"/>
        <v>602299</v>
      </c>
      <c r="R1899" s="37">
        <f t="shared" si="238"/>
        <v>800</v>
      </c>
      <c r="S1899" s="85">
        <f t="shared" si="239"/>
        <v>603099</v>
      </c>
    </row>
    <row r="1900" spans="2:19" ht="15" x14ac:dyDescent="0.25">
      <c r="B1900" s="83">
        <f t="shared" si="240"/>
        <v>70</v>
      </c>
      <c r="C1900" s="10"/>
      <c r="D1900" s="10"/>
      <c r="E1900" s="10">
        <v>5</v>
      </c>
      <c r="F1900" s="28"/>
      <c r="G1900" s="10"/>
      <c r="H1900" s="10" t="s">
        <v>115</v>
      </c>
      <c r="I1900" s="38">
        <f>I1901+I1902+I1903+I1910</f>
        <v>602299</v>
      </c>
      <c r="J1900" s="38">
        <f>J1901+J1902+J1903+J1910</f>
        <v>800</v>
      </c>
      <c r="K1900" s="94">
        <f t="shared" si="242"/>
        <v>603099</v>
      </c>
      <c r="L1900" s="365"/>
      <c r="M1900" s="362"/>
      <c r="N1900" s="253"/>
      <c r="O1900" s="94">
        <f t="shared" si="243"/>
        <v>0</v>
      </c>
      <c r="P1900" s="365"/>
      <c r="Q1900" s="362">
        <f t="shared" si="241"/>
        <v>602299</v>
      </c>
      <c r="R1900" s="38">
        <f t="shared" si="238"/>
        <v>800</v>
      </c>
      <c r="S1900" s="94">
        <f t="shared" si="239"/>
        <v>603099</v>
      </c>
    </row>
    <row r="1901" spans="2:19" x14ac:dyDescent="0.2">
      <c r="B1901" s="83">
        <f t="shared" si="240"/>
        <v>71</v>
      </c>
      <c r="C1901" s="7"/>
      <c r="D1901" s="7"/>
      <c r="E1901" s="7"/>
      <c r="F1901" s="25" t="s">
        <v>85</v>
      </c>
      <c r="G1901" s="7">
        <v>610</v>
      </c>
      <c r="H1901" s="7" t="s">
        <v>142</v>
      </c>
      <c r="I1901" s="23">
        <v>279799</v>
      </c>
      <c r="J1901" s="23"/>
      <c r="K1901" s="86">
        <f t="shared" si="242"/>
        <v>279799</v>
      </c>
      <c r="L1901" s="355"/>
      <c r="M1901" s="344"/>
      <c r="N1901" s="246"/>
      <c r="O1901" s="86">
        <f t="shared" si="243"/>
        <v>0</v>
      </c>
      <c r="P1901" s="355"/>
      <c r="Q1901" s="344">
        <f t="shared" si="241"/>
        <v>279799</v>
      </c>
      <c r="R1901" s="23">
        <f t="shared" si="238"/>
        <v>0</v>
      </c>
      <c r="S1901" s="86">
        <f t="shared" si="239"/>
        <v>279799</v>
      </c>
    </row>
    <row r="1902" spans="2:19" x14ac:dyDescent="0.2">
      <c r="B1902" s="83">
        <f t="shared" si="240"/>
        <v>72</v>
      </c>
      <c r="C1902" s="7"/>
      <c r="D1902" s="7"/>
      <c r="E1902" s="7"/>
      <c r="F1902" s="25" t="s">
        <v>85</v>
      </c>
      <c r="G1902" s="7">
        <v>620</v>
      </c>
      <c r="H1902" s="7" t="s">
        <v>135</v>
      </c>
      <c r="I1902" s="23">
        <v>101730</v>
      </c>
      <c r="J1902" s="23"/>
      <c r="K1902" s="86">
        <f t="shared" si="242"/>
        <v>101730</v>
      </c>
      <c r="L1902" s="355"/>
      <c r="M1902" s="344"/>
      <c r="N1902" s="246"/>
      <c r="O1902" s="86">
        <f t="shared" si="243"/>
        <v>0</v>
      </c>
      <c r="P1902" s="355"/>
      <c r="Q1902" s="344">
        <f t="shared" si="241"/>
        <v>101730</v>
      </c>
      <c r="R1902" s="23">
        <f t="shared" si="238"/>
        <v>0</v>
      </c>
      <c r="S1902" s="86">
        <f t="shared" si="239"/>
        <v>101730</v>
      </c>
    </row>
    <row r="1903" spans="2:19" x14ac:dyDescent="0.2">
      <c r="B1903" s="83">
        <f t="shared" si="240"/>
        <v>73</v>
      </c>
      <c r="C1903" s="7"/>
      <c r="D1903" s="7"/>
      <c r="E1903" s="7"/>
      <c r="F1903" s="25" t="s">
        <v>85</v>
      </c>
      <c r="G1903" s="7">
        <v>630</v>
      </c>
      <c r="H1903" s="7" t="s">
        <v>132</v>
      </c>
      <c r="I1903" s="23">
        <f>I1909+I1908+I1907+I1906+I1905+I1904</f>
        <v>218114</v>
      </c>
      <c r="J1903" s="23"/>
      <c r="K1903" s="86">
        <f t="shared" si="242"/>
        <v>218114</v>
      </c>
      <c r="L1903" s="355"/>
      <c r="M1903" s="344"/>
      <c r="N1903" s="246"/>
      <c r="O1903" s="86">
        <f t="shared" si="243"/>
        <v>0</v>
      </c>
      <c r="P1903" s="355"/>
      <c r="Q1903" s="344">
        <f t="shared" si="241"/>
        <v>218114</v>
      </c>
      <c r="R1903" s="23">
        <f t="shared" si="238"/>
        <v>0</v>
      </c>
      <c r="S1903" s="86">
        <f t="shared" si="239"/>
        <v>218114</v>
      </c>
    </row>
    <row r="1904" spans="2:19" x14ac:dyDescent="0.2">
      <c r="B1904" s="83">
        <f t="shared" si="240"/>
        <v>74</v>
      </c>
      <c r="C1904" s="3"/>
      <c r="D1904" s="3"/>
      <c r="E1904" s="3"/>
      <c r="F1904" s="26" t="s">
        <v>85</v>
      </c>
      <c r="G1904" s="3">
        <v>631</v>
      </c>
      <c r="H1904" s="3" t="s">
        <v>138</v>
      </c>
      <c r="I1904" s="19">
        <v>200</v>
      </c>
      <c r="J1904" s="19"/>
      <c r="K1904" s="87">
        <f t="shared" si="242"/>
        <v>200</v>
      </c>
      <c r="L1904" s="356"/>
      <c r="M1904" s="345"/>
      <c r="N1904" s="208"/>
      <c r="O1904" s="87">
        <f t="shared" si="243"/>
        <v>0</v>
      </c>
      <c r="P1904" s="356"/>
      <c r="Q1904" s="345">
        <f t="shared" si="241"/>
        <v>200</v>
      </c>
      <c r="R1904" s="19">
        <f t="shared" si="238"/>
        <v>0</v>
      </c>
      <c r="S1904" s="87">
        <f t="shared" si="239"/>
        <v>200</v>
      </c>
    </row>
    <row r="1905" spans="2:19" x14ac:dyDescent="0.2">
      <c r="B1905" s="83">
        <f t="shared" si="240"/>
        <v>75</v>
      </c>
      <c r="C1905" s="3"/>
      <c r="D1905" s="3"/>
      <c r="E1905" s="3"/>
      <c r="F1905" s="26" t="s">
        <v>85</v>
      </c>
      <c r="G1905" s="3">
        <v>632</v>
      </c>
      <c r="H1905" s="3" t="s">
        <v>145</v>
      </c>
      <c r="I1905" s="19">
        <v>55750</v>
      </c>
      <c r="J1905" s="19"/>
      <c r="K1905" s="87">
        <f t="shared" si="242"/>
        <v>55750</v>
      </c>
      <c r="L1905" s="356"/>
      <c r="M1905" s="345"/>
      <c r="N1905" s="208"/>
      <c r="O1905" s="87">
        <f t="shared" si="243"/>
        <v>0</v>
      </c>
      <c r="P1905" s="356"/>
      <c r="Q1905" s="345">
        <f t="shared" si="241"/>
        <v>55750</v>
      </c>
      <c r="R1905" s="19">
        <f t="shared" si="238"/>
        <v>0</v>
      </c>
      <c r="S1905" s="87">
        <f t="shared" si="239"/>
        <v>55750</v>
      </c>
    </row>
    <row r="1906" spans="2:19" x14ac:dyDescent="0.2">
      <c r="B1906" s="83">
        <f t="shared" si="240"/>
        <v>76</v>
      </c>
      <c r="C1906" s="3"/>
      <c r="D1906" s="3"/>
      <c r="E1906" s="3"/>
      <c r="F1906" s="26" t="s">
        <v>85</v>
      </c>
      <c r="G1906" s="3">
        <v>633</v>
      </c>
      <c r="H1906" s="3" t="s">
        <v>136</v>
      </c>
      <c r="I1906" s="19">
        <f>21472+770-1249</f>
        <v>20993</v>
      </c>
      <c r="J1906" s="19"/>
      <c r="K1906" s="87">
        <f t="shared" si="242"/>
        <v>20993</v>
      </c>
      <c r="L1906" s="356"/>
      <c r="M1906" s="345"/>
      <c r="N1906" s="208"/>
      <c r="O1906" s="87">
        <f t="shared" si="243"/>
        <v>0</v>
      </c>
      <c r="P1906" s="356"/>
      <c r="Q1906" s="345">
        <f t="shared" si="241"/>
        <v>20993</v>
      </c>
      <c r="R1906" s="19">
        <f t="shared" si="238"/>
        <v>0</v>
      </c>
      <c r="S1906" s="87">
        <f t="shared" si="239"/>
        <v>20993</v>
      </c>
    </row>
    <row r="1907" spans="2:19" x14ac:dyDescent="0.2">
      <c r="B1907" s="83">
        <f t="shared" si="240"/>
        <v>77</v>
      </c>
      <c r="C1907" s="3"/>
      <c r="D1907" s="3"/>
      <c r="E1907" s="3"/>
      <c r="F1907" s="26" t="s">
        <v>85</v>
      </c>
      <c r="G1907" s="3">
        <v>634</v>
      </c>
      <c r="H1907" s="3" t="s">
        <v>143</v>
      </c>
      <c r="I1907" s="19">
        <v>2350</v>
      </c>
      <c r="J1907" s="19"/>
      <c r="K1907" s="87">
        <f t="shared" si="242"/>
        <v>2350</v>
      </c>
      <c r="L1907" s="356"/>
      <c r="M1907" s="345"/>
      <c r="N1907" s="208"/>
      <c r="O1907" s="87">
        <f t="shared" si="243"/>
        <v>0</v>
      </c>
      <c r="P1907" s="356"/>
      <c r="Q1907" s="345">
        <f t="shared" si="241"/>
        <v>2350</v>
      </c>
      <c r="R1907" s="19">
        <f t="shared" si="238"/>
        <v>0</v>
      </c>
      <c r="S1907" s="87">
        <f t="shared" si="239"/>
        <v>2350</v>
      </c>
    </row>
    <row r="1908" spans="2:19" x14ac:dyDescent="0.2">
      <c r="B1908" s="83">
        <f t="shared" si="240"/>
        <v>78</v>
      </c>
      <c r="C1908" s="3"/>
      <c r="D1908" s="3"/>
      <c r="E1908" s="3"/>
      <c r="F1908" s="26" t="s">
        <v>85</v>
      </c>
      <c r="G1908" s="3">
        <v>635</v>
      </c>
      <c r="H1908" s="3" t="s">
        <v>144</v>
      </c>
      <c r="I1908" s="19">
        <f>22274+500+6000</f>
        <v>28774</v>
      </c>
      <c r="J1908" s="19"/>
      <c r="K1908" s="87">
        <f t="shared" si="242"/>
        <v>28774</v>
      </c>
      <c r="L1908" s="356"/>
      <c r="M1908" s="345"/>
      <c r="N1908" s="208"/>
      <c r="O1908" s="87">
        <f t="shared" si="243"/>
        <v>0</v>
      </c>
      <c r="P1908" s="356"/>
      <c r="Q1908" s="345">
        <f t="shared" si="241"/>
        <v>28774</v>
      </c>
      <c r="R1908" s="19">
        <f t="shared" si="238"/>
        <v>0</v>
      </c>
      <c r="S1908" s="87">
        <f t="shared" si="239"/>
        <v>28774</v>
      </c>
    </row>
    <row r="1909" spans="2:19" x14ac:dyDescent="0.2">
      <c r="B1909" s="83">
        <f t="shared" si="240"/>
        <v>79</v>
      </c>
      <c r="C1909" s="3"/>
      <c r="D1909" s="3"/>
      <c r="E1909" s="3"/>
      <c r="F1909" s="26" t="s">
        <v>85</v>
      </c>
      <c r="G1909" s="3">
        <v>637</v>
      </c>
      <c r="H1909" s="3" t="s">
        <v>133</v>
      </c>
      <c r="I1909" s="19">
        <f>104047+6000</f>
        <v>110047</v>
      </c>
      <c r="J1909" s="19"/>
      <c r="K1909" s="87">
        <f t="shared" si="242"/>
        <v>110047</v>
      </c>
      <c r="L1909" s="356"/>
      <c r="M1909" s="345"/>
      <c r="N1909" s="208"/>
      <c r="O1909" s="87">
        <f t="shared" si="243"/>
        <v>0</v>
      </c>
      <c r="P1909" s="356"/>
      <c r="Q1909" s="345">
        <f t="shared" si="241"/>
        <v>110047</v>
      </c>
      <c r="R1909" s="19">
        <f t="shared" si="238"/>
        <v>0</v>
      </c>
      <c r="S1909" s="87">
        <f t="shared" si="239"/>
        <v>110047</v>
      </c>
    </row>
    <row r="1910" spans="2:19" x14ac:dyDescent="0.2">
      <c r="B1910" s="83">
        <f t="shared" si="240"/>
        <v>80</v>
      </c>
      <c r="C1910" s="3"/>
      <c r="D1910" s="3"/>
      <c r="E1910" s="130"/>
      <c r="F1910" s="25" t="s">
        <v>85</v>
      </c>
      <c r="G1910" s="7">
        <v>640</v>
      </c>
      <c r="H1910" s="7" t="s">
        <v>140</v>
      </c>
      <c r="I1910" s="23">
        <f>700+1956</f>
        <v>2656</v>
      </c>
      <c r="J1910" s="23">
        <v>800</v>
      </c>
      <c r="K1910" s="86">
        <f t="shared" si="242"/>
        <v>3456</v>
      </c>
      <c r="L1910" s="355"/>
      <c r="M1910" s="344"/>
      <c r="N1910" s="246"/>
      <c r="O1910" s="86">
        <f t="shared" si="243"/>
        <v>0</v>
      </c>
      <c r="P1910" s="355"/>
      <c r="Q1910" s="344">
        <f t="shared" si="241"/>
        <v>2656</v>
      </c>
      <c r="R1910" s="23">
        <f t="shared" si="238"/>
        <v>800</v>
      </c>
      <c r="S1910" s="86">
        <f t="shared" si="239"/>
        <v>3456</v>
      </c>
    </row>
    <row r="1911" spans="2:19" ht="15" x14ac:dyDescent="0.25">
      <c r="B1911" s="83">
        <f t="shared" si="240"/>
        <v>81</v>
      </c>
      <c r="C1911" s="240"/>
      <c r="D1911" s="240">
        <v>3</v>
      </c>
      <c r="E1911" s="467" t="s">
        <v>7</v>
      </c>
      <c r="F1911" s="445"/>
      <c r="G1911" s="445"/>
      <c r="H1911" s="446"/>
      <c r="I1911" s="37">
        <f>I1912+I1917</f>
        <v>22565</v>
      </c>
      <c r="J1911" s="37"/>
      <c r="K1911" s="85">
        <f t="shared" si="242"/>
        <v>22565</v>
      </c>
      <c r="L1911" s="354"/>
      <c r="M1911" s="343">
        <v>0</v>
      </c>
      <c r="N1911" s="245"/>
      <c r="O1911" s="85">
        <f t="shared" si="243"/>
        <v>0</v>
      </c>
      <c r="P1911" s="354"/>
      <c r="Q1911" s="343">
        <f t="shared" si="241"/>
        <v>22565</v>
      </c>
      <c r="R1911" s="37">
        <f t="shared" si="238"/>
        <v>0</v>
      </c>
      <c r="S1911" s="85">
        <f t="shared" si="239"/>
        <v>22565</v>
      </c>
    </row>
    <row r="1912" spans="2:19" x14ac:dyDescent="0.2">
      <c r="B1912" s="83">
        <f t="shared" si="240"/>
        <v>82</v>
      </c>
      <c r="C1912" s="7"/>
      <c r="D1912" s="7"/>
      <c r="E1912" s="7"/>
      <c r="F1912" s="25" t="s">
        <v>85</v>
      </c>
      <c r="G1912" s="7">
        <v>630</v>
      </c>
      <c r="H1912" s="7" t="s">
        <v>132</v>
      </c>
      <c r="I1912" s="23">
        <f>SUM(I1913:I1916)</f>
        <v>21565</v>
      </c>
      <c r="J1912" s="23"/>
      <c r="K1912" s="86">
        <f t="shared" si="242"/>
        <v>21565</v>
      </c>
      <c r="L1912" s="355"/>
      <c r="M1912" s="344"/>
      <c r="N1912" s="246"/>
      <c r="O1912" s="86">
        <f t="shared" si="243"/>
        <v>0</v>
      </c>
      <c r="P1912" s="355"/>
      <c r="Q1912" s="344">
        <f t="shared" si="241"/>
        <v>21565</v>
      </c>
      <c r="R1912" s="23">
        <f t="shared" si="238"/>
        <v>0</v>
      </c>
      <c r="S1912" s="86">
        <f t="shared" si="239"/>
        <v>21565</v>
      </c>
    </row>
    <row r="1913" spans="2:19" x14ac:dyDescent="0.2">
      <c r="B1913" s="83">
        <f t="shared" si="240"/>
        <v>83</v>
      </c>
      <c r="C1913" s="7"/>
      <c r="D1913" s="7"/>
      <c r="E1913" s="7"/>
      <c r="F1913" s="26" t="s">
        <v>85</v>
      </c>
      <c r="G1913" s="3">
        <v>632</v>
      </c>
      <c r="H1913" s="3" t="s">
        <v>145</v>
      </c>
      <c r="I1913" s="20">
        <f>16850-110</f>
        <v>16740</v>
      </c>
      <c r="J1913" s="20"/>
      <c r="K1913" s="123">
        <f t="shared" si="242"/>
        <v>16740</v>
      </c>
      <c r="L1913" s="356"/>
      <c r="M1913" s="344"/>
      <c r="N1913" s="246"/>
      <c r="O1913" s="86">
        <f t="shared" si="243"/>
        <v>0</v>
      </c>
      <c r="P1913" s="355"/>
      <c r="Q1913" s="363">
        <f t="shared" si="241"/>
        <v>16740</v>
      </c>
      <c r="R1913" s="20">
        <f t="shared" si="238"/>
        <v>0</v>
      </c>
      <c r="S1913" s="123">
        <f t="shared" si="239"/>
        <v>16740</v>
      </c>
    </row>
    <row r="1914" spans="2:19" x14ac:dyDescent="0.2">
      <c r="B1914" s="83">
        <f t="shared" si="240"/>
        <v>84</v>
      </c>
      <c r="C1914" s="3"/>
      <c r="D1914" s="3"/>
      <c r="E1914" s="3"/>
      <c r="F1914" s="26" t="s">
        <v>85</v>
      </c>
      <c r="G1914" s="3">
        <v>633</v>
      </c>
      <c r="H1914" s="3" t="s">
        <v>136</v>
      </c>
      <c r="I1914" s="19">
        <f>1000+200-100</f>
        <v>1100</v>
      </c>
      <c r="J1914" s="19"/>
      <c r="K1914" s="87">
        <f t="shared" si="242"/>
        <v>1100</v>
      </c>
      <c r="L1914" s="356"/>
      <c r="M1914" s="345"/>
      <c r="N1914" s="208"/>
      <c r="O1914" s="87">
        <f t="shared" si="243"/>
        <v>0</v>
      </c>
      <c r="P1914" s="356"/>
      <c r="Q1914" s="345">
        <f t="shared" si="241"/>
        <v>1100</v>
      </c>
      <c r="R1914" s="19">
        <f t="shared" si="238"/>
        <v>0</v>
      </c>
      <c r="S1914" s="87">
        <f t="shared" si="239"/>
        <v>1100</v>
      </c>
    </row>
    <row r="1915" spans="2:19" x14ac:dyDescent="0.2">
      <c r="B1915" s="83">
        <f t="shared" si="240"/>
        <v>85</v>
      </c>
      <c r="C1915" s="3"/>
      <c r="D1915" s="3"/>
      <c r="E1915" s="3"/>
      <c r="F1915" s="26" t="s">
        <v>85</v>
      </c>
      <c r="G1915" s="3">
        <v>635</v>
      </c>
      <c r="H1915" s="3" t="s">
        <v>144</v>
      </c>
      <c r="I1915" s="19">
        <f>1200+2100-200</f>
        <v>3100</v>
      </c>
      <c r="J1915" s="19"/>
      <c r="K1915" s="87">
        <f t="shared" si="242"/>
        <v>3100</v>
      </c>
      <c r="L1915" s="356"/>
      <c r="M1915" s="345"/>
      <c r="N1915" s="208"/>
      <c r="O1915" s="87">
        <f t="shared" si="243"/>
        <v>0</v>
      </c>
      <c r="P1915" s="356"/>
      <c r="Q1915" s="345">
        <f t="shared" si="241"/>
        <v>3100</v>
      </c>
      <c r="R1915" s="19">
        <f t="shared" si="238"/>
        <v>0</v>
      </c>
      <c r="S1915" s="87">
        <f t="shared" si="239"/>
        <v>3100</v>
      </c>
    </row>
    <row r="1916" spans="2:19" x14ac:dyDescent="0.2">
      <c r="B1916" s="83">
        <f t="shared" si="240"/>
        <v>86</v>
      </c>
      <c r="C1916" s="3"/>
      <c r="D1916" s="3"/>
      <c r="E1916" s="3"/>
      <c r="F1916" s="26" t="s">
        <v>85</v>
      </c>
      <c r="G1916" s="3">
        <v>637</v>
      </c>
      <c r="H1916" s="3" t="s">
        <v>133</v>
      </c>
      <c r="I1916" s="19">
        <f>325+400-100</f>
        <v>625</v>
      </c>
      <c r="J1916" s="19"/>
      <c r="K1916" s="87">
        <f t="shared" si="242"/>
        <v>625</v>
      </c>
      <c r="L1916" s="356"/>
      <c r="M1916" s="345"/>
      <c r="N1916" s="208"/>
      <c r="O1916" s="87">
        <f t="shared" si="243"/>
        <v>0</v>
      </c>
      <c r="P1916" s="356"/>
      <c r="Q1916" s="345">
        <f t="shared" si="241"/>
        <v>625</v>
      </c>
      <c r="R1916" s="19">
        <f t="shared" si="238"/>
        <v>0</v>
      </c>
      <c r="S1916" s="87">
        <f t="shared" si="239"/>
        <v>625</v>
      </c>
    </row>
    <row r="1917" spans="2:19" ht="15" x14ac:dyDescent="0.25">
      <c r="B1917" s="83">
        <f t="shared" si="240"/>
        <v>87</v>
      </c>
      <c r="C1917" s="10"/>
      <c r="D1917" s="10"/>
      <c r="E1917" s="10">
        <v>2</v>
      </c>
      <c r="F1917" s="28"/>
      <c r="G1917" s="10"/>
      <c r="H1917" s="10" t="s">
        <v>408</v>
      </c>
      <c r="I1917" s="38">
        <f>I1918</f>
        <v>1000</v>
      </c>
      <c r="J1917" s="38"/>
      <c r="K1917" s="94">
        <f t="shared" si="242"/>
        <v>1000</v>
      </c>
      <c r="L1917" s="365"/>
      <c r="M1917" s="362">
        <v>0</v>
      </c>
      <c r="N1917" s="253"/>
      <c r="O1917" s="94">
        <f t="shared" si="243"/>
        <v>0</v>
      </c>
      <c r="P1917" s="365"/>
      <c r="Q1917" s="362">
        <f t="shared" si="241"/>
        <v>1000</v>
      </c>
      <c r="R1917" s="38">
        <f t="shared" si="238"/>
        <v>0</v>
      </c>
      <c r="S1917" s="94">
        <f t="shared" si="239"/>
        <v>1000</v>
      </c>
    </row>
    <row r="1918" spans="2:19" x14ac:dyDescent="0.2">
      <c r="B1918" s="83">
        <f t="shared" si="240"/>
        <v>88</v>
      </c>
      <c r="C1918" s="7"/>
      <c r="D1918" s="7"/>
      <c r="E1918" s="7"/>
      <c r="F1918" s="25" t="s">
        <v>85</v>
      </c>
      <c r="G1918" s="7">
        <v>630</v>
      </c>
      <c r="H1918" s="7" t="s">
        <v>132</v>
      </c>
      <c r="I1918" s="23">
        <f>I1919</f>
        <v>1000</v>
      </c>
      <c r="J1918" s="23"/>
      <c r="K1918" s="86">
        <f t="shared" si="242"/>
        <v>1000</v>
      </c>
      <c r="L1918" s="355"/>
      <c r="M1918" s="344"/>
      <c r="N1918" s="246"/>
      <c r="O1918" s="86">
        <f t="shared" si="243"/>
        <v>0</v>
      </c>
      <c r="P1918" s="355"/>
      <c r="Q1918" s="344">
        <f t="shared" si="241"/>
        <v>1000</v>
      </c>
      <c r="R1918" s="23">
        <f t="shared" si="238"/>
        <v>0</v>
      </c>
      <c r="S1918" s="86">
        <f t="shared" si="239"/>
        <v>1000</v>
      </c>
    </row>
    <row r="1919" spans="2:19" x14ac:dyDescent="0.2">
      <c r="B1919" s="83">
        <f t="shared" si="240"/>
        <v>89</v>
      </c>
      <c r="C1919" s="3"/>
      <c r="D1919" s="3"/>
      <c r="E1919" s="3"/>
      <c r="F1919" s="26" t="s">
        <v>85</v>
      </c>
      <c r="G1919" s="3">
        <v>632</v>
      </c>
      <c r="H1919" s="3" t="s">
        <v>145</v>
      </c>
      <c r="I1919" s="19">
        <f>2150-1150</f>
        <v>1000</v>
      </c>
      <c r="J1919" s="19"/>
      <c r="K1919" s="87">
        <f t="shared" si="242"/>
        <v>1000</v>
      </c>
      <c r="L1919" s="356"/>
      <c r="M1919" s="345"/>
      <c r="N1919" s="208"/>
      <c r="O1919" s="87">
        <f t="shared" si="243"/>
        <v>0</v>
      </c>
      <c r="P1919" s="356"/>
      <c r="Q1919" s="345">
        <f t="shared" si="241"/>
        <v>1000</v>
      </c>
      <c r="R1919" s="19">
        <f t="shared" si="238"/>
        <v>0</v>
      </c>
      <c r="S1919" s="87">
        <f t="shared" si="239"/>
        <v>1000</v>
      </c>
    </row>
    <row r="1920" spans="2:19" ht="15" x14ac:dyDescent="0.2">
      <c r="B1920" s="83">
        <f t="shared" si="240"/>
        <v>90</v>
      </c>
      <c r="C1920" s="239">
        <v>6</v>
      </c>
      <c r="D1920" s="444" t="s">
        <v>243</v>
      </c>
      <c r="E1920" s="445"/>
      <c r="F1920" s="445"/>
      <c r="G1920" s="445"/>
      <c r="H1920" s="446"/>
      <c r="I1920" s="36">
        <f>I1921+I1922+I1924+I1926</f>
        <v>1342754</v>
      </c>
      <c r="J1920" s="36">
        <f>J1921+J1922+J1924+J1926</f>
        <v>-1600</v>
      </c>
      <c r="K1920" s="84">
        <f t="shared" si="242"/>
        <v>1341154</v>
      </c>
      <c r="L1920" s="353"/>
      <c r="M1920" s="342">
        <f>M1926</f>
        <v>14500</v>
      </c>
      <c r="N1920" s="244"/>
      <c r="O1920" s="84">
        <f t="shared" si="243"/>
        <v>14500</v>
      </c>
      <c r="P1920" s="353"/>
      <c r="Q1920" s="342">
        <f t="shared" si="241"/>
        <v>1357254</v>
      </c>
      <c r="R1920" s="36">
        <f t="shared" si="238"/>
        <v>-1600</v>
      </c>
      <c r="S1920" s="84">
        <f t="shared" si="239"/>
        <v>1355654</v>
      </c>
    </row>
    <row r="1921" spans="2:19" x14ac:dyDescent="0.2">
      <c r="B1921" s="83">
        <f t="shared" si="240"/>
        <v>91</v>
      </c>
      <c r="C1921" s="7"/>
      <c r="D1921" s="7"/>
      <c r="E1921" s="7"/>
      <c r="F1921" s="25" t="s">
        <v>85</v>
      </c>
      <c r="G1921" s="7">
        <v>620</v>
      </c>
      <c r="H1921" s="7" t="s">
        <v>135</v>
      </c>
      <c r="I1921" s="23">
        <f>600+500</f>
        <v>1100</v>
      </c>
      <c r="J1921" s="23">
        <v>400</v>
      </c>
      <c r="K1921" s="86">
        <f t="shared" si="242"/>
        <v>1500</v>
      </c>
      <c r="L1921" s="355"/>
      <c r="M1921" s="344"/>
      <c r="N1921" s="246"/>
      <c r="O1921" s="86">
        <f t="shared" si="243"/>
        <v>0</v>
      </c>
      <c r="P1921" s="355"/>
      <c r="Q1921" s="344">
        <f t="shared" si="241"/>
        <v>1100</v>
      </c>
      <c r="R1921" s="23">
        <f t="shared" si="238"/>
        <v>400</v>
      </c>
      <c r="S1921" s="86">
        <f t="shared" si="239"/>
        <v>1500</v>
      </c>
    </row>
    <row r="1922" spans="2:19" x14ac:dyDescent="0.2">
      <c r="B1922" s="83">
        <f t="shared" si="240"/>
        <v>92</v>
      </c>
      <c r="C1922" s="7"/>
      <c r="D1922" s="7"/>
      <c r="E1922" s="7"/>
      <c r="F1922" s="25" t="s">
        <v>85</v>
      </c>
      <c r="G1922" s="7">
        <v>630</v>
      </c>
      <c r="H1922" s="7" t="s">
        <v>132</v>
      </c>
      <c r="I1922" s="23">
        <f>I1923</f>
        <v>3000</v>
      </c>
      <c r="J1922" s="23"/>
      <c r="K1922" s="86">
        <f t="shared" si="242"/>
        <v>3000</v>
      </c>
      <c r="L1922" s="355"/>
      <c r="M1922" s="344"/>
      <c r="N1922" s="246"/>
      <c r="O1922" s="86">
        <f t="shared" si="243"/>
        <v>0</v>
      </c>
      <c r="P1922" s="355"/>
      <c r="Q1922" s="344">
        <f t="shared" si="241"/>
        <v>3000</v>
      </c>
      <c r="R1922" s="23">
        <f t="shared" si="238"/>
        <v>0</v>
      </c>
      <c r="S1922" s="86">
        <f t="shared" si="239"/>
        <v>3000</v>
      </c>
    </row>
    <row r="1923" spans="2:19" x14ac:dyDescent="0.2">
      <c r="B1923" s="83">
        <f t="shared" si="240"/>
        <v>93</v>
      </c>
      <c r="C1923" s="3"/>
      <c r="D1923" s="3"/>
      <c r="E1923" s="3"/>
      <c r="F1923" s="26" t="s">
        <v>85</v>
      </c>
      <c r="G1923" s="3">
        <v>637</v>
      </c>
      <c r="H1923" s="3" t="s">
        <v>133</v>
      </c>
      <c r="I1923" s="19">
        <v>3000</v>
      </c>
      <c r="J1923" s="19"/>
      <c r="K1923" s="87">
        <f t="shared" si="242"/>
        <v>3000</v>
      </c>
      <c r="L1923" s="356"/>
      <c r="M1923" s="345"/>
      <c r="N1923" s="208"/>
      <c r="O1923" s="87">
        <f t="shared" si="243"/>
        <v>0</v>
      </c>
      <c r="P1923" s="356"/>
      <c r="Q1923" s="345">
        <f t="shared" si="241"/>
        <v>3000</v>
      </c>
      <c r="R1923" s="19">
        <f t="shared" si="238"/>
        <v>0</v>
      </c>
      <c r="S1923" s="87">
        <f t="shared" si="239"/>
        <v>3000</v>
      </c>
    </row>
    <row r="1924" spans="2:19" x14ac:dyDescent="0.2">
      <c r="B1924" s="83">
        <f t="shared" si="240"/>
        <v>94</v>
      </c>
      <c r="C1924" s="7"/>
      <c r="D1924" s="7"/>
      <c r="E1924" s="7"/>
      <c r="F1924" s="25" t="s">
        <v>85</v>
      </c>
      <c r="G1924" s="7">
        <v>640</v>
      </c>
      <c r="H1924" s="7" t="s">
        <v>140</v>
      </c>
      <c r="I1924" s="23">
        <f>I1925</f>
        <v>21000</v>
      </c>
      <c r="J1924" s="23"/>
      <c r="K1924" s="86">
        <f t="shared" si="242"/>
        <v>21000</v>
      </c>
      <c r="L1924" s="355"/>
      <c r="M1924" s="344"/>
      <c r="N1924" s="246"/>
      <c r="O1924" s="86">
        <f t="shared" si="243"/>
        <v>0</v>
      </c>
      <c r="P1924" s="355"/>
      <c r="Q1924" s="344">
        <f t="shared" si="241"/>
        <v>21000</v>
      </c>
      <c r="R1924" s="23">
        <f t="shared" si="238"/>
        <v>0</v>
      </c>
      <c r="S1924" s="86">
        <f t="shared" si="239"/>
        <v>21000</v>
      </c>
    </row>
    <row r="1925" spans="2:19" x14ac:dyDescent="0.2">
      <c r="B1925" s="83">
        <f t="shared" si="240"/>
        <v>95</v>
      </c>
      <c r="C1925" s="3"/>
      <c r="D1925" s="3"/>
      <c r="E1925" s="3"/>
      <c r="F1925" s="26" t="s">
        <v>85</v>
      </c>
      <c r="G1925" s="3">
        <v>642</v>
      </c>
      <c r="H1925" s="3" t="s">
        <v>141</v>
      </c>
      <c r="I1925" s="19">
        <f>16500+3500+1000</f>
        <v>21000</v>
      </c>
      <c r="J1925" s="19"/>
      <c r="K1925" s="87">
        <f t="shared" si="242"/>
        <v>21000</v>
      </c>
      <c r="L1925" s="356"/>
      <c r="M1925" s="345"/>
      <c r="N1925" s="208"/>
      <c r="O1925" s="87">
        <f t="shared" si="243"/>
        <v>0</v>
      </c>
      <c r="P1925" s="356"/>
      <c r="Q1925" s="345">
        <f t="shared" si="241"/>
        <v>21000</v>
      </c>
      <c r="R1925" s="19">
        <f t="shared" si="238"/>
        <v>0</v>
      </c>
      <c r="S1925" s="87">
        <f t="shared" si="239"/>
        <v>21000</v>
      </c>
    </row>
    <row r="1926" spans="2:19" ht="15" x14ac:dyDescent="0.25">
      <c r="B1926" s="83">
        <f t="shared" si="240"/>
        <v>96</v>
      </c>
      <c r="C1926" s="10"/>
      <c r="D1926" s="10"/>
      <c r="E1926" s="10">
        <v>5</v>
      </c>
      <c r="F1926" s="28"/>
      <c r="G1926" s="10"/>
      <c r="H1926" s="10" t="s">
        <v>115</v>
      </c>
      <c r="I1926" s="38">
        <f>I1927+I1928+I1929+I1936+I1937</f>
        <v>1317654</v>
      </c>
      <c r="J1926" s="38">
        <f>J1927+J1928+J1929+J1936+J1937</f>
        <v>-2000</v>
      </c>
      <c r="K1926" s="94">
        <f t="shared" si="242"/>
        <v>1315654</v>
      </c>
      <c r="L1926" s="365"/>
      <c r="M1926" s="362">
        <f>M1937</f>
        <v>14500</v>
      </c>
      <c r="N1926" s="253"/>
      <c r="O1926" s="94">
        <f t="shared" si="243"/>
        <v>14500</v>
      </c>
      <c r="P1926" s="365"/>
      <c r="Q1926" s="362">
        <f t="shared" si="241"/>
        <v>1332154</v>
      </c>
      <c r="R1926" s="38">
        <f t="shared" si="238"/>
        <v>-2000</v>
      </c>
      <c r="S1926" s="94">
        <f t="shared" si="239"/>
        <v>1330154</v>
      </c>
    </row>
    <row r="1927" spans="2:19" x14ac:dyDescent="0.2">
      <c r="B1927" s="83">
        <f t="shared" si="240"/>
        <v>97</v>
      </c>
      <c r="C1927" s="7"/>
      <c r="D1927" s="7"/>
      <c r="E1927" s="7"/>
      <c r="F1927" s="25" t="s">
        <v>84</v>
      </c>
      <c r="G1927" s="7">
        <v>610</v>
      </c>
      <c r="H1927" s="7" t="s">
        <v>142</v>
      </c>
      <c r="I1927" s="23">
        <v>621145</v>
      </c>
      <c r="J1927" s="23"/>
      <c r="K1927" s="86">
        <f t="shared" si="242"/>
        <v>621145</v>
      </c>
      <c r="L1927" s="355"/>
      <c r="M1927" s="344"/>
      <c r="N1927" s="246"/>
      <c r="O1927" s="86">
        <f t="shared" si="243"/>
        <v>0</v>
      </c>
      <c r="P1927" s="355"/>
      <c r="Q1927" s="344">
        <f t="shared" si="241"/>
        <v>621145</v>
      </c>
      <c r="R1927" s="23">
        <f t="shared" si="238"/>
        <v>0</v>
      </c>
      <c r="S1927" s="86">
        <f t="shared" si="239"/>
        <v>621145</v>
      </c>
    </row>
    <row r="1928" spans="2:19" x14ac:dyDescent="0.2">
      <c r="B1928" s="83">
        <f t="shared" si="240"/>
        <v>98</v>
      </c>
      <c r="C1928" s="7"/>
      <c r="D1928" s="7"/>
      <c r="E1928" s="7"/>
      <c r="F1928" s="25" t="s">
        <v>84</v>
      </c>
      <c r="G1928" s="7">
        <v>620</v>
      </c>
      <c r="H1928" s="7" t="s">
        <v>135</v>
      </c>
      <c r="I1928" s="23">
        <v>222288</v>
      </c>
      <c r="J1928" s="23"/>
      <c r="K1928" s="86">
        <f t="shared" si="242"/>
        <v>222288</v>
      </c>
      <c r="L1928" s="355"/>
      <c r="M1928" s="344"/>
      <c r="N1928" s="246"/>
      <c r="O1928" s="86">
        <f t="shared" si="243"/>
        <v>0</v>
      </c>
      <c r="P1928" s="355"/>
      <c r="Q1928" s="344">
        <f t="shared" si="241"/>
        <v>222288</v>
      </c>
      <c r="R1928" s="23">
        <f t="shared" si="238"/>
        <v>0</v>
      </c>
      <c r="S1928" s="86">
        <f t="shared" si="239"/>
        <v>222288</v>
      </c>
    </row>
    <row r="1929" spans="2:19" x14ac:dyDescent="0.2">
      <c r="B1929" s="83">
        <f t="shared" si="240"/>
        <v>99</v>
      </c>
      <c r="C1929" s="7"/>
      <c r="D1929" s="7"/>
      <c r="E1929" s="7"/>
      <c r="F1929" s="25" t="s">
        <v>84</v>
      </c>
      <c r="G1929" s="7">
        <v>630</v>
      </c>
      <c r="H1929" s="7" t="s">
        <v>132</v>
      </c>
      <c r="I1929" s="23">
        <f>I1935+I1934+I1933+I1932+I1931+I1930</f>
        <v>464538</v>
      </c>
      <c r="J1929" s="23">
        <f>J1935+J1934+J1933+J1932+J1931+J1930</f>
        <v>-3000</v>
      </c>
      <c r="K1929" s="86">
        <f t="shared" si="242"/>
        <v>461538</v>
      </c>
      <c r="L1929" s="355"/>
      <c r="M1929" s="344"/>
      <c r="N1929" s="246"/>
      <c r="O1929" s="86">
        <f t="shared" si="243"/>
        <v>0</v>
      </c>
      <c r="P1929" s="355"/>
      <c r="Q1929" s="344">
        <f t="shared" si="241"/>
        <v>464538</v>
      </c>
      <c r="R1929" s="23">
        <f t="shared" si="238"/>
        <v>-3000</v>
      </c>
      <c r="S1929" s="86">
        <f t="shared" si="239"/>
        <v>461538</v>
      </c>
    </row>
    <row r="1930" spans="2:19" x14ac:dyDescent="0.2">
      <c r="B1930" s="83">
        <f t="shared" si="240"/>
        <v>100</v>
      </c>
      <c r="C1930" s="3"/>
      <c r="D1930" s="3"/>
      <c r="E1930" s="3"/>
      <c r="F1930" s="26" t="s">
        <v>84</v>
      </c>
      <c r="G1930" s="3">
        <v>631</v>
      </c>
      <c r="H1930" s="3" t="s">
        <v>138</v>
      </c>
      <c r="I1930" s="19">
        <v>200</v>
      </c>
      <c r="J1930" s="19"/>
      <c r="K1930" s="87">
        <f t="shared" si="242"/>
        <v>200</v>
      </c>
      <c r="L1930" s="356"/>
      <c r="M1930" s="345"/>
      <c r="N1930" s="208"/>
      <c r="O1930" s="87">
        <f t="shared" si="243"/>
        <v>0</v>
      </c>
      <c r="P1930" s="356"/>
      <c r="Q1930" s="345">
        <f t="shared" si="241"/>
        <v>200</v>
      </c>
      <c r="R1930" s="19">
        <f t="shared" si="238"/>
        <v>0</v>
      </c>
      <c r="S1930" s="87">
        <f t="shared" si="239"/>
        <v>200</v>
      </c>
    </row>
    <row r="1931" spans="2:19" x14ac:dyDescent="0.2">
      <c r="B1931" s="83">
        <f t="shared" si="240"/>
        <v>101</v>
      </c>
      <c r="C1931" s="3"/>
      <c r="D1931" s="3"/>
      <c r="E1931" s="3"/>
      <c r="F1931" s="26" t="s">
        <v>84</v>
      </c>
      <c r="G1931" s="3">
        <v>632</v>
      </c>
      <c r="H1931" s="3" t="s">
        <v>145</v>
      </c>
      <c r="I1931" s="19">
        <v>93750</v>
      </c>
      <c r="J1931" s="19"/>
      <c r="K1931" s="87">
        <f t="shared" si="242"/>
        <v>93750</v>
      </c>
      <c r="L1931" s="356"/>
      <c r="M1931" s="345"/>
      <c r="N1931" s="208"/>
      <c r="O1931" s="87">
        <f t="shared" si="243"/>
        <v>0</v>
      </c>
      <c r="P1931" s="356"/>
      <c r="Q1931" s="345">
        <f t="shared" si="241"/>
        <v>93750</v>
      </c>
      <c r="R1931" s="19">
        <f t="shared" si="238"/>
        <v>0</v>
      </c>
      <c r="S1931" s="87">
        <f t="shared" si="239"/>
        <v>93750</v>
      </c>
    </row>
    <row r="1932" spans="2:19" x14ac:dyDescent="0.2">
      <c r="B1932" s="83">
        <f t="shared" si="240"/>
        <v>102</v>
      </c>
      <c r="C1932" s="3"/>
      <c r="D1932" s="3"/>
      <c r="E1932" s="3"/>
      <c r="F1932" s="26" t="s">
        <v>84</v>
      </c>
      <c r="G1932" s="3">
        <v>633</v>
      </c>
      <c r="H1932" s="3" t="s">
        <v>136</v>
      </c>
      <c r="I1932" s="19">
        <f>28450+1530</f>
        <v>29980</v>
      </c>
      <c r="J1932" s="19"/>
      <c r="K1932" s="87">
        <f t="shared" si="242"/>
        <v>29980</v>
      </c>
      <c r="L1932" s="356"/>
      <c r="M1932" s="345"/>
      <c r="N1932" s="208"/>
      <c r="O1932" s="87">
        <f t="shared" si="243"/>
        <v>0</v>
      </c>
      <c r="P1932" s="356"/>
      <c r="Q1932" s="345">
        <f t="shared" si="241"/>
        <v>29980</v>
      </c>
      <c r="R1932" s="19">
        <f t="shared" si="238"/>
        <v>0</v>
      </c>
      <c r="S1932" s="87">
        <f t="shared" si="239"/>
        <v>29980</v>
      </c>
    </row>
    <row r="1933" spans="2:19" x14ac:dyDescent="0.2">
      <c r="B1933" s="83">
        <f t="shared" si="240"/>
        <v>103</v>
      </c>
      <c r="C1933" s="3"/>
      <c r="D1933" s="3"/>
      <c r="E1933" s="3"/>
      <c r="F1933" s="26" t="s">
        <v>84</v>
      </c>
      <c r="G1933" s="3">
        <v>634</v>
      </c>
      <c r="H1933" s="3" t="s">
        <v>143</v>
      </c>
      <c r="I1933" s="19">
        <v>1900</v>
      </c>
      <c r="J1933" s="19"/>
      <c r="K1933" s="87">
        <f t="shared" si="242"/>
        <v>1900</v>
      </c>
      <c r="L1933" s="356"/>
      <c r="M1933" s="345"/>
      <c r="N1933" s="208"/>
      <c r="O1933" s="87">
        <f t="shared" si="243"/>
        <v>0</v>
      </c>
      <c r="P1933" s="356"/>
      <c r="Q1933" s="345">
        <f t="shared" si="241"/>
        <v>1900</v>
      </c>
      <c r="R1933" s="19">
        <f t="shared" si="238"/>
        <v>0</v>
      </c>
      <c r="S1933" s="87">
        <f t="shared" si="239"/>
        <v>1900</v>
      </c>
    </row>
    <row r="1934" spans="2:19" x14ac:dyDescent="0.2">
      <c r="B1934" s="83">
        <f t="shared" si="240"/>
        <v>104</v>
      </c>
      <c r="C1934" s="3"/>
      <c r="D1934" s="3"/>
      <c r="E1934" s="3"/>
      <c r="F1934" s="26" t="s">
        <v>84</v>
      </c>
      <c r="G1934" s="3">
        <v>635</v>
      </c>
      <c r="H1934" s="3" t="s">
        <v>144</v>
      </c>
      <c r="I1934" s="19">
        <f>72750-17960</f>
        <v>54790</v>
      </c>
      <c r="J1934" s="19">
        <v>37000</v>
      </c>
      <c r="K1934" s="87">
        <f t="shared" si="242"/>
        <v>91790</v>
      </c>
      <c r="L1934" s="356"/>
      <c r="M1934" s="345"/>
      <c r="N1934" s="208"/>
      <c r="O1934" s="87">
        <f t="shared" si="243"/>
        <v>0</v>
      </c>
      <c r="P1934" s="356"/>
      <c r="Q1934" s="345">
        <f t="shared" si="241"/>
        <v>54790</v>
      </c>
      <c r="R1934" s="19">
        <f t="shared" si="238"/>
        <v>37000</v>
      </c>
      <c r="S1934" s="87">
        <f t="shared" si="239"/>
        <v>91790</v>
      </c>
    </row>
    <row r="1935" spans="2:19" x14ac:dyDescent="0.2">
      <c r="B1935" s="83">
        <f t="shared" si="240"/>
        <v>105</v>
      </c>
      <c r="C1935" s="3"/>
      <c r="D1935" s="3"/>
      <c r="E1935" s="3"/>
      <c r="F1935" s="26" t="s">
        <v>84</v>
      </c>
      <c r="G1935" s="3">
        <v>637</v>
      </c>
      <c r="H1935" s="3" t="s">
        <v>133</v>
      </c>
      <c r="I1935" s="19">
        <f>273918+10000</f>
        <v>283918</v>
      </c>
      <c r="J1935" s="19">
        <v>-40000</v>
      </c>
      <c r="K1935" s="87">
        <f t="shared" si="242"/>
        <v>243918</v>
      </c>
      <c r="L1935" s="356"/>
      <c r="M1935" s="345"/>
      <c r="N1935" s="208"/>
      <c r="O1935" s="87">
        <f t="shared" si="243"/>
        <v>0</v>
      </c>
      <c r="P1935" s="356"/>
      <c r="Q1935" s="345">
        <f t="shared" si="241"/>
        <v>283918</v>
      </c>
      <c r="R1935" s="19">
        <f t="shared" si="238"/>
        <v>-40000</v>
      </c>
      <c r="S1935" s="87">
        <f t="shared" si="239"/>
        <v>243918</v>
      </c>
    </row>
    <row r="1936" spans="2:19" x14ac:dyDescent="0.2">
      <c r="B1936" s="83">
        <f t="shared" si="240"/>
        <v>106</v>
      </c>
      <c r="C1936" s="7"/>
      <c r="D1936" s="7"/>
      <c r="E1936" s="7"/>
      <c r="F1936" s="25" t="s">
        <v>84</v>
      </c>
      <c r="G1936" s="7">
        <v>640</v>
      </c>
      <c r="H1936" s="7" t="s">
        <v>140</v>
      </c>
      <c r="I1936" s="23">
        <f>1036+8347+300</f>
        <v>9683</v>
      </c>
      <c r="J1936" s="23">
        <v>1000</v>
      </c>
      <c r="K1936" s="86">
        <f t="shared" si="242"/>
        <v>10683</v>
      </c>
      <c r="L1936" s="355"/>
      <c r="M1936" s="344"/>
      <c r="N1936" s="246"/>
      <c r="O1936" s="86">
        <f t="shared" si="243"/>
        <v>0</v>
      </c>
      <c r="P1936" s="355"/>
      <c r="Q1936" s="344">
        <f t="shared" si="241"/>
        <v>9683</v>
      </c>
      <c r="R1936" s="23">
        <f t="shared" si="238"/>
        <v>1000</v>
      </c>
      <c r="S1936" s="86">
        <f t="shared" si="239"/>
        <v>10683</v>
      </c>
    </row>
    <row r="1937" spans="2:19" x14ac:dyDescent="0.2">
      <c r="B1937" s="83">
        <f t="shared" si="240"/>
        <v>107</v>
      </c>
      <c r="C1937" s="7"/>
      <c r="D1937" s="7"/>
      <c r="E1937" s="7"/>
      <c r="F1937" s="25" t="s">
        <v>84</v>
      </c>
      <c r="G1937" s="7">
        <v>710</v>
      </c>
      <c r="H1937" s="7" t="s">
        <v>187</v>
      </c>
      <c r="I1937" s="23"/>
      <c r="J1937" s="23"/>
      <c r="K1937" s="86">
        <f t="shared" si="242"/>
        <v>0</v>
      </c>
      <c r="L1937" s="355"/>
      <c r="M1937" s="344">
        <f>M1940+M1938</f>
        <v>14500</v>
      </c>
      <c r="N1937" s="246"/>
      <c r="O1937" s="86">
        <f t="shared" si="243"/>
        <v>14500</v>
      </c>
      <c r="P1937" s="355"/>
      <c r="Q1937" s="344">
        <f t="shared" si="241"/>
        <v>14500</v>
      </c>
      <c r="R1937" s="23">
        <f t="shared" si="238"/>
        <v>0</v>
      </c>
      <c r="S1937" s="86">
        <f t="shared" si="239"/>
        <v>14500</v>
      </c>
    </row>
    <row r="1938" spans="2:19" x14ac:dyDescent="0.2">
      <c r="B1938" s="83">
        <f t="shared" si="240"/>
        <v>108</v>
      </c>
      <c r="C1938" s="7"/>
      <c r="D1938" s="7"/>
      <c r="E1938" s="7"/>
      <c r="F1938" s="25"/>
      <c r="G1938" s="51">
        <v>713</v>
      </c>
      <c r="H1938" s="3" t="s">
        <v>234</v>
      </c>
      <c r="I1938" s="20"/>
      <c r="J1938" s="20"/>
      <c r="K1938" s="123">
        <f t="shared" si="242"/>
        <v>0</v>
      </c>
      <c r="L1938" s="356"/>
      <c r="M1938" s="345">
        <f>M1939</f>
        <v>6000</v>
      </c>
      <c r="N1938" s="208"/>
      <c r="O1938" s="87">
        <f t="shared" si="243"/>
        <v>6000</v>
      </c>
      <c r="P1938" s="356"/>
      <c r="Q1938" s="345">
        <f t="shared" si="241"/>
        <v>6000</v>
      </c>
      <c r="R1938" s="19">
        <f t="shared" si="238"/>
        <v>0</v>
      </c>
      <c r="S1938" s="87">
        <f t="shared" si="239"/>
        <v>6000</v>
      </c>
    </row>
    <row r="1939" spans="2:19" x14ac:dyDescent="0.2">
      <c r="B1939" s="83">
        <f t="shared" si="240"/>
        <v>109</v>
      </c>
      <c r="C1939" s="7"/>
      <c r="D1939" s="7"/>
      <c r="E1939" s="7"/>
      <c r="F1939" s="25"/>
      <c r="G1939" s="51"/>
      <c r="H1939" s="13" t="s">
        <v>592</v>
      </c>
      <c r="I1939" s="20"/>
      <c r="J1939" s="20"/>
      <c r="K1939" s="123">
        <f t="shared" si="242"/>
        <v>0</v>
      </c>
      <c r="L1939" s="356"/>
      <c r="M1939" s="346">
        <f>5500+500</f>
        <v>6000</v>
      </c>
      <c r="N1939" s="247"/>
      <c r="O1939" s="88">
        <f t="shared" si="243"/>
        <v>6000</v>
      </c>
      <c r="P1939" s="357"/>
      <c r="Q1939" s="346">
        <f t="shared" si="241"/>
        <v>6000</v>
      </c>
      <c r="R1939" s="21">
        <f t="shared" ref="R1939:R1983" si="244">J1939+N1939</f>
        <v>0</v>
      </c>
      <c r="S1939" s="88">
        <f t="shared" ref="S1939:S1983" si="245">K1939+O1939</f>
        <v>6000</v>
      </c>
    </row>
    <row r="1940" spans="2:19" x14ac:dyDescent="0.2">
      <c r="B1940" s="83">
        <f t="shared" si="240"/>
        <v>110</v>
      </c>
      <c r="C1940" s="7"/>
      <c r="D1940" s="7"/>
      <c r="E1940" s="7"/>
      <c r="F1940" s="26" t="s">
        <v>84</v>
      </c>
      <c r="G1940" s="3">
        <v>716</v>
      </c>
      <c r="H1940" s="3" t="s">
        <v>231</v>
      </c>
      <c r="I1940" s="19"/>
      <c r="J1940" s="19"/>
      <c r="K1940" s="87">
        <f t="shared" si="242"/>
        <v>0</v>
      </c>
      <c r="L1940" s="356"/>
      <c r="M1940" s="345">
        <f>M1941</f>
        <v>8500</v>
      </c>
      <c r="N1940" s="208"/>
      <c r="O1940" s="87">
        <f t="shared" si="243"/>
        <v>8500</v>
      </c>
      <c r="P1940" s="356"/>
      <c r="Q1940" s="345">
        <f t="shared" si="241"/>
        <v>8500</v>
      </c>
      <c r="R1940" s="19">
        <f t="shared" si="244"/>
        <v>0</v>
      </c>
      <c r="S1940" s="87">
        <f t="shared" si="245"/>
        <v>8500</v>
      </c>
    </row>
    <row r="1941" spans="2:19" x14ac:dyDescent="0.2">
      <c r="B1941" s="83">
        <f t="shared" si="240"/>
        <v>111</v>
      </c>
      <c r="C1941" s="7"/>
      <c r="D1941" s="7"/>
      <c r="E1941" s="7"/>
      <c r="F1941" s="31"/>
      <c r="G1941" s="4"/>
      <c r="H1941" s="13" t="s">
        <v>505</v>
      </c>
      <c r="I1941" s="21"/>
      <c r="J1941" s="21"/>
      <c r="K1941" s="88">
        <f t="shared" si="242"/>
        <v>0</v>
      </c>
      <c r="L1941" s="357"/>
      <c r="M1941" s="346">
        <f>7000+1500</f>
        <v>8500</v>
      </c>
      <c r="N1941" s="247"/>
      <c r="O1941" s="88">
        <f t="shared" si="243"/>
        <v>8500</v>
      </c>
      <c r="P1941" s="357"/>
      <c r="Q1941" s="346">
        <f t="shared" si="241"/>
        <v>8500</v>
      </c>
      <c r="R1941" s="21">
        <f t="shared" si="244"/>
        <v>0</v>
      </c>
      <c r="S1941" s="88">
        <f t="shared" si="245"/>
        <v>8500</v>
      </c>
    </row>
    <row r="1942" spans="2:19" ht="15" x14ac:dyDescent="0.2">
      <c r="B1942" s="83">
        <f t="shared" si="240"/>
        <v>112</v>
      </c>
      <c r="C1942" s="239">
        <v>7</v>
      </c>
      <c r="D1942" s="444" t="s">
        <v>57</v>
      </c>
      <c r="E1942" s="445"/>
      <c r="F1942" s="445"/>
      <c r="G1942" s="445"/>
      <c r="H1942" s="446"/>
      <c r="I1942" s="36">
        <f>I1943</f>
        <v>715806</v>
      </c>
      <c r="J1942" s="36">
        <f>J1943</f>
        <v>900</v>
      </c>
      <c r="K1942" s="84">
        <f t="shared" si="242"/>
        <v>716706</v>
      </c>
      <c r="L1942" s="353"/>
      <c r="M1942" s="342">
        <f>M1943</f>
        <v>16520</v>
      </c>
      <c r="N1942" s="244"/>
      <c r="O1942" s="84">
        <f t="shared" si="243"/>
        <v>16520</v>
      </c>
      <c r="P1942" s="353"/>
      <c r="Q1942" s="342">
        <f t="shared" si="241"/>
        <v>732326</v>
      </c>
      <c r="R1942" s="36">
        <f t="shared" si="244"/>
        <v>900</v>
      </c>
      <c r="S1942" s="84">
        <f t="shared" si="245"/>
        <v>733226</v>
      </c>
    </row>
    <row r="1943" spans="2:19" ht="15" x14ac:dyDescent="0.25">
      <c r="B1943" s="83">
        <f t="shared" si="240"/>
        <v>113</v>
      </c>
      <c r="C1943" s="10"/>
      <c r="D1943" s="10"/>
      <c r="E1943" s="10">
        <v>5</v>
      </c>
      <c r="F1943" s="28"/>
      <c r="G1943" s="10"/>
      <c r="H1943" s="10" t="s">
        <v>115</v>
      </c>
      <c r="I1943" s="38">
        <f>I1944+I1945+I1946+I1951</f>
        <v>715806</v>
      </c>
      <c r="J1943" s="38">
        <f>J1944+J1945+J1946+J1951</f>
        <v>900</v>
      </c>
      <c r="K1943" s="94">
        <f t="shared" si="242"/>
        <v>716706</v>
      </c>
      <c r="L1943" s="365"/>
      <c r="M1943" s="362">
        <f>M1952</f>
        <v>16520</v>
      </c>
      <c r="N1943" s="253"/>
      <c r="O1943" s="94">
        <f t="shared" si="243"/>
        <v>16520</v>
      </c>
      <c r="P1943" s="365"/>
      <c r="Q1943" s="362">
        <f t="shared" si="241"/>
        <v>732326</v>
      </c>
      <c r="R1943" s="38">
        <f t="shared" si="244"/>
        <v>900</v>
      </c>
      <c r="S1943" s="94">
        <f t="shared" si="245"/>
        <v>733226</v>
      </c>
    </row>
    <row r="1944" spans="2:19" x14ac:dyDescent="0.2">
      <c r="B1944" s="83">
        <f t="shared" si="240"/>
        <v>114</v>
      </c>
      <c r="C1944" s="7"/>
      <c r="D1944" s="7"/>
      <c r="E1944" s="7"/>
      <c r="F1944" s="25" t="s">
        <v>84</v>
      </c>
      <c r="G1944" s="7">
        <v>610</v>
      </c>
      <c r="H1944" s="7" t="s">
        <v>142</v>
      </c>
      <c r="I1944" s="23">
        <v>486013</v>
      </c>
      <c r="J1944" s="23"/>
      <c r="K1944" s="86">
        <f t="shared" si="242"/>
        <v>486013</v>
      </c>
      <c r="L1944" s="355"/>
      <c r="M1944" s="344"/>
      <c r="N1944" s="246"/>
      <c r="O1944" s="86">
        <f t="shared" si="243"/>
        <v>0</v>
      </c>
      <c r="P1944" s="355"/>
      <c r="Q1944" s="344">
        <f t="shared" si="241"/>
        <v>486013</v>
      </c>
      <c r="R1944" s="23">
        <f t="shared" si="244"/>
        <v>0</v>
      </c>
      <c r="S1944" s="86">
        <f t="shared" si="245"/>
        <v>486013</v>
      </c>
    </row>
    <row r="1945" spans="2:19" x14ac:dyDescent="0.2">
      <c r="B1945" s="83">
        <f t="shared" si="240"/>
        <v>115</v>
      </c>
      <c r="C1945" s="7"/>
      <c r="D1945" s="7"/>
      <c r="E1945" s="7"/>
      <c r="F1945" s="25" t="s">
        <v>84</v>
      </c>
      <c r="G1945" s="7">
        <v>620</v>
      </c>
      <c r="H1945" s="7" t="s">
        <v>135</v>
      </c>
      <c r="I1945" s="23">
        <v>170372</v>
      </c>
      <c r="J1945" s="23"/>
      <c r="K1945" s="86">
        <f t="shared" si="242"/>
        <v>170372</v>
      </c>
      <c r="L1945" s="355"/>
      <c r="M1945" s="344"/>
      <c r="N1945" s="246"/>
      <c r="O1945" s="86">
        <f t="shared" si="243"/>
        <v>0</v>
      </c>
      <c r="P1945" s="355"/>
      <c r="Q1945" s="344">
        <f t="shared" si="241"/>
        <v>170372</v>
      </c>
      <c r="R1945" s="23">
        <f t="shared" si="244"/>
        <v>0</v>
      </c>
      <c r="S1945" s="86">
        <f t="shared" si="245"/>
        <v>170372</v>
      </c>
    </row>
    <row r="1946" spans="2:19" x14ac:dyDescent="0.2">
      <c r="B1946" s="83">
        <f t="shared" si="240"/>
        <v>116</v>
      </c>
      <c r="C1946" s="7"/>
      <c r="D1946" s="7"/>
      <c r="E1946" s="7"/>
      <c r="F1946" s="25" t="s">
        <v>84</v>
      </c>
      <c r="G1946" s="7">
        <v>630</v>
      </c>
      <c r="H1946" s="7" t="s">
        <v>132</v>
      </c>
      <c r="I1946" s="23">
        <f>SUM(I1947:I1950)</f>
        <v>57401</v>
      </c>
      <c r="J1946" s="23"/>
      <c r="K1946" s="86">
        <f t="shared" si="242"/>
        <v>57401</v>
      </c>
      <c r="L1946" s="355"/>
      <c r="M1946" s="344"/>
      <c r="N1946" s="246"/>
      <c r="O1946" s="86">
        <f t="shared" si="243"/>
        <v>0</v>
      </c>
      <c r="P1946" s="355"/>
      <c r="Q1946" s="344">
        <f t="shared" si="241"/>
        <v>57401</v>
      </c>
      <c r="R1946" s="23">
        <f t="shared" si="244"/>
        <v>0</v>
      </c>
      <c r="S1946" s="86">
        <f t="shared" si="245"/>
        <v>57401</v>
      </c>
    </row>
    <row r="1947" spans="2:19" x14ac:dyDescent="0.2">
      <c r="B1947" s="83">
        <f t="shared" si="240"/>
        <v>117</v>
      </c>
      <c r="C1947" s="3"/>
      <c r="D1947" s="3"/>
      <c r="E1947" s="3"/>
      <c r="F1947" s="26" t="s">
        <v>84</v>
      </c>
      <c r="G1947" s="3">
        <v>632</v>
      </c>
      <c r="H1947" s="3" t="s">
        <v>145</v>
      </c>
      <c r="I1947" s="19">
        <v>720</v>
      </c>
      <c r="J1947" s="19"/>
      <c r="K1947" s="87">
        <f t="shared" si="242"/>
        <v>720</v>
      </c>
      <c r="L1947" s="356"/>
      <c r="M1947" s="345"/>
      <c r="N1947" s="208"/>
      <c r="O1947" s="87">
        <f t="shared" si="243"/>
        <v>0</v>
      </c>
      <c r="P1947" s="356"/>
      <c r="Q1947" s="345">
        <f t="shared" si="241"/>
        <v>720</v>
      </c>
      <c r="R1947" s="19">
        <f t="shared" si="244"/>
        <v>0</v>
      </c>
      <c r="S1947" s="87">
        <f t="shared" si="245"/>
        <v>720</v>
      </c>
    </row>
    <row r="1948" spans="2:19" x14ac:dyDescent="0.2">
      <c r="B1948" s="83">
        <f t="shared" si="240"/>
        <v>118</v>
      </c>
      <c r="C1948" s="3"/>
      <c r="D1948" s="3"/>
      <c r="E1948" s="3"/>
      <c r="F1948" s="26" t="s">
        <v>84</v>
      </c>
      <c r="G1948" s="3">
        <v>633</v>
      </c>
      <c r="H1948" s="3" t="s">
        <v>136</v>
      </c>
      <c r="I1948" s="19">
        <v>2700</v>
      </c>
      <c r="J1948" s="19"/>
      <c r="K1948" s="87">
        <f t="shared" si="242"/>
        <v>2700</v>
      </c>
      <c r="L1948" s="356"/>
      <c r="M1948" s="345"/>
      <c r="N1948" s="208"/>
      <c r="O1948" s="87">
        <f t="shared" si="243"/>
        <v>0</v>
      </c>
      <c r="P1948" s="356"/>
      <c r="Q1948" s="345">
        <f t="shared" si="241"/>
        <v>2700</v>
      </c>
      <c r="R1948" s="19">
        <f t="shared" si="244"/>
        <v>0</v>
      </c>
      <c r="S1948" s="87">
        <f t="shared" si="245"/>
        <v>2700</v>
      </c>
    </row>
    <row r="1949" spans="2:19" x14ac:dyDescent="0.2">
      <c r="B1949" s="83">
        <f t="shared" si="240"/>
        <v>119</v>
      </c>
      <c r="C1949" s="3"/>
      <c r="D1949" s="3"/>
      <c r="E1949" s="3"/>
      <c r="F1949" s="26" t="s">
        <v>84</v>
      </c>
      <c r="G1949" s="3">
        <v>634</v>
      </c>
      <c r="H1949" s="3" t="s">
        <v>143</v>
      </c>
      <c r="I1949" s="19">
        <f>4901+1100</f>
        <v>6001</v>
      </c>
      <c r="J1949" s="19"/>
      <c r="K1949" s="87">
        <f t="shared" si="242"/>
        <v>6001</v>
      </c>
      <c r="L1949" s="356"/>
      <c r="M1949" s="345"/>
      <c r="N1949" s="208"/>
      <c r="O1949" s="87">
        <f t="shared" si="243"/>
        <v>0</v>
      </c>
      <c r="P1949" s="356"/>
      <c r="Q1949" s="345">
        <f t="shared" si="241"/>
        <v>6001</v>
      </c>
      <c r="R1949" s="19">
        <f t="shared" si="244"/>
        <v>0</v>
      </c>
      <c r="S1949" s="87">
        <f t="shared" si="245"/>
        <v>6001</v>
      </c>
    </row>
    <row r="1950" spans="2:19" x14ac:dyDescent="0.2">
      <c r="B1950" s="83">
        <f t="shared" si="240"/>
        <v>120</v>
      </c>
      <c r="C1950" s="3"/>
      <c r="D1950" s="3"/>
      <c r="E1950" s="3"/>
      <c r="F1950" s="26" t="s">
        <v>84</v>
      </c>
      <c r="G1950" s="3">
        <v>637</v>
      </c>
      <c r="H1950" s="3" t="s">
        <v>133</v>
      </c>
      <c r="I1950" s="19">
        <f>49080-1100</f>
        <v>47980</v>
      </c>
      <c r="J1950" s="19"/>
      <c r="K1950" s="87">
        <f t="shared" si="242"/>
        <v>47980</v>
      </c>
      <c r="L1950" s="356"/>
      <c r="M1950" s="345"/>
      <c r="N1950" s="208"/>
      <c r="O1950" s="87">
        <f t="shared" si="243"/>
        <v>0</v>
      </c>
      <c r="P1950" s="356"/>
      <c r="Q1950" s="345">
        <f t="shared" si="241"/>
        <v>47980</v>
      </c>
      <c r="R1950" s="19">
        <f t="shared" si="244"/>
        <v>0</v>
      </c>
      <c r="S1950" s="87">
        <f t="shared" si="245"/>
        <v>47980</v>
      </c>
    </row>
    <row r="1951" spans="2:19" x14ac:dyDescent="0.2">
      <c r="B1951" s="83">
        <f t="shared" si="240"/>
        <v>121</v>
      </c>
      <c r="C1951" s="7"/>
      <c r="D1951" s="7"/>
      <c r="E1951" s="7"/>
      <c r="F1951" s="25" t="s">
        <v>84</v>
      </c>
      <c r="G1951" s="7">
        <v>640</v>
      </c>
      <c r="H1951" s="7" t="s">
        <v>140</v>
      </c>
      <c r="I1951" s="23">
        <f>1170+350+500</f>
        <v>2020</v>
      </c>
      <c r="J1951" s="23">
        <v>900</v>
      </c>
      <c r="K1951" s="86">
        <f t="shared" si="242"/>
        <v>2920</v>
      </c>
      <c r="L1951" s="355"/>
      <c r="M1951" s="344"/>
      <c r="N1951" s="246"/>
      <c r="O1951" s="86">
        <f t="shared" si="243"/>
        <v>0</v>
      </c>
      <c r="P1951" s="355"/>
      <c r="Q1951" s="344">
        <f t="shared" si="241"/>
        <v>2020</v>
      </c>
      <c r="R1951" s="23">
        <f t="shared" si="244"/>
        <v>900</v>
      </c>
      <c r="S1951" s="86">
        <f t="shared" si="245"/>
        <v>2920</v>
      </c>
    </row>
    <row r="1952" spans="2:19" x14ac:dyDescent="0.2">
      <c r="B1952" s="83">
        <f t="shared" si="240"/>
        <v>122</v>
      </c>
      <c r="C1952" s="7"/>
      <c r="D1952" s="7"/>
      <c r="E1952" s="7"/>
      <c r="F1952" s="25" t="s">
        <v>84</v>
      </c>
      <c r="G1952" s="7">
        <v>710</v>
      </c>
      <c r="H1952" s="7" t="s">
        <v>187</v>
      </c>
      <c r="I1952" s="23"/>
      <c r="J1952" s="23"/>
      <c r="K1952" s="86">
        <f t="shared" si="242"/>
        <v>0</v>
      </c>
      <c r="L1952" s="355"/>
      <c r="M1952" s="344">
        <f>M1953</f>
        <v>16520</v>
      </c>
      <c r="N1952" s="23"/>
      <c r="O1952" s="86">
        <f t="shared" si="243"/>
        <v>16520</v>
      </c>
      <c r="P1952" s="355"/>
      <c r="Q1952" s="344">
        <f t="shared" si="241"/>
        <v>16520</v>
      </c>
      <c r="R1952" s="23">
        <f t="shared" si="244"/>
        <v>0</v>
      </c>
      <c r="S1952" s="86">
        <f t="shared" si="245"/>
        <v>16520</v>
      </c>
    </row>
    <row r="1953" spans="2:19" x14ac:dyDescent="0.2">
      <c r="B1953" s="83">
        <f t="shared" si="240"/>
        <v>123</v>
      </c>
      <c r="C1953" s="7"/>
      <c r="D1953" s="7"/>
      <c r="E1953" s="7"/>
      <c r="F1953" s="26" t="s">
        <v>84</v>
      </c>
      <c r="G1953" s="3">
        <v>714</v>
      </c>
      <c r="H1953" s="3" t="s">
        <v>188</v>
      </c>
      <c r="I1953" s="23"/>
      <c r="J1953" s="23"/>
      <c r="K1953" s="86">
        <f t="shared" si="242"/>
        <v>0</v>
      </c>
      <c r="L1953" s="355"/>
      <c r="M1953" s="345">
        <f>M1954</f>
        <v>16520</v>
      </c>
      <c r="N1953" s="19"/>
      <c r="O1953" s="87">
        <f t="shared" si="243"/>
        <v>16520</v>
      </c>
      <c r="P1953" s="356"/>
      <c r="Q1953" s="345">
        <f t="shared" si="241"/>
        <v>16520</v>
      </c>
      <c r="R1953" s="19">
        <f t="shared" si="244"/>
        <v>0</v>
      </c>
      <c r="S1953" s="87">
        <f t="shared" si="245"/>
        <v>16520</v>
      </c>
    </row>
    <row r="1954" spans="2:19" x14ac:dyDescent="0.2">
      <c r="B1954" s="83">
        <f t="shared" si="240"/>
        <v>124</v>
      </c>
      <c r="C1954" s="7"/>
      <c r="D1954" s="227"/>
      <c r="E1954" s="227"/>
      <c r="F1954" s="215"/>
      <c r="G1954" s="144"/>
      <c r="H1954" s="144" t="s">
        <v>593</v>
      </c>
      <c r="I1954" s="23"/>
      <c r="J1954" s="23"/>
      <c r="K1954" s="86">
        <f t="shared" si="242"/>
        <v>0</v>
      </c>
      <c r="L1954" s="355"/>
      <c r="M1954" s="346">
        <v>16520</v>
      </c>
      <c r="N1954" s="21"/>
      <c r="O1954" s="88">
        <f t="shared" si="243"/>
        <v>16520</v>
      </c>
      <c r="P1954" s="357"/>
      <c r="Q1954" s="346">
        <f t="shared" si="241"/>
        <v>16520</v>
      </c>
      <c r="R1954" s="21">
        <f t="shared" si="244"/>
        <v>0</v>
      </c>
      <c r="S1954" s="88">
        <f t="shared" si="245"/>
        <v>16520</v>
      </c>
    </row>
    <row r="1955" spans="2:19" ht="15" x14ac:dyDescent="0.2">
      <c r="B1955" s="83">
        <f t="shared" si="240"/>
        <v>125</v>
      </c>
      <c r="C1955" s="239">
        <v>8</v>
      </c>
      <c r="D1955" s="444" t="s">
        <v>209</v>
      </c>
      <c r="E1955" s="445"/>
      <c r="F1955" s="445"/>
      <c r="G1955" s="445"/>
      <c r="H1955" s="446"/>
      <c r="I1955" s="36">
        <f>I1956</f>
        <v>3500</v>
      </c>
      <c r="J1955" s="36">
        <f>J1956</f>
        <v>600</v>
      </c>
      <c r="K1955" s="84">
        <f t="shared" si="242"/>
        <v>4100</v>
      </c>
      <c r="L1955" s="353"/>
      <c r="M1955" s="342">
        <v>0</v>
      </c>
      <c r="N1955" s="244"/>
      <c r="O1955" s="84">
        <f t="shared" si="243"/>
        <v>0</v>
      </c>
      <c r="P1955" s="353"/>
      <c r="Q1955" s="342">
        <f t="shared" si="241"/>
        <v>3500</v>
      </c>
      <c r="R1955" s="36">
        <f t="shared" si="244"/>
        <v>600</v>
      </c>
      <c r="S1955" s="84">
        <f t="shared" si="245"/>
        <v>4100</v>
      </c>
    </row>
    <row r="1956" spans="2:19" x14ac:dyDescent="0.2">
      <c r="B1956" s="83">
        <f t="shared" si="240"/>
        <v>126</v>
      </c>
      <c r="C1956" s="7"/>
      <c r="D1956" s="7"/>
      <c r="E1956" s="7"/>
      <c r="F1956" s="25" t="s">
        <v>155</v>
      </c>
      <c r="G1956" s="7">
        <v>630</v>
      </c>
      <c r="H1956" s="7" t="s">
        <v>132</v>
      </c>
      <c r="I1956" s="23">
        <f>I1957</f>
        <v>3500</v>
      </c>
      <c r="J1956" s="23">
        <f>J1957</f>
        <v>600</v>
      </c>
      <c r="K1956" s="86">
        <f t="shared" si="242"/>
        <v>4100</v>
      </c>
      <c r="L1956" s="355"/>
      <c r="M1956" s="344"/>
      <c r="N1956" s="246"/>
      <c r="O1956" s="86">
        <f t="shared" si="243"/>
        <v>0</v>
      </c>
      <c r="P1956" s="355"/>
      <c r="Q1956" s="344">
        <f t="shared" si="241"/>
        <v>3500</v>
      </c>
      <c r="R1956" s="23">
        <f t="shared" si="244"/>
        <v>600</v>
      </c>
      <c r="S1956" s="86">
        <f t="shared" si="245"/>
        <v>4100</v>
      </c>
    </row>
    <row r="1957" spans="2:19" x14ac:dyDescent="0.2">
      <c r="B1957" s="83">
        <f t="shared" si="240"/>
        <v>127</v>
      </c>
      <c r="C1957" s="3"/>
      <c r="D1957" s="3"/>
      <c r="E1957" s="3"/>
      <c r="F1957" s="26" t="s">
        <v>155</v>
      </c>
      <c r="G1957" s="3">
        <v>637</v>
      </c>
      <c r="H1957" s="3" t="s">
        <v>133</v>
      </c>
      <c r="I1957" s="19">
        <f>4000-500-1000+1000</f>
        <v>3500</v>
      </c>
      <c r="J1957" s="19">
        <v>600</v>
      </c>
      <c r="K1957" s="87">
        <f t="shared" si="242"/>
        <v>4100</v>
      </c>
      <c r="L1957" s="356"/>
      <c r="M1957" s="345"/>
      <c r="N1957" s="208"/>
      <c r="O1957" s="87">
        <f t="shared" si="243"/>
        <v>0</v>
      </c>
      <c r="P1957" s="356"/>
      <c r="Q1957" s="345">
        <f t="shared" si="241"/>
        <v>3500</v>
      </c>
      <c r="R1957" s="19">
        <f t="shared" si="244"/>
        <v>600</v>
      </c>
      <c r="S1957" s="87">
        <f t="shared" si="245"/>
        <v>4100</v>
      </c>
    </row>
    <row r="1958" spans="2:19" ht="15" x14ac:dyDescent="0.2">
      <c r="B1958" s="83">
        <f t="shared" si="240"/>
        <v>128</v>
      </c>
      <c r="C1958" s="239">
        <v>9</v>
      </c>
      <c r="D1958" s="444" t="s">
        <v>185</v>
      </c>
      <c r="E1958" s="445"/>
      <c r="F1958" s="445"/>
      <c r="G1958" s="445"/>
      <c r="H1958" s="446"/>
      <c r="I1958" s="36">
        <f>I1959+I1961</f>
        <v>18461</v>
      </c>
      <c r="J1958" s="36">
        <f>J1959+J1961</f>
        <v>-1000</v>
      </c>
      <c r="K1958" s="84">
        <f t="shared" si="242"/>
        <v>17461</v>
      </c>
      <c r="L1958" s="353"/>
      <c r="M1958" s="342">
        <v>0</v>
      </c>
      <c r="N1958" s="244"/>
      <c r="O1958" s="84">
        <f t="shared" si="243"/>
        <v>0</v>
      </c>
      <c r="P1958" s="353"/>
      <c r="Q1958" s="342">
        <f t="shared" si="241"/>
        <v>18461</v>
      </c>
      <c r="R1958" s="36">
        <f t="shared" si="244"/>
        <v>-1000</v>
      </c>
      <c r="S1958" s="84">
        <f t="shared" si="245"/>
        <v>17461</v>
      </c>
    </row>
    <row r="1959" spans="2:19" x14ac:dyDescent="0.2">
      <c r="B1959" s="83">
        <f t="shared" ref="B1959:B1983" si="246">B1958+1</f>
        <v>129</v>
      </c>
      <c r="C1959" s="7"/>
      <c r="D1959" s="7"/>
      <c r="E1959" s="7"/>
      <c r="F1959" s="25" t="s">
        <v>83</v>
      </c>
      <c r="G1959" s="7">
        <v>630</v>
      </c>
      <c r="H1959" s="7" t="s">
        <v>132</v>
      </c>
      <c r="I1959" s="23">
        <f>I1960</f>
        <v>14141</v>
      </c>
      <c r="J1959" s="23"/>
      <c r="K1959" s="86">
        <f t="shared" si="242"/>
        <v>14141</v>
      </c>
      <c r="L1959" s="355"/>
      <c r="M1959" s="344"/>
      <c r="N1959" s="246"/>
      <c r="O1959" s="86">
        <f t="shared" si="243"/>
        <v>0</v>
      </c>
      <c r="P1959" s="355"/>
      <c r="Q1959" s="344">
        <f t="shared" ref="Q1959:Q1983" si="247">I1959+M1959</f>
        <v>14141</v>
      </c>
      <c r="R1959" s="23">
        <f t="shared" si="244"/>
        <v>0</v>
      </c>
      <c r="S1959" s="86">
        <f t="shared" si="245"/>
        <v>14141</v>
      </c>
    </row>
    <row r="1960" spans="2:19" x14ac:dyDescent="0.2">
      <c r="B1960" s="83">
        <f t="shared" si="246"/>
        <v>130</v>
      </c>
      <c r="C1960" s="3"/>
      <c r="D1960" s="3"/>
      <c r="E1960" s="3"/>
      <c r="F1960" s="26" t="s">
        <v>83</v>
      </c>
      <c r="G1960" s="3">
        <v>637</v>
      </c>
      <c r="H1960" s="3" t="s">
        <v>133</v>
      </c>
      <c r="I1960" s="19">
        <f>14000+141</f>
        <v>14141</v>
      </c>
      <c r="J1960" s="19"/>
      <c r="K1960" s="87">
        <f t="shared" ref="K1960:K1983" si="248">I1960+J1960</f>
        <v>14141</v>
      </c>
      <c r="L1960" s="356"/>
      <c r="M1960" s="345"/>
      <c r="N1960" s="208"/>
      <c r="O1960" s="87">
        <f t="shared" ref="O1960:O1983" si="249">N1960+M1960</f>
        <v>0</v>
      </c>
      <c r="P1960" s="356"/>
      <c r="Q1960" s="345">
        <f t="shared" si="247"/>
        <v>14141</v>
      </c>
      <c r="R1960" s="19">
        <f t="shared" si="244"/>
        <v>0</v>
      </c>
      <c r="S1960" s="87">
        <f t="shared" si="245"/>
        <v>14141</v>
      </c>
    </row>
    <row r="1961" spans="2:19" x14ac:dyDescent="0.2">
      <c r="B1961" s="83">
        <f t="shared" si="246"/>
        <v>131</v>
      </c>
      <c r="C1961" s="7"/>
      <c r="D1961" s="7"/>
      <c r="E1961" s="7"/>
      <c r="F1961" s="25" t="s">
        <v>83</v>
      </c>
      <c r="G1961" s="7">
        <v>640</v>
      </c>
      <c r="H1961" s="7" t="s">
        <v>140</v>
      </c>
      <c r="I1961" s="23">
        <f>I1962</f>
        <v>4320</v>
      </c>
      <c r="J1961" s="23">
        <f>J1962</f>
        <v>-1000</v>
      </c>
      <c r="K1961" s="86">
        <f t="shared" si="248"/>
        <v>3320</v>
      </c>
      <c r="L1961" s="355"/>
      <c r="M1961" s="344"/>
      <c r="N1961" s="246"/>
      <c r="O1961" s="86">
        <f t="shared" si="249"/>
        <v>0</v>
      </c>
      <c r="P1961" s="355"/>
      <c r="Q1961" s="344">
        <f t="shared" si="247"/>
        <v>4320</v>
      </c>
      <c r="R1961" s="23">
        <f t="shared" si="244"/>
        <v>-1000</v>
      </c>
      <c r="S1961" s="86">
        <f t="shared" si="245"/>
        <v>3320</v>
      </c>
    </row>
    <row r="1962" spans="2:19" x14ac:dyDescent="0.2">
      <c r="B1962" s="83">
        <f t="shared" si="246"/>
        <v>132</v>
      </c>
      <c r="C1962" s="3"/>
      <c r="D1962" s="3"/>
      <c r="E1962" s="3"/>
      <c r="F1962" s="26" t="s">
        <v>83</v>
      </c>
      <c r="G1962" s="3">
        <v>642</v>
      </c>
      <c r="H1962" s="3" t="s">
        <v>141</v>
      </c>
      <c r="I1962" s="19">
        <f>5000-680</f>
        <v>4320</v>
      </c>
      <c r="J1962" s="19">
        <v>-1000</v>
      </c>
      <c r="K1962" s="87">
        <f t="shared" si="248"/>
        <v>3320</v>
      </c>
      <c r="L1962" s="356"/>
      <c r="M1962" s="345"/>
      <c r="N1962" s="208"/>
      <c r="O1962" s="87">
        <f t="shared" si="249"/>
        <v>0</v>
      </c>
      <c r="P1962" s="356"/>
      <c r="Q1962" s="345">
        <f t="shared" si="247"/>
        <v>4320</v>
      </c>
      <c r="R1962" s="19">
        <f t="shared" si="244"/>
        <v>-1000</v>
      </c>
      <c r="S1962" s="87">
        <f t="shared" si="245"/>
        <v>3320</v>
      </c>
    </row>
    <row r="1963" spans="2:19" ht="15" x14ac:dyDescent="0.2">
      <c r="B1963" s="83">
        <f t="shared" si="246"/>
        <v>133</v>
      </c>
      <c r="C1963" s="239">
        <v>10</v>
      </c>
      <c r="D1963" s="444" t="s">
        <v>186</v>
      </c>
      <c r="E1963" s="445"/>
      <c r="F1963" s="445"/>
      <c r="G1963" s="445"/>
      <c r="H1963" s="446"/>
      <c r="I1963" s="36">
        <f>I1964</f>
        <v>14417</v>
      </c>
      <c r="J1963" s="36"/>
      <c r="K1963" s="84">
        <f t="shared" si="248"/>
        <v>14417</v>
      </c>
      <c r="L1963" s="353"/>
      <c r="M1963" s="342">
        <v>0</v>
      </c>
      <c r="N1963" s="244"/>
      <c r="O1963" s="84">
        <f t="shared" si="249"/>
        <v>0</v>
      </c>
      <c r="P1963" s="353"/>
      <c r="Q1963" s="342">
        <f t="shared" si="247"/>
        <v>14417</v>
      </c>
      <c r="R1963" s="36">
        <f t="shared" si="244"/>
        <v>0</v>
      </c>
      <c r="S1963" s="84">
        <f t="shared" si="245"/>
        <v>14417</v>
      </c>
    </row>
    <row r="1964" spans="2:19" ht="15" x14ac:dyDescent="0.25">
      <c r="B1964" s="83">
        <f t="shared" si="246"/>
        <v>134</v>
      </c>
      <c r="C1964" s="10"/>
      <c r="D1964" s="10"/>
      <c r="E1964" s="10">
        <v>5</v>
      </c>
      <c r="F1964" s="28"/>
      <c r="G1964" s="10"/>
      <c r="H1964" s="10" t="s">
        <v>115</v>
      </c>
      <c r="I1964" s="38">
        <f>I1965+I1966+I1967</f>
        <v>14417</v>
      </c>
      <c r="J1964" s="38"/>
      <c r="K1964" s="94">
        <f t="shared" si="248"/>
        <v>14417</v>
      </c>
      <c r="L1964" s="365"/>
      <c r="M1964" s="362"/>
      <c r="N1964" s="253"/>
      <c r="O1964" s="94">
        <f t="shared" si="249"/>
        <v>0</v>
      </c>
      <c r="P1964" s="365"/>
      <c r="Q1964" s="362">
        <f t="shared" si="247"/>
        <v>14417</v>
      </c>
      <c r="R1964" s="38">
        <f t="shared" si="244"/>
        <v>0</v>
      </c>
      <c r="S1964" s="94">
        <f t="shared" si="245"/>
        <v>14417</v>
      </c>
    </row>
    <row r="1965" spans="2:19" x14ac:dyDescent="0.2">
      <c r="B1965" s="83">
        <f t="shared" si="246"/>
        <v>135</v>
      </c>
      <c r="C1965" s="7"/>
      <c r="D1965" s="7"/>
      <c r="E1965" s="7"/>
      <c r="F1965" s="25" t="s">
        <v>84</v>
      </c>
      <c r="G1965" s="7">
        <v>610</v>
      </c>
      <c r="H1965" s="7" t="s">
        <v>142</v>
      </c>
      <c r="I1965" s="23">
        <v>8208</v>
      </c>
      <c r="J1965" s="23"/>
      <c r="K1965" s="86">
        <f t="shared" si="248"/>
        <v>8208</v>
      </c>
      <c r="L1965" s="355"/>
      <c r="M1965" s="344"/>
      <c r="N1965" s="246"/>
      <c r="O1965" s="86">
        <f t="shared" si="249"/>
        <v>0</v>
      </c>
      <c r="P1965" s="355"/>
      <c r="Q1965" s="344">
        <f t="shared" si="247"/>
        <v>8208</v>
      </c>
      <c r="R1965" s="23">
        <f t="shared" si="244"/>
        <v>0</v>
      </c>
      <c r="S1965" s="86">
        <f t="shared" si="245"/>
        <v>8208</v>
      </c>
    </row>
    <row r="1966" spans="2:19" x14ac:dyDescent="0.2">
      <c r="B1966" s="83">
        <f t="shared" si="246"/>
        <v>136</v>
      </c>
      <c r="C1966" s="7"/>
      <c r="D1966" s="7"/>
      <c r="E1966" s="7"/>
      <c r="F1966" s="25" t="s">
        <v>84</v>
      </c>
      <c r="G1966" s="7">
        <v>620</v>
      </c>
      <c r="H1966" s="7" t="s">
        <v>135</v>
      </c>
      <c r="I1966" s="23">
        <v>2873</v>
      </c>
      <c r="J1966" s="23"/>
      <c r="K1966" s="86">
        <f t="shared" si="248"/>
        <v>2873</v>
      </c>
      <c r="L1966" s="355"/>
      <c r="M1966" s="344"/>
      <c r="N1966" s="246"/>
      <c r="O1966" s="86">
        <f t="shared" si="249"/>
        <v>0</v>
      </c>
      <c r="P1966" s="355"/>
      <c r="Q1966" s="344">
        <f t="shared" si="247"/>
        <v>2873</v>
      </c>
      <c r="R1966" s="23">
        <f t="shared" si="244"/>
        <v>0</v>
      </c>
      <c r="S1966" s="86">
        <f t="shared" si="245"/>
        <v>2873</v>
      </c>
    </row>
    <row r="1967" spans="2:19" x14ac:dyDescent="0.2">
      <c r="B1967" s="83">
        <f t="shared" si="246"/>
        <v>137</v>
      </c>
      <c r="C1967" s="7"/>
      <c r="D1967" s="7"/>
      <c r="E1967" s="7"/>
      <c r="F1967" s="25" t="s">
        <v>84</v>
      </c>
      <c r="G1967" s="7">
        <v>630</v>
      </c>
      <c r="H1967" s="7" t="s">
        <v>132</v>
      </c>
      <c r="I1967" s="23">
        <f>I1971+I1970+I1969+I1968</f>
        <v>3336</v>
      </c>
      <c r="J1967" s="23"/>
      <c r="K1967" s="86">
        <f t="shared" si="248"/>
        <v>3336</v>
      </c>
      <c r="L1967" s="355"/>
      <c r="M1967" s="344"/>
      <c r="N1967" s="246"/>
      <c r="O1967" s="86">
        <f t="shared" si="249"/>
        <v>0</v>
      </c>
      <c r="P1967" s="355"/>
      <c r="Q1967" s="344">
        <f t="shared" si="247"/>
        <v>3336</v>
      </c>
      <c r="R1967" s="23">
        <f t="shared" si="244"/>
        <v>0</v>
      </c>
      <c r="S1967" s="86">
        <f t="shared" si="245"/>
        <v>3336</v>
      </c>
    </row>
    <row r="1968" spans="2:19" x14ac:dyDescent="0.2">
      <c r="B1968" s="83">
        <f t="shared" si="246"/>
        <v>138</v>
      </c>
      <c r="C1968" s="3"/>
      <c r="D1968" s="3"/>
      <c r="E1968" s="3"/>
      <c r="F1968" s="26" t="s">
        <v>84</v>
      </c>
      <c r="G1968" s="3">
        <v>632</v>
      </c>
      <c r="H1968" s="3" t="s">
        <v>145</v>
      </c>
      <c r="I1968" s="19">
        <v>70</v>
      </c>
      <c r="J1968" s="19"/>
      <c r="K1968" s="87">
        <f t="shared" si="248"/>
        <v>70</v>
      </c>
      <c r="L1968" s="356"/>
      <c r="M1968" s="345"/>
      <c r="N1968" s="208"/>
      <c r="O1968" s="87">
        <f t="shared" si="249"/>
        <v>0</v>
      </c>
      <c r="P1968" s="356"/>
      <c r="Q1968" s="345">
        <f t="shared" si="247"/>
        <v>70</v>
      </c>
      <c r="R1968" s="19">
        <f t="shared" si="244"/>
        <v>0</v>
      </c>
      <c r="S1968" s="87">
        <f t="shared" si="245"/>
        <v>70</v>
      </c>
    </row>
    <row r="1969" spans="2:19" x14ac:dyDescent="0.2">
      <c r="B1969" s="83">
        <f t="shared" si="246"/>
        <v>139</v>
      </c>
      <c r="C1969" s="3"/>
      <c r="D1969" s="3"/>
      <c r="E1969" s="3"/>
      <c r="F1969" s="26" t="s">
        <v>84</v>
      </c>
      <c r="G1969" s="3">
        <v>633</v>
      </c>
      <c r="H1969" s="3" t="s">
        <v>136</v>
      </c>
      <c r="I1969" s="19">
        <v>60</v>
      </c>
      <c r="J1969" s="19"/>
      <c r="K1969" s="87">
        <f t="shared" si="248"/>
        <v>60</v>
      </c>
      <c r="L1969" s="356"/>
      <c r="M1969" s="345"/>
      <c r="N1969" s="208"/>
      <c r="O1969" s="87">
        <f t="shared" si="249"/>
        <v>0</v>
      </c>
      <c r="P1969" s="356"/>
      <c r="Q1969" s="345">
        <f t="shared" si="247"/>
        <v>60</v>
      </c>
      <c r="R1969" s="19">
        <f t="shared" si="244"/>
        <v>0</v>
      </c>
      <c r="S1969" s="87">
        <f t="shared" si="245"/>
        <v>60</v>
      </c>
    </row>
    <row r="1970" spans="2:19" x14ac:dyDescent="0.2">
      <c r="B1970" s="83">
        <f t="shared" si="246"/>
        <v>140</v>
      </c>
      <c r="C1970" s="3"/>
      <c r="D1970" s="3"/>
      <c r="E1970" s="3"/>
      <c r="F1970" s="26" t="s">
        <v>84</v>
      </c>
      <c r="G1970" s="3">
        <v>634</v>
      </c>
      <c r="H1970" s="3" t="s">
        <v>143</v>
      </c>
      <c r="I1970" s="19">
        <v>2400</v>
      </c>
      <c r="J1970" s="19"/>
      <c r="K1970" s="87">
        <f t="shared" si="248"/>
        <v>2400</v>
      </c>
      <c r="L1970" s="356"/>
      <c r="M1970" s="345"/>
      <c r="N1970" s="208"/>
      <c r="O1970" s="87">
        <f t="shared" si="249"/>
        <v>0</v>
      </c>
      <c r="P1970" s="356"/>
      <c r="Q1970" s="345">
        <f t="shared" si="247"/>
        <v>2400</v>
      </c>
      <c r="R1970" s="19">
        <f t="shared" si="244"/>
        <v>0</v>
      </c>
      <c r="S1970" s="87">
        <f t="shared" si="245"/>
        <v>2400</v>
      </c>
    </row>
    <row r="1971" spans="2:19" x14ac:dyDescent="0.2">
      <c r="B1971" s="83">
        <f t="shared" si="246"/>
        <v>141</v>
      </c>
      <c r="C1971" s="3"/>
      <c r="D1971" s="3"/>
      <c r="E1971" s="3"/>
      <c r="F1971" s="26" t="s">
        <v>84</v>
      </c>
      <c r="G1971" s="3">
        <v>637</v>
      </c>
      <c r="H1971" s="3" t="s">
        <v>133</v>
      </c>
      <c r="I1971" s="19">
        <v>806</v>
      </c>
      <c r="J1971" s="19"/>
      <c r="K1971" s="87">
        <f t="shared" si="248"/>
        <v>806</v>
      </c>
      <c r="L1971" s="356"/>
      <c r="M1971" s="345"/>
      <c r="N1971" s="208"/>
      <c r="O1971" s="87">
        <f t="shared" si="249"/>
        <v>0</v>
      </c>
      <c r="P1971" s="356"/>
      <c r="Q1971" s="345">
        <f t="shared" si="247"/>
        <v>806</v>
      </c>
      <c r="R1971" s="19">
        <f t="shared" si="244"/>
        <v>0</v>
      </c>
      <c r="S1971" s="87">
        <f t="shared" si="245"/>
        <v>806</v>
      </c>
    </row>
    <row r="1972" spans="2:19" ht="15" x14ac:dyDescent="0.2">
      <c r="B1972" s="83">
        <f t="shared" si="246"/>
        <v>142</v>
      </c>
      <c r="C1972" s="239">
        <v>11</v>
      </c>
      <c r="D1972" s="444" t="s">
        <v>79</v>
      </c>
      <c r="E1972" s="445"/>
      <c r="F1972" s="445"/>
      <c r="G1972" s="445"/>
      <c r="H1972" s="446"/>
      <c r="I1972" s="36">
        <f>I1973</f>
        <v>162551</v>
      </c>
      <c r="J1972" s="36"/>
      <c r="K1972" s="84">
        <f t="shared" si="248"/>
        <v>162551</v>
      </c>
      <c r="L1972" s="353"/>
      <c r="M1972" s="342">
        <v>0</v>
      </c>
      <c r="N1972" s="244"/>
      <c r="O1972" s="84">
        <f t="shared" si="249"/>
        <v>0</v>
      </c>
      <c r="P1972" s="353"/>
      <c r="Q1972" s="342">
        <f t="shared" si="247"/>
        <v>162551</v>
      </c>
      <c r="R1972" s="36">
        <f t="shared" si="244"/>
        <v>0</v>
      </c>
      <c r="S1972" s="84">
        <f t="shared" si="245"/>
        <v>162551</v>
      </c>
    </row>
    <row r="1973" spans="2:19" ht="15" x14ac:dyDescent="0.25">
      <c r="B1973" s="83">
        <f t="shared" si="246"/>
        <v>143</v>
      </c>
      <c r="C1973" s="10"/>
      <c r="D1973" s="10"/>
      <c r="E1973" s="10">
        <v>5</v>
      </c>
      <c r="F1973" s="28"/>
      <c r="G1973" s="10"/>
      <c r="H1973" s="10" t="s">
        <v>115</v>
      </c>
      <c r="I1973" s="38">
        <f>I1974+I1975+I1976+I1983</f>
        <v>162551</v>
      </c>
      <c r="J1973" s="38"/>
      <c r="K1973" s="94">
        <f t="shared" si="248"/>
        <v>162551</v>
      </c>
      <c r="L1973" s="365"/>
      <c r="M1973" s="362"/>
      <c r="N1973" s="253"/>
      <c r="O1973" s="94">
        <f t="shared" si="249"/>
        <v>0</v>
      </c>
      <c r="P1973" s="365"/>
      <c r="Q1973" s="362">
        <f t="shared" si="247"/>
        <v>162551</v>
      </c>
      <c r="R1973" s="38">
        <f t="shared" si="244"/>
        <v>0</v>
      </c>
      <c r="S1973" s="94">
        <f t="shared" si="245"/>
        <v>162551</v>
      </c>
    </row>
    <row r="1974" spans="2:19" x14ac:dyDescent="0.2">
      <c r="B1974" s="83">
        <f t="shared" si="246"/>
        <v>144</v>
      </c>
      <c r="C1974" s="7"/>
      <c r="D1974" s="7"/>
      <c r="E1974" s="7"/>
      <c r="F1974" s="25" t="s">
        <v>68</v>
      </c>
      <c r="G1974" s="7">
        <v>610</v>
      </c>
      <c r="H1974" s="7" t="s">
        <v>142</v>
      </c>
      <c r="I1974" s="23">
        <v>93673</v>
      </c>
      <c r="J1974" s="23"/>
      <c r="K1974" s="86">
        <f t="shared" si="248"/>
        <v>93673</v>
      </c>
      <c r="L1974" s="355"/>
      <c r="M1974" s="344"/>
      <c r="N1974" s="246"/>
      <c r="O1974" s="86">
        <f t="shared" si="249"/>
        <v>0</v>
      </c>
      <c r="P1974" s="355"/>
      <c r="Q1974" s="344">
        <f t="shared" si="247"/>
        <v>93673</v>
      </c>
      <c r="R1974" s="23">
        <f t="shared" si="244"/>
        <v>0</v>
      </c>
      <c r="S1974" s="86">
        <f t="shared" si="245"/>
        <v>93673</v>
      </c>
    </row>
    <row r="1975" spans="2:19" x14ac:dyDescent="0.2">
      <c r="B1975" s="83">
        <f t="shared" si="246"/>
        <v>145</v>
      </c>
      <c r="C1975" s="7"/>
      <c r="D1975" s="7"/>
      <c r="E1975" s="7"/>
      <c r="F1975" s="25" t="s">
        <v>68</v>
      </c>
      <c r="G1975" s="7">
        <v>620</v>
      </c>
      <c r="H1975" s="7" t="s">
        <v>135</v>
      </c>
      <c r="I1975" s="23">
        <v>34186</v>
      </c>
      <c r="J1975" s="23"/>
      <c r="K1975" s="86">
        <f t="shared" si="248"/>
        <v>34186</v>
      </c>
      <c r="L1975" s="355"/>
      <c r="M1975" s="344"/>
      <c r="N1975" s="246"/>
      <c r="O1975" s="86">
        <f t="shared" si="249"/>
        <v>0</v>
      </c>
      <c r="P1975" s="355"/>
      <c r="Q1975" s="344">
        <f t="shared" si="247"/>
        <v>34186</v>
      </c>
      <c r="R1975" s="23">
        <f t="shared" si="244"/>
        <v>0</v>
      </c>
      <c r="S1975" s="86">
        <f t="shared" si="245"/>
        <v>34186</v>
      </c>
    </row>
    <row r="1976" spans="2:19" x14ac:dyDescent="0.2">
      <c r="B1976" s="83">
        <f t="shared" si="246"/>
        <v>146</v>
      </c>
      <c r="C1976" s="7"/>
      <c r="D1976" s="7"/>
      <c r="E1976" s="7"/>
      <c r="F1976" s="25" t="s">
        <v>68</v>
      </c>
      <c r="G1976" s="7">
        <v>630</v>
      </c>
      <c r="H1976" s="7" t="s">
        <v>132</v>
      </c>
      <c r="I1976" s="23">
        <f>I1982+I1981+I1980+I1979+I1978+I1977</f>
        <v>32749</v>
      </c>
      <c r="J1976" s="23"/>
      <c r="K1976" s="86">
        <f t="shared" si="248"/>
        <v>32749</v>
      </c>
      <c r="L1976" s="355"/>
      <c r="M1976" s="344"/>
      <c r="N1976" s="246"/>
      <c r="O1976" s="86">
        <f t="shared" si="249"/>
        <v>0</v>
      </c>
      <c r="P1976" s="355"/>
      <c r="Q1976" s="344">
        <f t="shared" si="247"/>
        <v>32749</v>
      </c>
      <c r="R1976" s="23">
        <f t="shared" si="244"/>
        <v>0</v>
      </c>
      <c r="S1976" s="86">
        <f t="shared" si="245"/>
        <v>32749</v>
      </c>
    </row>
    <row r="1977" spans="2:19" x14ac:dyDescent="0.2">
      <c r="B1977" s="83">
        <f t="shared" si="246"/>
        <v>147</v>
      </c>
      <c r="C1977" s="3"/>
      <c r="D1977" s="3"/>
      <c r="E1977" s="3"/>
      <c r="F1977" s="26" t="s">
        <v>68</v>
      </c>
      <c r="G1977" s="3">
        <v>631</v>
      </c>
      <c r="H1977" s="3" t="s">
        <v>138</v>
      </c>
      <c r="I1977" s="19">
        <v>300</v>
      </c>
      <c r="J1977" s="19"/>
      <c r="K1977" s="87">
        <f t="shared" si="248"/>
        <v>300</v>
      </c>
      <c r="L1977" s="356"/>
      <c r="M1977" s="345"/>
      <c r="N1977" s="208"/>
      <c r="O1977" s="87">
        <f t="shared" si="249"/>
        <v>0</v>
      </c>
      <c r="P1977" s="356"/>
      <c r="Q1977" s="345">
        <f t="shared" si="247"/>
        <v>300</v>
      </c>
      <c r="R1977" s="19">
        <f t="shared" si="244"/>
        <v>0</v>
      </c>
      <c r="S1977" s="87">
        <f t="shared" si="245"/>
        <v>300</v>
      </c>
    </row>
    <row r="1978" spans="2:19" x14ac:dyDescent="0.2">
      <c r="B1978" s="83">
        <f t="shared" si="246"/>
        <v>148</v>
      </c>
      <c r="C1978" s="3"/>
      <c r="D1978" s="3"/>
      <c r="E1978" s="3"/>
      <c r="F1978" s="26" t="s">
        <v>68</v>
      </c>
      <c r="G1978" s="3">
        <v>632</v>
      </c>
      <c r="H1978" s="3" t="s">
        <v>145</v>
      </c>
      <c r="I1978" s="19">
        <v>2300</v>
      </c>
      <c r="J1978" s="19"/>
      <c r="K1978" s="87">
        <f t="shared" si="248"/>
        <v>2300</v>
      </c>
      <c r="L1978" s="356"/>
      <c r="M1978" s="345"/>
      <c r="N1978" s="208"/>
      <c r="O1978" s="87">
        <f t="shared" si="249"/>
        <v>0</v>
      </c>
      <c r="P1978" s="356"/>
      <c r="Q1978" s="345">
        <f t="shared" si="247"/>
        <v>2300</v>
      </c>
      <c r="R1978" s="19">
        <f t="shared" si="244"/>
        <v>0</v>
      </c>
      <c r="S1978" s="87">
        <f t="shared" si="245"/>
        <v>2300</v>
      </c>
    </row>
    <row r="1979" spans="2:19" x14ac:dyDescent="0.2">
      <c r="B1979" s="83">
        <f t="shared" si="246"/>
        <v>149</v>
      </c>
      <c r="C1979" s="3"/>
      <c r="D1979" s="3"/>
      <c r="E1979" s="3"/>
      <c r="F1979" s="26" t="s">
        <v>68</v>
      </c>
      <c r="G1979" s="3">
        <v>633</v>
      </c>
      <c r="H1979" s="3" t="s">
        <v>136</v>
      </c>
      <c r="I1979" s="19">
        <v>4360</v>
      </c>
      <c r="J1979" s="19"/>
      <c r="K1979" s="87">
        <f t="shared" si="248"/>
        <v>4360</v>
      </c>
      <c r="L1979" s="356"/>
      <c r="M1979" s="345"/>
      <c r="N1979" s="208"/>
      <c r="O1979" s="87">
        <f t="shared" si="249"/>
        <v>0</v>
      </c>
      <c r="P1979" s="356"/>
      <c r="Q1979" s="345">
        <f t="shared" si="247"/>
        <v>4360</v>
      </c>
      <c r="R1979" s="19">
        <f t="shared" si="244"/>
        <v>0</v>
      </c>
      <c r="S1979" s="87">
        <f t="shared" si="245"/>
        <v>4360</v>
      </c>
    </row>
    <row r="1980" spans="2:19" x14ac:dyDescent="0.2">
      <c r="B1980" s="83">
        <f t="shared" si="246"/>
        <v>150</v>
      </c>
      <c r="C1980" s="3"/>
      <c r="D1980" s="3"/>
      <c r="E1980" s="3"/>
      <c r="F1980" s="26" t="s">
        <v>68</v>
      </c>
      <c r="G1980" s="3">
        <v>634</v>
      </c>
      <c r="H1980" s="3" t="s">
        <v>143</v>
      </c>
      <c r="I1980" s="19">
        <v>1488</v>
      </c>
      <c r="J1980" s="19"/>
      <c r="K1980" s="87">
        <f t="shared" si="248"/>
        <v>1488</v>
      </c>
      <c r="L1980" s="356"/>
      <c r="M1980" s="345"/>
      <c r="N1980" s="208"/>
      <c r="O1980" s="87">
        <f t="shared" si="249"/>
        <v>0</v>
      </c>
      <c r="P1980" s="356"/>
      <c r="Q1980" s="345">
        <f t="shared" si="247"/>
        <v>1488</v>
      </c>
      <c r="R1980" s="19">
        <f t="shared" si="244"/>
        <v>0</v>
      </c>
      <c r="S1980" s="87">
        <f t="shared" si="245"/>
        <v>1488</v>
      </c>
    </row>
    <row r="1981" spans="2:19" x14ac:dyDescent="0.2">
      <c r="B1981" s="83">
        <f t="shared" si="246"/>
        <v>151</v>
      </c>
      <c r="C1981" s="3"/>
      <c r="D1981" s="3"/>
      <c r="E1981" s="3"/>
      <c r="F1981" s="26" t="s">
        <v>68</v>
      </c>
      <c r="G1981" s="3">
        <v>635</v>
      </c>
      <c r="H1981" s="3" t="s">
        <v>144</v>
      </c>
      <c r="I1981" s="19">
        <v>1600</v>
      </c>
      <c r="J1981" s="19"/>
      <c r="K1981" s="87">
        <f t="shared" si="248"/>
        <v>1600</v>
      </c>
      <c r="L1981" s="356"/>
      <c r="M1981" s="345"/>
      <c r="N1981" s="208"/>
      <c r="O1981" s="87">
        <f t="shared" si="249"/>
        <v>0</v>
      </c>
      <c r="P1981" s="356"/>
      <c r="Q1981" s="345">
        <f t="shared" si="247"/>
        <v>1600</v>
      </c>
      <c r="R1981" s="19">
        <f t="shared" si="244"/>
        <v>0</v>
      </c>
      <c r="S1981" s="87">
        <f t="shared" si="245"/>
        <v>1600</v>
      </c>
    </row>
    <row r="1982" spans="2:19" x14ac:dyDescent="0.2">
      <c r="B1982" s="188">
        <f t="shared" si="246"/>
        <v>152</v>
      </c>
      <c r="C1982" s="223"/>
      <c r="D1982" s="223"/>
      <c r="E1982" s="223"/>
      <c r="F1982" s="233" t="s">
        <v>68</v>
      </c>
      <c r="G1982" s="223">
        <v>637</v>
      </c>
      <c r="H1982" s="223" t="s">
        <v>133</v>
      </c>
      <c r="I1982" s="234">
        <f>21287+1414</f>
        <v>22701</v>
      </c>
      <c r="J1982" s="234"/>
      <c r="K1982" s="235">
        <f t="shared" si="248"/>
        <v>22701</v>
      </c>
      <c r="L1982" s="413"/>
      <c r="M1982" s="412"/>
      <c r="N1982" s="266"/>
      <c r="O1982" s="235">
        <f t="shared" si="249"/>
        <v>0</v>
      </c>
      <c r="P1982" s="413"/>
      <c r="Q1982" s="412">
        <f t="shared" si="247"/>
        <v>22701</v>
      </c>
      <c r="R1982" s="234">
        <f t="shared" si="244"/>
        <v>0</v>
      </c>
      <c r="S1982" s="235">
        <f t="shared" si="245"/>
        <v>22701</v>
      </c>
    </row>
    <row r="1983" spans="2:19" ht="13.5" thickBot="1" x14ac:dyDescent="0.25">
      <c r="B1983" s="89">
        <f t="shared" si="246"/>
        <v>153</v>
      </c>
      <c r="C1983" s="115"/>
      <c r="D1983" s="115"/>
      <c r="E1983" s="115"/>
      <c r="F1983" s="116" t="s">
        <v>83</v>
      </c>
      <c r="G1983" s="115">
        <v>640</v>
      </c>
      <c r="H1983" s="115" t="s">
        <v>140</v>
      </c>
      <c r="I1983" s="117">
        <v>1943</v>
      </c>
      <c r="J1983" s="117"/>
      <c r="K1983" s="118">
        <f t="shared" si="248"/>
        <v>1943</v>
      </c>
      <c r="L1983" s="401"/>
      <c r="M1983" s="400"/>
      <c r="N1983" s="263"/>
      <c r="O1983" s="118">
        <f t="shared" si="249"/>
        <v>0</v>
      </c>
      <c r="P1983" s="401"/>
      <c r="Q1983" s="400">
        <f t="shared" si="247"/>
        <v>1943</v>
      </c>
      <c r="R1983" s="117">
        <f t="shared" si="244"/>
        <v>0</v>
      </c>
      <c r="S1983" s="118">
        <f t="shared" si="245"/>
        <v>1943</v>
      </c>
    </row>
    <row r="1987" spans="2:19" ht="27.75" thickBot="1" x14ac:dyDescent="0.4">
      <c r="B1987" s="455" t="s">
        <v>32</v>
      </c>
      <c r="C1987" s="456"/>
      <c r="D1987" s="456"/>
      <c r="E1987" s="456"/>
      <c r="F1987" s="456"/>
      <c r="G1987" s="456"/>
      <c r="H1987" s="456"/>
      <c r="I1987" s="456"/>
      <c r="J1987" s="456"/>
      <c r="K1987" s="456"/>
      <c r="L1987" s="456"/>
      <c r="M1987" s="456"/>
      <c r="N1987" s="456"/>
      <c r="O1987" s="456"/>
      <c r="P1987" s="456"/>
      <c r="Q1987" s="456"/>
    </row>
    <row r="1988" spans="2:19" ht="13.5" customHeight="1" thickBot="1" x14ac:dyDescent="0.25">
      <c r="B1988" s="452" t="s">
        <v>359</v>
      </c>
      <c r="C1988" s="453"/>
      <c r="D1988" s="453"/>
      <c r="E1988" s="453"/>
      <c r="F1988" s="453"/>
      <c r="G1988" s="453"/>
      <c r="H1988" s="453"/>
      <c r="I1988" s="453"/>
      <c r="J1988" s="453"/>
      <c r="K1988" s="453"/>
      <c r="L1988" s="453"/>
      <c r="M1988" s="453"/>
      <c r="N1988" s="453"/>
      <c r="O1988" s="454"/>
      <c r="P1988" s="339"/>
      <c r="Q1988" s="457" t="s">
        <v>667</v>
      </c>
      <c r="R1988" s="488" t="s">
        <v>668</v>
      </c>
      <c r="S1988" s="491" t="s">
        <v>669</v>
      </c>
    </row>
    <row r="1989" spans="2:19" ht="13.5" customHeight="1" thickBot="1" x14ac:dyDescent="0.25">
      <c r="B1989" s="466"/>
      <c r="C1989" s="460" t="s">
        <v>125</v>
      </c>
      <c r="D1989" s="460" t="s">
        <v>126</v>
      </c>
      <c r="E1989" s="460"/>
      <c r="F1989" s="460" t="s">
        <v>127</v>
      </c>
      <c r="G1989" s="470" t="s">
        <v>128</v>
      </c>
      <c r="H1989" s="473" t="s">
        <v>129</v>
      </c>
      <c r="I1989" s="463" t="s">
        <v>670</v>
      </c>
      <c r="J1989" s="495" t="s">
        <v>668</v>
      </c>
      <c r="K1989" s="491" t="s">
        <v>671</v>
      </c>
      <c r="L1989" s="53"/>
      <c r="M1989" s="474" t="s">
        <v>672</v>
      </c>
      <c r="N1989" s="488" t="s">
        <v>668</v>
      </c>
      <c r="O1989" s="491" t="s">
        <v>671</v>
      </c>
      <c r="P1989" s="53"/>
      <c r="Q1989" s="458"/>
      <c r="R1989" s="489"/>
      <c r="S1989" s="492"/>
    </row>
    <row r="1990" spans="2:19" ht="13.5" thickBot="1" x14ac:dyDescent="0.25">
      <c r="B1990" s="466"/>
      <c r="C1990" s="461"/>
      <c r="D1990" s="461"/>
      <c r="E1990" s="461"/>
      <c r="F1990" s="461"/>
      <c r="G1990" s="471"/>
      <c r="H1990" s="473"/>
      <c r="I1990" s="463"/>
      <c r="J1990" s="495"/>
      <c r="K1990" s="492"/>
      <c r="L1990" s="53"/>
      <c r="M1990" s="475"/>
      <c r="N1990" s="489"/>
      <c r="O1990" s="492"/>
      <c r="P1990" s="53"/>
      <c r="Q1990" s="458"/>
      <c r="R1990" s="489"/>
      <c r="S1990" s="492"/>
    </row>
    <row r="1991" spans="2:19" ht="13.5" thickBot="1" x14ac:dyDescent="0.25">
      <c r="B1991" s="466"/>
      <c r="C1991" s="461"/>
      <c r="D1991" s="461"/>
      <c r="E1991" s="461"/>
      <c r="F1991" s="461"/>
      <c r="G1991" s="471"/>
      <c r="H1991" s="473"/>
      <c r="I1991" s="463"/>
      <c r="J1991" s="495"/>
      <c r="K1991" s="492"/>
      <c r="L1991" s="53"/>
      <c r="M1991" s="475"/>
      <c r="N1991" s="489"/>
      <c r="O1991" s="492"/>
      <c r="P1991" s="53"/>
      <c r="Q1991" s="458"/>
      <c r="R1991" s="489"/>
      <c r="S1991" s="492"/>
    </row>
    <row r="1992" spans="2:19" ht="13.5" thickBot="1" x14ac:dyDescent="0.25">
      <c r="B1992" s="466"/>
      <c r="C1992" s="462"/>
      <c r="D1992" s="462"/>
      <c r="E1992" s="462"/>
      <c r="F1992" s="462"/>
      <c r="G1992" s="472"/>
      <c r="H1992" s="473"/>
      <c r="I1992" s="464"/>
      <c r="J1992" s="496"/>
      <c r="K1992" s="493"/>
      <c r="L1992" s="53"/>
      <c r="M1992" s="476"/>
      <c r="N1992" s="490"/>
      <c r="O1992" s="493"/>
      <c r="P1992" s="53"/>
      <c r="Q1992" s="459"/>
      <c r="R1992" s="490"/>
      <c r="S1992" s="493"/>
    </row>
    <row r="1993" spans="2:19" ht="16.5" thickTop="1" x14ac:dyDescent="0.2">
      <c r="B1993" s="83">
        <f t="shared" ref="B1993:B2018" si="250">B1992+1</f>
        <v>1</v>
      </c>
      <c r="C1993" s="477" t="s">
        <v>32</v>
      </c>
      <c r="D1993" s="482"/>
      <c r="E1993" s="482"/>
      <c r="F1993" s="482"/>
      <c r="G1993" s="482"/>
      <c r="H1993" s="483"/>
      <c r="I1993" s="35">
        <f>I1994</f>
        <v>282050</v>
      </c>
      <c r="J1993" s="35">
        <f>J1994</f>
        <v>0</v>
      </c>
      <c r="K1993" s="93">
        <f>J1993+I1993</f>
        <v>282050</v>
      </c>
      <c r="L1993" s="360"/>
      <c r="M1993" s="348">
        <f>M1994</f>
        <v>3579555</v>
      </c>
      <c r="N1993" s="35">
        <f>N1994</f>
        <v>0</v>
      </c>
      <c r="O1993" s="93">
        <f>N1993+M1993</f>
        <v>3579555</v>
      </c>
      <c r="P1993" s="360"/>
      <c r="Q1993" s="348">
        <f t="shared" ref="Q1993:Q2018" si="251">I1993+M1993</f>
        <v>3861605</v>
      </c>
      <c r="R1993" s="35">
        <f t="shared" ref="R1993:R2018" si="252">J1993+N1993</f>
        <v>0</v>
      </c>
      <c r="S1993" s="93">
        <f t="shared" ref="S1993:S2018" si="253">K1993+O1993</f>
        <v>3861605</v>
      </c>
    </row>
    <row r="1994" spans="2:19" ht="15" x14ac:dyDescent="0.2">
      <c r="B1994" s="83">
        <f t="shared" si="250"/>
        <v>2</v>
      </c>
      <c r="C1994" s="239">
        <v>1</v>
      </c>
      <c r="D1994" s="444" t="s">
        <v>166</v>
      </c>
      <c r="E1994" s="445"/>
      <c r="F1994" s="445"/>
      <c r="G1994" s="445"/>
      <c r="H1994" s="446"/>
      <c r="I1994" s="36">
        <f>I1995+I2007</f>
        <v>282050</v>
      </c>
      <c r="J1994" s="36"/>
      <c r="K1994" s="84">
        <f t="shared" ref="K1994:K2018" si="254">J1994+I1994</f>
        <v>282050</v>
      </c>
      <c r="L1994" s="353"/>
      <c r="M1994" s="342">
        <f>M1995+M2006+M2007</f>
        <v>3579555</v>
      </c>
      <c r="N1994" s="244"/>
      <c r="O1994" s="84">
        <f t="shared" ref="O1994:O2018" si="255">N1994+M1994</f>
        <v>3579555</v>
      </c>
      <c r="P1994" s="353"/>
      <c r="Q1994" s="342">
        <f t="shared" si="251"/>
        <v>3861605</v>
      </c>
      <c r="R1994" s="36">
        <f t="shared" si="252"/>
        <v>0</v>
      </c>
      <c r="S1994" s="84">
        <f t="shared" si="253"/>
        <v>3861605</v>
      </c>
    </row>
    <row r="1995" spans="2:19" ht="15" x14ac:dyDescent="0.25">
      <c r="B1995" s="83">
        <f t="shared" si="250"/>
        <v>3</v>
      </c>
      <c r="C1995" s="240"/>
      <c r="D1995" s="240">
        <v>1</v>
      </c>
      <c r="E1995" s="467" t="s">
        <v>165</v>
      </c>
      <c r="F1995" s="445"/>
      <c r="G1995" s="445"/>
      <c r="H1995" s="446"/>
      <c r="I1995" s="37">
        <f>I1996+I1999</f>
        <v>244600</v>
      </c>
      <c r="J1995" s="37"/>
      <c r="K1995" s="85">
        <f t="shared" si="254"/>
        <v>244600</v>
      </c>
      <c r="L1995" s="354"/>
      <c r="M1995" s="343">
        <f>M2001</f>
        <v>41000</v>
      </c>
      <c r="N1995" s="245"/>
      <c r="O1995" s="85">
        <f t="shared" si="255"/>
        <v>41000</v>
      </c>
      <c r="P1995" s="354"/>
      <c r="Q1995" s="343">
        <f t="shared" si="251"/>
        <v>285600</v>
      </c>
      <c r="R1995" s="37">
        <f t="shared" si="252"/>
        <v>0</v>
      </c>
      <c r="S1995" s="85">
        <f t="shared" si="253"/>
        <v>285600</v>
      </c>
    </row>
    <row r="1996" spans="2:19" x14ac:dyDescent="0.2">
      <c r="B1996" s="83">
        <f t="shared" si="250"/>
        <v>4</v>
      </c>
      <c r="C1996" s="7"/>
      <c r="D1996" s="7"/>
      <c r="E1996" s="7"/>
      <c r="F1996" s="25" t="s">
        <v>164</v>
      </c>
      <c r="G1996" s="7">
        <v>630</v>
      </c>
      <c r="H1996" s="7" t="s">
        <v>132</v>
      </c>
      <c r="I1996" s="23">
        <f>I1998+I1997</f>
        <v>186100</v>
      </c>
      <c r="J1996" s="23"/>
      <c r="K1996" s="86">
        <f t="shared" si="254"/>
        <v>186100</v>
      </c>
      <c r="L1996" s="355"/>
      <c r="M1996" s="344"/>
      <c r="N1996" s="246"/>
      <c r="O1996" s="86">
        <f t="shared" si="255"/>
        <v>0</v>
      </c>
      <c r="P1996" s="355"/>
      <c r="Q1996" s="344">
        <f t="shared" si="251"/>
        <v>186100</v>
      </c>
      <c r="R1996" s="23">
        <f t="shared" si="252"/>
        <v>0</v>
      </c>
      <c r="S1996" s="86">
        <f t="shared" si="253"/>
        <v>186100</v>
      </c>
    </row>
    <row r="1997" spans="2:19" x14ac:dyDescent="0.2">
      <c r="B1997" s="83">
        <f t="shared" si="250"/>
        <v>5</v>
      </c>
      <c r="C1997" s="3"/>
      <c r="D1997" s="3"/>
      <c r="E1997" s="3"/>
      <c r="F1997" s="26" t="s">
        <v>164</v>
      </c>
      <c r="G1997" s="3">
        <v>636</v>
      </c>
      <c r="H1997" s="3" t="s">
        <v>137</v>
      </c>
      <c r="I1997" s="19">
        <v>29800</v>
      </c>
      <c r="J1997" s="19"/>
      <c r="K1997" s="87">
        <f t="shared" si="254"/>
        <v>29800</v>
      </c>
      <c r="L1997" s="356"/>
      <c r="M1997" s="345"/>
      <c r="N1997" s="208"/>
      <c r="O1997" s="87">
        <f t="shared" si="255"/>
        <v>0</v>
      </c>
      <c r="P1997" s="356"/>
      <c r="Q1997" s="345">
        <f t="shared" si="251"/>
        <v>29800</v>
      </c>
      <c r="R1997" s="19">
        <f t="shared" si="252"/>
        <v>0</v>
      </c>
      <c r="S1997" s="87">
        <f t="shared" si="253"/>
        <v>29800</v>
      </c>
    </row>
    <row r="1998" spans="2:19" x14ac:dyDescent="0.2">
      <c r="B1998" s="83">
        <f t="shared" si="250"/>
        <v>6</v>
      </c>
      <c r="C1998" s="3"/>
      <c r="D1998" s="3"/>
      <c r="E1998" s="3"/>
      <c r="F1998" s="26" t="s">
        <v>164</v>
      </c>
      <c r="G1998" s="3">
        <v>637</v>
      </c>
      <c r="H1998" s="3" t="s">
        <v>133</v>
      </c>
      <c r="I1998" s="19">
        <f>156300+5000-5000</f>
        <v>156300</v>
      </c>
      <c r="J1998" s="19"/>
      <c r="K1998" s="87">
        <f t="shared" si="254"/>
        <v>156300</v>
      </c>
      <c r="L1998" s="356"/>
      <c r="M1998" s="345"/>
      <c r="N1998" s="208"/>
      <c r="O1998" s="87">
        <f t="shared" si="255"/>
        <v>0</v>
      </c>
      <c r="P1998" s="356"/>
      <c r="Q1998" s="345">
        <f t="shared" si="251"/>
        <v>156300</v>
      </c>
      <c r="R1998" s="19">
        <f t="shared" si="252"/>
        <v>0</v>
      </c>
      <c r="S1998" s="87">
        <f t="shared" si="253"/>
        <v>156300</v>
      </c>
    </row>
    <row r="1999" spans="2:19" x14ac:dyDescent="0.2">
      <c r="B1999" s="83">
        <f t="shared" si="250"/>
        <v>7</v>
      </c>
      <c r="C1999" s="7"/>
      <c r="D1999" s="7"/>
      <c r="E1999" s="7"/>
      <c r="F1999" s="25" t="s">
        <v>164</v>
      </c>
      <c r="G1999" s="7">
        <v>640</v>
      </c>
      <c r="H1999" s="7" t="s">
        <v>140</v>
      </c>
      <c r="I1999" s="23">
        <f>I2000</f>
        <v>58500</v>
      </c>
      <c r="J1999" s="23"/>
      <c r="K1999" s="86">
        <f t="shared" si="254"/>
        <v>58500</v>
      </c>
      <c r="L1999" s="355"/>
      <c r="M1999" s="344"/>
      <c r="N1999" s="246"/>
      <c r="O1999" s="86">
        <f t="shared" si="255"/>
        <v>0</v>
      </c>
      <c r="P1999" s="355"/>
      <c r="Q1999" s="344">
        <f t="shared" si="251"/>
        <v>58500</v>
      </c>
      <c r="R1999" s="23">
        <f t="shared" si="252"/>
        <v>0</v>
      </c>
      <c r="S1999" s="86">
        <f t="shared" si="253"/>
        <v>58500</v>
      </c>
    </row>
    <row r="2000" spans="2:19" x14ac:dyDescent="0.2">
      <c r="B2000" s="83">
        <f t="shared" si="250"/>
        <v>8</v>
      </c>
      <c r="C2000" s="3"/>
      <c r="D2000" s="3"/>
      <c r="E2000" s="3"/>
      <c r="F2000" s="26" t="s">
        <v>164</v>
      </c>
      <c r="G2000" s="3">
        <v>642</v>
      </c>
      <c r="H2000" s="3" t="s">
        <v>141</v>
      </c>
      <c r="I2000" s="19">
        <f>39000+19500</f>
        <v>58500</v>
      </c>
      <c r="J2000" s="19"/>
      <c r="K2000" s="87">
        <f t="shared" si="254"/>
        <v>58500</v>
      </c>
      <c r="L2000" s="356"/>
      <c r="M2000" s="345"/>
      <c r="N2000" s="208"/>
      <c r="O2000" s="87">
        <f t="shared" si="255"/>
        <v>0</v>
      </c>
      <c r="P2000" s="356"/>
      <c r="Q2000" s="345">
        <f t="shared" si="251"/>
        <v>58500</v>
      </c>
      <c r="R2000" s="19">
        <f t="shared" si="252"/>
        <v>0</v>
      </c>
      <c r="S2000" s="87">
        <f t="shared" si="253"/>
        <v>58500</v>
      </c>
    </row>
    <row r="2001" spans="2:19" x14ac:dyDescent="0.2">
      <c r="B2001" s="83">
        <f t="shared" si="250"/>
        <v>9</v>
      </c>
      <c r="C2001" s="3"/>
      <c r="D2001" s="3"/>
      <c r="E2001" s="3"/>
      <c r="F2001" s="25" t="s">
        <v>164</v>
      </c>
      <c r="G2001" s="7">
        <v>710</v>
      </c>
      <c r="H2001" s="7" t="s">
        <v>187</v>
      </c>
      <c r="I2001" s="19"/>
      <c r="J2001" s="19"/>
      <c r="K2001" s="87">
        <f t="shared" si="254"/>
        <v>0</v>
      </c>
      <c r="L2001" s="356"/>
      <c r="M2001" s="349">
        <f>M2004+M2002</f>
        <v>41000</v>
      </c>
      <c r="N2001" s="207"/>
      <c r="O2001" s="114">
        <f t="shared" si="255"/>
        <v>41000</v>
      </c>
      <c r="P2001" s="355"/>
      <c r="Q2001" s="349">
        <f t="shared" si="251"/>
        <v>41000</v>
      </c>
      <c r="R2001" s="18">
        <f t="shared" si="252"/>
        <v>0</v>
      </c>
      <c r="S2001" s="114">
        <f t="shared" si="253"/>
        <v>41000</v>
      </c>
    </row>
    <row r="2002" spans="2:19" x14ac:dyDescent="0.2">
      <c r="B2002" s="83">
        <f t="shared" si="250"/>
        <v>10</v>
      </c>
      <c r="C2002" s="3"/>
      <c r="D2002" s="3"/>
      <c r="E2002" s="3"/>
      <c r="F2002" s="26" t="s">
        <v>164</v>
      </c>
      <c r="G2002" s="3">
        <v>716</v>
      </c>
      <c r="H2002" s="3" t="s">
        <v>231</v>
      </c>
      <c r="I2002" s="19"/>
      <c r="J2002" s="19"/>
      <c r="K2002" s="87">
        <f t="shared" si="254"/>
        <v>0</v>
      </c>
      <c r="L2002" s="356"/>
      <c r="M2002" s="345">
        <f>M2003</f>
        <v>1000</v>
      </c>
      <c r="N2002" s="208"/>
      <c r="O2002" s="87">
        <f t="shared" si="255"/>
        <v>1000</v>
      </c>
      <c r="P2002" s="356"/>
      <c r="Q2002" s="345">
        <f t="shared" si="251"/>
        <v>1000</v>
      </c>
      <c r="R2002" s="19">
        <f t="shared" si="252"/>
        <v>0</v>
      </c>
      <c r="S2002" s="87">
        <f t="shared" si="253"/>
        <v>1000</v>
      </c>
    </row>
    <row r="2003" spans="2:19" x14ac:dyDescent="0.2">
      <c r="B2003" s="83">
        <f t="shared" si="250"/>
        <v>11</v>
      </c>
      <c r="C2003" s="3"/>
      <c r="D2003" s="3"/>
      <c r="E2003" s="3"/>
      <c r="F2003" s="215"/>
      <c r="G2003" s="144"/>
      <c r="H2003" s="144" t="s">
        <v>594</v>
      </c>
      <c r="I2003" s="19"/>
      <c r="J2003" s="19"/>
      <c r="K2003" s="87">
        <f t="shared" si="254"/>
        <v>0</v>
      </c>
      <c r="L2003" s="356"/>
      <c r="M2003" s="346">
        <v>1000</v>
      </c>
      <c r="N2003" s="247"/>
      <c r="O2003" s="88">
        <f t="shared" si="255"/>
        <v>1000</v>
      </c>
      <c r="P2003" s="357"/>
      <c r="Q2003" s="346">
        <f t="shared" si="251"/>
        <v>1000</v>
      </c>
      <c r="R2003" s="21">
        <f t="shared" si="252"/>
        <v>0</v>
      </c>
      <c r="S2003" s="88">
        <f t="shared" si="253"/>
        <v>1000</v>
      </c>
    </row>
    <row r="2004" spans="2:19" x14ac:dyDescent="0.2">
      <c r="B2004" s="83">
        <f t="shared" si="250"/>
        <v>12</v>
      </c>
      <c r="C2004" s="3"/>
      <c r="D2004" s="3"/>
      <c r="E2004" s="3"/>
      <c r="F2004" s="26" t="s">
        <v>164</v>
      </c>
      <c r="G2004" s="3">
        <v>717</v>
      </c>
      <c r="H2004" s="3" t="s">
        <v>197</v>
      </c>
      <c r="I2004" s="19"/>
      <c r="J2004" s="19"/>
      <c r="K2004" s="87">
        <f t="shared" si="254"/>
        <v>0</v>
      </c>
      <c r="L2004" s="356"/>
      <c r="M2004" s="345">
        <f>M2005</f>
        <v>40000</v>
      </c>
      <c r="N2004" s="208"/>
      <c r="O2004" s="87">
        <f t="shared" si="255"/>
        <v>40000</v>
      </c>
      <c r="P2004" s="356"/>
      <c r="Q2004" s="345">
        <f t="shared" si="251"/>
        <v>40000</v>
      </c>
      <c r="R2004" s="19">
        <f t="shared" si="252"/>
        <v>0</v>
      </c>
      <c r="S2004" s="87">
        <f t="shared" si="253"/>
        <v>40000</v>
      </c>
    </row>
    <row r="2005" spans="2:19" x14ac:dyDescent="0.2">
      <c r="B2005" s="83">
        <f t="shared" si="250"/>
        <v>13</v>
      </c>
      <c r="C2005" s="3"/>
      <c r="D2005" s="3"/>
      <c r="E2005" s="223"/>
      <c r="F2005" s="215"/>
      <c r="G2005" s="144"/>
      <c r="H2005" s="144" t="s">
        <v>594</v>
      </c>
      <c r="I2005" s="19"/>
      <c r="J2005" s="19"/>
      <c r="K2005" s="87">
        <f t="shared" si="254"/>
        <v>0</v>
      </c>
      <c r="L2005" s="356"/>
      <c r="M2005" s="346">
        <f>41000-1000</f>
        <v>40000</v>
      </c>
      <c r="N2005" s="247"/>
      <c r="O2005" s="88">
        <f t="shared" si="255"/>
        <v>40000</v>
      </c>
      <c r="P2005" s="357"/>
      <c r="Q2005" s="346">
        <f t="shared" si="251"/>
        <v>40000</v>
      </c>
      <c r="R2005" s="21">
        <f t="shared" si="252"/>
        <v>0</v>
      </c>
      <c r="S2005" s="88">
        <f t="shared" si="253"/>
        <v>40000</v>
      </c>
    </row>
    <row r="2006" spans="2:19" ht="15" x14ac:dyDescent="0.25">
      <c r="B2006" s="83">
        <f t="shared" si="250"/>
        <v>14</v>
      </c>
      <c r="C2006" s="240"/>
      <c r="D2006" s="240">
        <v>2</v>
      </c>
      <c r="E2006" s="467" t="s">
        <v>351</v>
      </c>
      <c r="F2006" s="445"/>
      <c r="G2006" s="445"/>
      <c r="H2006" s="446"/>
      <c r="I2006" s="37">
        <v>0</v>
      </c>
      <c r="J2006" s="37"/>
      <c r="K2006" s="85">
        <f t="shared" si="254"/>
        <v>0</v>
      </c>
      <c r="L2006" s="354"/>
      <c r="M2006" s="343">
        <v>0</v>
      </c>
      <c r="N2006" s="245"/>
      <c r="O2006" s="85">
        <f t="shared" si="255"/>
        <v>0</v>
      </c>
      <c r="P2006" s="354"/>
      <c r="Q2006" s="343">
        <f t="shared" si="251"/>
        <v>0</v>
      </c>
      <c r="R2006" s="37">
        <f t="shared" si="252"/>
        <v>0</v>
      </c>
      <c r="S2006" s="85">
        <f t="shared" si="253"/>
        <v>0</v>
      </c>
    </row>
    <row r="2007" spans="2:19" ht="15" x14ac:dyDescent="0.25">
      <c r="B2007" s="83">
        <f t="shared" si="250"/>
        <v>15</v>
      </c>
      <c r="C2007" s="240"/>
      <c r="D2007" s="240">
        <v>3</v>
      </c>
      <c r="E2007" s="467" t="s">
        <v>201</v>
      </c>
      <c r="F2007" s="445"/>
      <c r="G2007" s="445"/>
      <c r="H2007" s="446"/>
      <c r="I2007" s="37">
        <f>I2008+I2009+I2010+I2015</f>
        <v>37450</v>
      </c>
      <c r="J2007" s="37"/>
      <c r="K2007" s="85">
        <f t="shared" si="254"/>
        <v>37450</v>
      </c>
      <c r="L2007" s="354"/>
      <c r="M2007" s="343">
        <f>M2015</f>
        <v>3538555</v>
      </c>
      <c r="N2007" s="245"/>
      <c r="O2007" s="85">
        <f t="shared" si="255"/>
        <v>3538555</v>
      </c>
      <c r="P2007" s="354"/>
      <c r="Q2007" s="343">
        <f t="shared" si="251"/>
        <v>3576005</v>
      </c>
      <c r="R2007" s="37">
        <f t="shared" si="252"/>
        <v>0</v>
      </c>
      <c r="S2007" s="85">
        <f t="shared" si="253"/>
        <v>3576005</v>
      </c>
    </row>
    <row r="2008" spans="2:19" x14ac:dyDescent="0.2">
      <c r="B2008" s="83">
        <f t="shared" si="250"/>
        <v>16</v>
      </c>
      <c r="C2008" s="7"/>
      <c r="D2008" s="7"/>
      <c r="E2008" s="7"/>
      <c r="F2008" s="25" t="s">
        <v>200</v>
      </c>
      <c r="G2008" s="7">
        <v>610</v>
      </c>
      <c r="H2008" s="7" t="s">
        <v>142</v>
      </c>
      <c r="I2008" s="23">
        <v>25000</v>
      </c>
      <c r="J2008" s="23"/>
      <c r="K2008" s="86">
        <f t="shared" si="254"/>
        <v>25000</v>
      </c>
      <c r="L2008" s="355"/>
      <c r="M2008" s="344"/>
      <c r="N2008" s="246"/>
      <c r="O2008" s="86">
        <f t="shared" si="255"/>
        <v>0</v>
      </c>
      <c r="P2008" s="355"/>
      <c r="Q2008" s="344">
        <f t="shared" si="251"/>
        <v>25000</v>
      </c>
      <c r="R2008" s="23">
        <f t="shared" si="252"/>
        <v>0</v>
      </c>
      <c r="S2008" s="86">
        <f t="shared" si="253"/>
        <v>25000</v>
      </c>
    </row>
    <row r="2009" spans="2:19" x14ac:dyDescent="0.2">
      <c r="B2009" s="83">
        <f t="shared" si="250"/>
        <v>17</v>
      </c>
      <c r="C2009" s="7"/>
      <c r="D2009" s="7"/>
      <c r="E2009" s="7"/>
      <c r="F2009" s="25" t="s">
        <v>200</v>
      </c>
      <c r="G2009" s="7">
        <v>620</v>
      </c>
      <c r="H2009" s="7" t="s">
        <v>135</v>
      </c>
      <c r="I2009" s="23">
        <v>9550</v>
      </c>
      <c r="J2009" s="23"/>
      <c r="K2009" s="86">
        <f t="shared" si="254"/>
        <v>9550</v>
      </c>
      <c r="L2009" s="355"/>
      <c r="M2009" s="344"/>
      <c r="N2009" s="246"/>
      <c r="O2009" s="86">
        <f t="shared" si="255"/>
        <v>0</v>
      </c>
      <c r="P2009" s="355"/>
      <c r="Q2009" s="344">
        <f t="shared" si="251"/>
        <v>9550</v>
      </c>
      <c r="R2009" s="23">
        <f t="shared" si="252"/>
        <v>0</v>
      </c>
      <c r="S2009" s="86">
        <f t="shared" si="253"/>
        <v>9550</v>
      </c>
    </row>
    <row r="2010" spans="2:19" x14ac:dyDescent="0.2">
      <c r="B2010" s="83">
        <f t="shared" si="250"/>
        <v>18</v>
      </c>
      <c r="C2010" s="7"/>
      <c r="D2010" s="7"/>
      <c r="E2010" s="7"/>
      <c r="F2010" s="25" t="s">
        <v>200</v>
      </c>
      <c r="G2010" s="7">
        <v>630</v>
      </c>
      <c r="H2010" s="7" t="s">
        <v>132</v>
      </c>
      <c r="I2010" s="23">
        <f>SUM(I2011:I2014)</f>
        <v>2900</v>
      </c>
      <c r="J2010" s="23"/>
      <c r="K2010" s="86">
        <f t="shared" si="254"/>
        <v>2900</v>
      </c>
      <c r="L2010" s="355"/>
      <c r="M2010" s="344"/>
      <c r="N2010" s="246"/>
      <c r="O2010" s="86">
        <f t="shared" si="255"/>
        <v>0</v>
      </c>
      <c r="P2010" s="355"/>
      <c r="Q2010" s="344">
        <f t="shared" si="251"/>
        <v>2900</v>
      </c>
      <c r="R2010" s="23">
        <f t="shared" si="252"/>
        <v>0</v>
      </c>
      <c r="S2010" s="86">
        <f t="shared" si="253"/>
        <v>2900</v>
      </c>
    </row>
    <row r="2011" spans="2:19" x14ac:dyDescent="0.2">
      <c r="B2011" s="83">
        <f t="shared" si="250"/>
        <v>19</v>
      </c>
      <c r="C2011" s="3"/>
      <c r="D2011" s="3"/>
      <c r="E2011" s="3"/>
      <c r="F2011" s="26" t="s">
        <v>200</v>
      </c>
      <c r="G2011" s="3">
        <v>632</v>
      </c>
      <c r="H2011" s="3" t="s">
        <v>145</v>
      </c>
      <c r="I2011" s="19">
        <v>300</v>
      </c>
      <c r="J2011" s="19"/>
      <c r="K2011" s="87">
        <f t="shared" si="254"/>
        <v>300</v>
      </c>
      <c r="L2011" s="356"/>
      <c r="M2011" s="345"/>
      <c r="N2011" s="208"/>
      <c r="O2011" s="87">
        <f t="shared" si="255"/>
        <v>0</v>
      </c>
      <c r="P2011" s="356"/>
      <c r="Q2011" s="345">
        <f t="shared" si="251"/>
        <v>300</v>
      </c>
      <c r="R2011" s="19">
        <f t="shared" si="252"/>
        <v>0</v>
      </c>
      <c r="S2011" s="87">
        <f t="shared" si="253"/>
        <v>300</v>
      </c>
    </row>
    <row r="2012" spans="2:19" x14ac:dyDescent="0.2">
      <c r="B2012" s="83">
        <f t="shared" si="250"/>
        <v>20</v>
      </c>
      <c r="C2012" s="3"/>
      <c r="D2012" s="3"/>
      <c r="E2012" s="3"/>
      <c r="F2012" s="26" t="s">
        <v>200</v>
      </c>
      <c r="G2012" s="3">
        <v>633</v>
      </c>
      <c r="H2012" s="3" t="s">
        <v>136</v>
      </c>
      <c r="I2012" s="19">
        <v>500</v>
      </c>
      <c r="J2012" s="19"/>
      <c r="K2012" s="87">
        <f t="shared" si="254"/>
        <v>500</v>
      </c>
      <c r="L2012" s="356"/>
      <c r="M2012" s="345"/>
      <c r="N2012" s="208"/>
      <c r="O2012" s="87">
        <f t="shared" si="255"/>
        <v>0</v>
      </c>
      <c r="P2012" s="356"/>
      <c r="Q2012" s="345">
        <f t="shared" si="251"/>
        <v>500</v>
      </c>
      <c r="R2012" s="19">
        <f t="shared" si="252"/>
        <v>0</v>
      </c>
      <c r="S2012" s="87">
        <f t="shared" si="253"/>
        <v>500</v>
      </c>
    </row>
    <row r="2013" spans="2:19" x14ac:dyDescent="0.2">
      <c r="B2013" s="83">
        <f t="shared" si="250"/>
        <v>21</v>
      </c>
      <c r="C2013" s="3"/>
      <c r="D2013" s="3"/>
      <c r="E2013" s="3"/>
      <c r="F2013" s="26" t="s">
        <v>200</v>
      </c>
      <c r="G2013" s="3">
        <v>635</v>
      </c>
      <c r="H2013" s="3" t="s">
        <v>144</v>
      </c>
      <c r="I2013" s="19">
        <v>200</v>
      </c>
      <c r="J2013" s="19"/>
      <c r="K2013" s="87">
        <f t="shared" si="254"/>
        <v>200</v>
      </c>
      <c r="L2013" s="356"/>
      <c r="M2013" s="345"/>
      <c r="N2013" s="208"/>
      <c r="O2013" s="87">
        <f t="shared" si="255"/>
        <v>0</v>
      </c>
      <c r="P2013" s="356"/>
      <c r="Q2013" s="345">
        <f t="shared" si="251"/>
        <v>200</v>
      </c>
      <c r="R2013" s="19">
        <f t="shared" si="252"/>
        <v>0</v>
      </c>
      <c r="S2013" s="87">
        <f t="shared" si="253"/>
        <v>200</v>
      </c>
    </row>
    <row r="2014" spans="2:19" x14ac:dyDescent="0.2">
      <c r="B2014" s="83">
        <f t="shared" si="250"/>
        <v>22</v>
      </c>
      <c r="C2014" s="3"/>
      <c r="D2014" s="3"/>
      <c r="E2014" s="3"/>
      <c r="F2014" s="26" t="s">
        <v>200</v>
      </c>
      <c r="G2014" s="3">
        <v>637</v>
      </c>
      <c r="H2014" s="3" t="s">
        <v>133</v>
      </c>
      <c r="I2014" s="19">
        <v>1900</v>
      </c>
      <c r="J2014" s="19"/>
      <c r="K2014" s="87">
        <f t="shared" si="254"/>
        <v>1900</v>
      </c>
      <c r="L2014" s="356"/>
      <c r="M2014" s="345"/>
      <c r="N2014" s="208"/>
      <c r="O2014" s="87">
        <f t="shared" si="255"/>
        <v>0</v>
      </c>
      <c r="P2014" s="356"/>
      <c r="Q2014" s="345">
        <f t="shared" si="251"/>
        <v>1900</v>
      </c>
      <c r="R2014" s="19">
        <f t="shared" si="252"/>
        <v>0</v>
      </c>
      <c r="S2014" s="87">
        <f t="shared" si="253"/>
        <v>1900</v>
      </c>
    </row>
    <row r="2015" spans="2:19" x14ac:dyDescent="0.2">
      <c r="B2015" s="83">
        <f t="shared" si="250"/>
        <v>23</v>
      </c>
      <c r="C2015" s="7"/>
      <c r="D2015" s="7"/>
      <c r="E2015" s="7"/>
      <c r="F2015" s="25" t="s">
        <v>200</v>
      </c>
      <c r="G2015" s="7">
        <v>710</v>
      </c>
      <c r="H2015" s="7" t="s">
        <v>187</v>
      </c>
      <c r="I2015" s="23"/>
      <c r="J2015" s="23"/>
      <c r="K2015" s="86">
        <f t="shared" si="254"/>
        <v>0</v>
      </c>
      <c r="L2015" s="355"/>
      <c r="M2015" s="344">
        <f>M2016</f>
        <v>3538555</v>
      </c>
      <c r="N2015" s="246"/>
      <c r="O2015" s="86">
        <f t="shared" si="255"/>
        <v>3538555</v>
      </c>
      <c r="P2015" s="355"/>
      <c r="Q2015" s="344">
        <f t="shared" si="251"/>
        <v>3538555</v>
      </c>
      <c r="R2015" s="23">
        <f t="shared" si="252"/>
        <v>0</v>
      </c>
      <c r="S2015" s="86">
        <f t="shared" si="253"/>
        <v>3538555</v>
      </c>
    </row>
    <row r="2016" spans="2:19" x14ac:dyDescent="0.2">
      <c r="B2016" s="83">
        <f t="shared" si="250"/>
        <v>24</v>
      </c>
      <c r="C2016" s="3"/>
      <c r="D2016" s="3"/>
      <c r="E2016" s="3"/>
      <c r="F2016" s="26" t="s">
        <v>200</v>
      </c>
      <c r="G2016" s="3">
        <v>712</v>
      </c>
      <c r="H2016" s="3" t="s">
        <v>65</v>
      </c>
      <c r="I2016" s="19"/>
      <c r="J2016" s="19"/>
      <c r="K2016" s="87">
        <f t="shared" si="254"/>
        <v>0</v>
      </c>
      <c r="L2016" s="356"/>
      <c r="M2016" s="345">
        <f>M2017+M2018</f>
        <v>3538555</v>
      </c>
      <c r="N2016" s="208"/>
      <c r="O2016" s="87">
        <f t="shared" si="255"/>
        <v>3538555</v>
      </c>
      <c r="P2016" s="356"/>
      <c r="Q2016" s="345">
        <f t="shared" si="251"/>
        <v>3538555</v>
      </c>
      <c r="R2016" s="19">
        <f t="shared" si="252"/>
        <v>0</v>
      </c>
      <c r="S2016" s="87">
        <f t="shared" si="253"/>
        <v>3538555</v>
      </c>
    </row>
    <row r="2017" spans="2:19" x14ac:dyDescent="0.2">
      <c r="B2017" s="188">
        <f t="shared" si="250"/>
        <v>25</v>
      </c>
      <c r="C2017" s="144"/>
      <c r="D2017" s="144"/>
      <c r="E2017" s="144"/>
      <c r="F2017" s="189"/>
      <c r="G2017" s="144"/>
      <c r="H2017" s="190" t="s">
        <v>381</v>
      </c>
      <c r="I2017" s="191"/>
      <c r="J2017" s="191"/>
      <c r="K2017" s="176">
        <f t="shared" si="254"/>
        <v>0</v>
      </c>
      <c r="L2017" s="414"/>
      <c r="M2017" s="410">
        <v>2353615</v>
      </c>
      <c r="N2017" s="265"/>
      <c r="O2017" s="176">
        <f t="shared" si="255"/>
        <v>2353615</v>
      </c>
      <c r="P2017" s="411"/>
      <c r="Q2017" s="410">
        <f t="shared" si="251"/>
        <v>2353615</v>
      </c>
      <c r="R2017" s="192">
        <f t="shared" si="252"/>
        <v>0</v>
      </c>
      <c r="S2017" s="176">
        <f t="shared" si="253"/>
        <v>2353615</v>
      </c>
    </row>
    <row r="2018" spans="2:19" ht="13.5" thickBot="1" x14ac:dyDescent="0.25">
      <c r="B2018" s="89">
        <f t="shared" si="250"/>
        <v>26</v>
      </c>
      <c r="C2018" s="95"/>
      <c r="D2018" s="95"/>
      <c r="E2018" s="95"/>
      <c r="F2018" s="96"/>
      <c r="G2018" s="95"/>
      <c r="H2018" s="97" t="s">
        <v>530</v>
      </c>
      <c r="I2018" s="146"/>
      <c r="J2018" s="146"/>
      <c r="K2018" s="99">
        <f t="shared" si="254"/>
        <v>0</v>
      </c>
      <c r="L2018" s="415"/>
      <c r="M2018" s="350">
        <v>1184940</v>
      </c>
      <c r="N2018" s="250"/>
      <c r="O2018" s="99">
        <f t="shared" si="255"/>
        <v>1184940</v>
      </c>
      <c r="P2018" s="361"/>
      <c r="Q2018" s="350">
        <f t="shared" si="251"/>
        <v>1184940</v>
      </c>
      <c r="R2018" s="98">
        <f t="shared" si="252"/>
        <v>0</v>
      </c>
      <c r="S2018" s="99">
        <f t="shared" si="253"/>
        <v>1184940</v>
      </c>
    </row>
  </sheetData>
  <mergeCells count="317">
    <mergeCell ref="R1988:R1992"/>
    <mergeCell ref="S1988:S1992"/>
    <mergeCell ref="J1989:J1992"/>
    <mergeCell ref="K1989:K1992"/>
    <mergeCell ref="N1989:N1992"/>
    <mergeCell ref="O1989:O1992"/>
    <mergeCell ref="R1826:R1830"/>
    <mergeCell ref="S1826:S1830"/>
    <mergeCell ref="J1827:J1830"/>
    <mergeCell ref="K1827:K1830"/>
    <mergeCell ref="N1827:N1830"/>
    <mergeCell ref="O1827:O1830"/>
    <mergeCell ref="R1665:R1669"/>
    <mergeCell ref="S1665:S1669"/>
    <mergeCell ref="J1666:J1669"/>
    <mergeCell ref="K1666:K1669"/>
    <mergeCell ref="N1666:N1669"/>
    <mergeCell ref="O1666:O1669"/>
    <mergeCell ref="R1561:R1565"/>
    <mergeCell ref="S1561:S1565"/>
    <mergeCell ref="J1562:J1565"/>
    <mergeCell ref="K1562:K1565"/>
    <mergeCell ref="N1562:N1565"/>
    <mergeCell ref="O1562:O1565"/>
    <mergeCell ref="B1664:Q1664"/>
    <mergeCell ref="Q1665:Q1669"/>
    <mergeCell ref="B1666:B1669"/>
    <mergeCell ref="C1666:C1669"/>
    <mergeCell ref="D1666:D1669"/>
    <mergeCell ref="E1666:E1669"/>
    <mergeCell ref="F1666:F1669"/>
    <mergeCell ref="G1666:G1669"/>
    <mergeCell ref="H1666:H1669"/>
    <mergeCell ref="I1666:I1669"/>
    <mergeCell ref="M1666:M1669"/>
    <mergeCell ref="B1665:O1665"/>
    <mergeCell ref="R1408:R1412"/>
    <mergeCell ref="S1408:S1412"/>
    <mergeCell ref="J1409:J1412"/>
    <mergeCell ref="K1409:K1412"/>
    <mergeCell ref="N1409:N1412"/>
    <mergeCell ref="O1409:O1412"/>
    <mergeCell ref="R588:R592"/>
    <mergeCell ref="S588:S592"/>
    <mergeCell ref="J589:J592"/>
    <mergeCell ref="K589:K592"/>
    <mergeCell ref="N589:N592"/>
    <mergeCell ref="O589:O592"/>
    <mergeCell ref="R429:R433"/>
    <mergeCell ref="S429:S433"/>
    <mergeCell ref="J430:J433"/>
    <mergeCell ref="K430:K433"/>
    <mergeCell ref="N430:N433"/>
    <mergeCell ref="O430:O433"/>
    <mergeCell ref="R322:R326"/>
    <mergeCell ref="S322:S326"/>
    <mergeCell ref="J323:J326"/>
    <mergeCell ref="K323:K326"/>
    <mergeCell ref="N323:N326"/>
    <mergeCell ref="O323:O326"/>
    <mergeCell ref="R215:R219"/>
    <mergeCell ref="S215:S219"/>
    <mergeCell ref="J216:J219"/>
    <mergeCell ref="K216:K219"/>
    <mergeCell ref="N216:N219"/>
    <mergeCell ref="O216:O219"/>
    <mergeCell ref="R109:R113"/>
    <mergeCell ref="S109:S113"/>
    <mergeCell ref="J110:J113"/>
    <mergeCell ref="K110:K113"/>
    <mergeCell ref="N110:N113"/>
    <mergeCell ref="O110:O113"/>
    <mergeCell ref="R68:R72"/>
    <mergeCell ref="S68:S72"/>
    <mergeCell ref="J69:J72"/>
    <mergeCell ref="K69:K72"/>
    <mergeCell ref="N69:N72"/>
    <mergeCell ref="O69:O72"/>
    <mergeCell ref="R4:R8"/>
    <mergeCell ref="S4:S8"/>
    <mergeCell ref="J5:J8"/>
    <mergeCell ref="K5:K8"/>
    <mergeCell ref="N5:N8"/>
    <mergeCell ref="O5:O8"/>
    <mergeCell ref="B67:Q67"/>
    <mergeCell ref="Q68:Q72"/>
    <mergeCell ref="B69:B72"/>
    <mergeCell ref="C69:C72"/>
    <mergeCell ref="D69:D72"/>
    <mergeCell ref="E69:E72"/>
    <mergeCell ref="F69:F72"/>
    <mergeCell ref="G69:G72"/>
    <mergeCell ref="H69:H72"/>
    <mergeCell ref="I69:I72"/>
    <mergeCell ref="M69:M72"/>
    <mergeCell ref="B68:O68"/>
    <mergeCell ref="C1993:H1993"/>
    <mergeCell ref="D1994:H1994"/>
    <mergeCell ref="E1995:H1995"/>
    <mergeCell ref="E2006:H2006"/>
    <mergeCell ref="E2007:H2007"/>
    <mergeCell ref="D1963:H1963"/>
    <mergeCell ref="D1972:H1972"/>
    <mergeCell ref="B1987:Q1987"/>
    <mergeCell ref="Q1988:Q1992"/>
    <mergeCell ref="B1989:B1992"/>
    <mergeCell ref="C1989:C1992"/>
    <mergeCell ref="D1989:D1992"/>
    <mergeCell ref="E1989:E1992"/>
    <mergeCell ref="F1989:F1992"/>
    <mergeCell ref="G1989:G1992"/>
    <mergeCell ref="H1989:H1992"/>
    <mergeCell ref="I1989:I1992"/>
    <mergeCell ref="M1989:M1992"/>
    <mergeCell ref="B1988:O1988"/>
    <mergeCell ref="E1911:H1911"/>
    <mergeCell ref="D1920:H1920"/>
    <mergeCell ref="D1942:H1942"/>
    <mergeCell ref="D1955:H1955"/>
    <mergeCell ref="D1958:H1958"/>
    <mergeCell ref="E1865:H1865"/>
    <mergeCell ref="E1878:H1878"/>
    <mergeCell ref="D1888:H1888"/>
    <mergeCell ref="E1889:H1889"/>
    <mergeCell ref="E1899:H1899"/>
    <mergeCell ref="C1831:H1831"/>
    <mergeCell ref="D1832:H1832"/>
    <mergeCell ref="D1842:H1842"/>
    <mergeCell ref="D1846:H1846"/>
    <mergeCell ref="D1864:H1864"/>
    <mergeCell ref="Q1826:Q1830"/>
    <mergeCell ref="B1827:B1830"/>
    <mergeCell ref="C1827:C1830"/>
    <mergeCell ref="D1827:D1830"/>
    <mergeCell ref="E1827:E1830"/>
    <mergeCell ref="F1827:F1830"/>
    <mergeCell ref="G1827:G1830"/>
    <mergeCell ref="H1827:H1830"/>
    <mergeCell ref="I1827:I1830"/>
    <mergeCell ref="M1827:M1830"/>
    <mergeCell ref="B1826:O1826"/>
    <mergeCell ref="D1732:H1732"/>
    <mergeCell ref="D1758:H1758"/>
    <mergeCell ref="D1762:H1762"/>
    <mergeCell ref="D1769:H1769"/>
    <mergeCell ref="B1825:Q1825"/>
    <mergeCell ref="C1670:H1670"/>
    <mergeCell ref="D1671:H1671"/>
    <mergeCell ref="D1711:H1711"/>
    <mergeCell ref="E1712:H1712"/>
    <mergeCell ref="E1726:H1726"/>
    <mergeCell ref="C1566:H1566"/>
    <mergeCell ref="D1567:H1567"/>
    <mergeCell ref="D1589:H1589"/>
    <mergeCell ref="D1594:H1594"/>
    <mergeCell ref="D1609:H1609"/>
    <mergeCell ref="B1560:Q1560"/>
    <mergeCell ref="Q1561:Q1565"/>
    <mergeCell ref="B1562:B1565"/>
    <mergeCell ref="C1562:C1565"/>
    <mergeCell ref="D1562:D1565"/>
    <mergeCell ref="E1562:E1565"/>
    <mergeCell ref="F1562:F1565"/>
    <mergeCell ref="G1562:G1565"/>
    <mergeCell ref="H1562:H1565"/>
    <mergeCell ref="I1562:I1565"/>
    <mergeCell ref="M1562:M1565"/>
    <mergeCell ref="B1561:O1561"/>
    <mergeCell ref="E1444:H1444"/>
    <mergeCell ref="E1452:H1452"/>
    <mergeCell ref="E1470:H1470"/>
    <mergeCell ref="E1490:H1490"/>
    <mergeCell ref="D1500:H1500"/>
    <mergeCell ref="C1413:H1413"/>
    <mergeCell ref="D1414:H1414"/>
    <mergeCell ref="D1418:H1418"/>
    <mergeCell ref="D1439:H1439"/>
    <mergeCell ref="E1440:H1440"/>
    <mergeCell ref="D1356:H1356"/>
    <mergeCell ref="B1407:Q1407"/>
    <mergeCell ref="Q1408:Q1412"/>
    <mergeCell ref="B1409:B1412"/>
    <mergeCell ref="C1409:C1412"/>
    <mergeCell ref="D1409:D1412"/>
    <mergeCell ref="E1409:E1412"/>
    <mergeCell ref="F1409:F1412"/>
    <mergeCell ref="G1409:G1412"/>
    <mergeCell ref="H1409:H1412"/>
    <mergeCell ref="I1409:I1412"/>
    <mergeCell ref="M1409:M1412"/>
    <mergeCell ref="B1408:O1408"/>
    <mergeCell ref="C593:H593"/>
    <mergeCell ref="D594:H594"/>
    <mergeCell ref="D784:H784"/>
    <mergeCell ref="D994:H994"/>
    <mergeCell ref="D1102:H1102"/>
    <mergeCell ref="D469:H469"/>
    <mergeCell ref="B587:Q587"/>
    <mergeCell ref="Q588:Q592"/>
    <mergeCell ref="B589:B592"/>
    <mergeCell ref="C589:C592"/>
    <mergeCell ref="D589:D592"/>
    <mergeCell ref="E589:E592"/>
    <mergeCell ref="F589:F592"/>
    <mergeCell ref="G589:G592"/>
    <mergeCell ref="H589:H592"/>
    <mergeCell ref="I589:I592"/>
    <mergeCell ref="M589:M592"/>
    <mergeCell ref="B588:O588"/>
    <mergeCell ref="C434:H434"/>
    <mergeCell ref="D435:H435"/>
    <mergeCell ref="D439:H439"/>
    <mergeCell ref="E440:H440"/>
    <mergeCell ref="E459:H459"/>
    <mergeCell ref="D382:H382"/>
    <mergeCell ref="B428:Q428"/>
    <mergeCell ref="Q429:Q433"/>
    <mergeCell ref="B430:B433"/>
    <mergeCell ref="C430:C433"/>
    <mergeCell ref="D430:D433"/>
    <mergeCell ref="E430:E433"/>
    <mergeCell ref="F430:F433"/>
    <mergeCell ref="G430:G433"/>
    <mergeCell ref="H430:H433"/>
    <mergeCell ref="I430:I433"/>
    <mergeCell ref="M430:M433"/>
    <mergeCell ref="B429:O429"/>
    <mergeCell ref="C327:H327"/>
    <mergeCell ref="D328:H328"/>
    <mergeCell ref="D349:H349"/>
    <mergeCell ref="D373:H373"/>
    <mergeCell ref="D379:H379"/>
    <mergeCell ref="D256:H256"/>
    <mergeCell ref="D267:H267"/>
    <mergeCell ref="D282:H282"/>
    <mergeCell ref="B321:Q321"/>
    <mergeCell ref="Q322:Q326"/>
    <mergeCell ref="B323:B326"/>
    <mergeCell ref="C323:C326"/>
    <mergeCell ref="D323:D326"/>
    <mergeCell ref="E323:E326"/>
    <mergeCell ref="F323:F326"/>
    <mergeCell ref="G323:G326"/>
    <mergeCell ref="H323:H326"/>
    <mergeCell ref="I323:I326"/>
    <mergeCell ref="M323:M326"/>
    <mergeCell ref="B322:O322"/>
    <mergeCell ref="C220:H220"/>
    <mergeCell ref="D221:H221"/>
    <mergeCell ref="D226:H226"/>
    <mergeCell ref="D237:H237"/>
    <mergeCell ref="D246:H246"/>
    <mergeCell ref="D186:H186"/>
    <mergeCell ref="D199:H199"/>
    <mergeCell ref="B214:Q214"/>
    <mergeCell ref="Q215:Q219"/>
    <mergeCell ref="B216:B219"/>
    <mergeCell ref="C216:C219"/>
    <mergeCell ref="D216:D219"/>
    <mergeCell ref="E216:E219"/>
    <mergeCell ref="F216:F219"/>
    <mergeCell ref="G216:G219"/>
    <mergeCell ref="H216:H219"/>
    <mergeCell ref="I216:I219"/>
    <mergeCell ref="M216:M219"/>
    <mergeCell ref="B215:O215"/>
    <mergeCell ref="E128:H128"/>
    <mergeCell ref="D134:H134"/>
    <mergeCell ref="D138:H138"/>
    <mergeCell ref="D162:H162"/>
    <mergeCell ref="D181:H181"/>
    <mergeCell ref="C114:H114"/>
    <mergeCell ref="D115:H115"/>
    <mergeCell ref="D118:H118"/>
    <mergeCell ref="E119:H119"/>
    <mergeCell ref="E122:H122"/>
    <mergeCell ref="C73:H73"/>
    <mergeCell ref="D74:H74"/>
    <mergeCell ref="D84:H84"/>
    <mergeCell ref="B108:Q108"/>
    <mergeCell ref="Q109:Q113"/>
    <mergeCell ref="B110:B113"/>
    <mergeCell ref="C110:C113"/>
    <mergeCell ref="D110:D113"/>
    <mergeCell ref="E110:E113"/>
    <mergeCell ref="F110:F113"/>
    <mergeCell ref="G110:G113"/>
    <mergeCell ref="H110:H113"/>
    <mergeCell ref="I110:I113"/>
    <mergeCell ref="M110:M113"/>
    <mergeCell ref="B109:O109"/>
    <mergeCell ref="B3:Q3"/>
    <mergeCell ref="Q4:Q8"/>
    <mergeCell ref="F5:F8"/>
    <mergeCell ref="D30:H30"/>
    <mergeCell ref="I5:I8"/>
    <mergeCell ref="D10:H10"/>
    <mergeCell ref="B5:B8"/>
    <mergeCell ref="C5:C8"/>
    <mergeCell ref="D5:D8"/>
    <mergeCell ref="E18:H18"/>
    <mergeCell ref="E21:H21"/>
    <mergeCell ref="E24:H24"/>
    <mergeCell ref="E5:E8"/>
    <mergeCell ref="C9:H9"/>
    <mergeCell ref="G5:G8"/>
    <mergeCell ref="H5:H8"/>
    <mergeCell ref="M5:M8"/>
    <mergeCell ref="D50:H50"/>
    <mergeCell ref="D52:H52"/>
    <mergeCell ref="D64:H64"/>
    <mergeCell ref="D42:H42"/>
    <mergeCell ref="D53:H53"/>
    <mergeCell ref="D61:H61"/>
    <mergeCell ref="D51:H51"/>
    <mergeCell ref="E11:H11"/>
    <mergeCell ref="B4:O4"/>
  </mergeCells>
  <phoneticPr fontId="1" type="noConversion"/>
  <pageMargins left="0.11811023622047245" right="0.11811023622047245" top="0.15748031496062992" bottom="0.15748031496062992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1:Q49"/>
  <sheetViews>
    <sheetView zoomScale="90" zoomScaleNormal="90" workbookViewId="0"/>
  </sheetViews>
  <sheetFormatPr defaultRowHeight="12.75" x14ac:dyDescent="0.2"/>
  <cols>
    <col min="1" max="1" width="4.85546875" customWidth="1"/>
    <col min="2" max="2" width="3.42578125" customWidth="1"/>
    <col min="3" max="3" width="46.5703125" customWidth="1"/>
    <col min="4" max="4" width="14" style="17" customWidth="1"/>
    <col min="5" max="5" width="12.42578125" style="17" customWidth="1"/>
    <col min="6" max="7" width="14" style="17" customWidth="1"/>
    <col min="8" max="8" width="13.28515625" style="17" customWidth="1"/>
    <col min="9" max="9" width="13" style="17" customWidth="1"/>
    <col min="10" max="10" width="12.28515625" style="17" customWidth="1"/>
    <col min="11" max="11" width="13.28515625" customWidth="1"/>
    <col min="12" max="12" width="14" customWidth="1"/>
    <col min="13" max="14" width="11" bestFit="1" customWidth="1"/>
  </cols>
  <sheetData>
    <row r="1" spans="2:14" ht="8.25" customHeight="1" thickBot="1" x14ac:dyDescent="0.25"/>
    <row r="2" spans="2:14" s="42" customFormat="1" ht="41.25" customHeight="1" thickBot="1" x14ac:dyDescent="0.25">
      <c r="B2" s="505"/>
      <c r="C2" s="506"/>
      <c r="D2" s="272" t="s">
        <v>670</v>
      </c>
      <c r="E2" s="273" t="s">
        <v>668</v>
      </c>
      <c r="F2" s="273" t="s">
        <v>671</v>
      </c>
      <c r="G2" s="272" t="s">
        <v>672</v>
      </c>
      <c r="H2" s="273" t="s">
        <v>668</v>
      </c>
      <c r="I2" s="273" t="s">
        <v>673</v>
      </c>
      <c r="J2" s="272" t="s">
        <v>674</v>
      </c>
      <c r="K2" s="273" t="s">
        <v>668</v>
      </c>
      <c r="L2" s="274" t="s">
        <v>665</v>
      </c>
    </row>
    <row r="3" spans="2:14" ht="5.25" customHeight="1" thickBot="1" x14ac:dyDescent="0.25">
      <c r="D3" s="275"/>
      <c r="E3" s="275"/>
      <c r="F3" s="275"/>
      <c r="G3" s="275"/>
      <c r="H3" s="275"/>
      <c r="I3" s="275"/>
      <c r="J3" s="275"/>
      <c r="K3" s="276"/>
      <c r="L3" s="277"/>
    </row>
    <row r="4" spans="2:14" ht="15.75" x14ac:dyDescent="0.25">
      <c r="B4" s="104">
        <v>1</v>
      </c>
      <c r="C4" s="105" t="s">
        <v>422</v>
      </c>
      <c r="D4" s="103">
        <f>Príjmy!G508</f>
        <v>42387647</v>
      </c>
      <c r="E4" s="103">
        <f>Príjmy!H464</f>
        <v>165922</v>
      </c>
      <c r="F4" s="103">
        <f>D4+E4</f>
        <v>42553569</v>
      </c>
      <c r="G4" s="103">
        <f>Príjmy!G509</f>
        <v>8024464</v>
      </c>
      <c r="H4" s="103">
        <f>Príjmy!H502</f>
        <v>0</v>
      </c>
      <c r="I4" s="103">
        <f>G4+H4</f>
        <v>8024464</v>
      </c>
      <c r="J4" s="103">
        <f t="shared" ref="J4:J17" si="0">G4+D4</f>
        <v>50412111</v>
      </c>
      <c r="K4" s="103">
        <f>H4+E4</f>
        <v>165922</v>
      </c>
      <c r="L4" s="170">
        <f>K4+J4</f>
        <v>50578033</v>
      </c>
    </row>
    <row r="5" spans="2:14" ht="15.75" x14ac:dyDescent="0.25">
      <c r="B5" s="106">
        <v>2</v>
      </c>
      <c r="C5" s="43" t="s">
        <v>423</v>
      </c>
      <c r="D5" s="103">
        <f>SUM(D6:D17)</f>
        <v>40510542</v>
      </c>
      <c r="E5" s="103">
        <f>SUM(E6:E17)</f>
        <v>165922</v>
      </c>
      <c r="F5" s="103">
        <f t="shared" ref="F5" si="1">SUM(F6:F17)</f>
        <v>40676464</v>
      </c>
      <c r="G5" s="103">
        <f>SUM(G6:G17)</f>
        <v>20114349</v>
      </c>
      <c r="H5" s="103">
        <f>SUM(H6:H17)</f>
        <v>0</v>
      </c>
      <c r="I5" s="103">
        <f t="shared" ref="I5" si="2">SUM(I6:I17)</f>
        <v>20114349</v>
      </c>
      <c r="J5" s="103">
        <f t="shared" si="0"/>
        <v>60624891</v>
      </c>
      <c r="K5" s="103">
        <f t="shared" ref="K5:K17" si="3">H5+E5</f>
        <v>165922</v>
      </c>
      <c r="L5" s="170">
        <f t="shared" ref="L5:L20" si="4">K5+J5</f>
        <v>60790813</v>
      </c>
    </row>
    <row r="6" spans="2:14" ht="14.25" x14ac:dyDescent="0.2">
      <c r="B6" s="107">
        <v>3</v>
      </c>
      <c r="C6" s="102" t="s">
        <v>412</v>
      </c>
      <c r="D6" s="41">
        <f>Výdavky!I9</f>
        <v>576458</v>
      </c>
      <c r="E6" s="41">
        <f>Výdavky!J9</f>
        <v>-105</v>
      </c>
      <c r="F6" s="41">
        <f>D6+E6</f>
        <v>576353</v>
      </c>
      <c r="G6" s="41">
        <f>Výdavky!M9</f>
        <v>209697</v>
      </c>
      <c r="H6" s="41">
        <f>Výdavky!N9</f>
        <v>-17000</v>
      </c>
      <c r="I6" s="41">
        <f>G6+H6</f>
        <v>192697</v>
      </c>
      <c r="J6" s="41">
        <f t="shared" si="0"/>
        <v>786155</v>
      </c>
      <c r="K6" s="41">
        <f t="shared" si="3"/>
        <v>-17105</v>
      </c>
      <c r="L6" s="108">
        <f t="shared" si="4"/>
        <v>769050</v>
      </c>
    </row>
    <row r="7" spans="2:14" ht="14.25" x14ac:dyDescent="0.2">
      <c r="B7" s="107">
        <v>4</v>
      </c>
      <c r="C7" s="102" t="s">
        <v>413</v>
      </c>
      <c r="D7" s="41">
        <f>Výdavky!I73</f>
        <v>131120</v>
      </c>
      <c r="E7" s="41">
        <f>Výdavky!J73</f>
        <v>0</v>
      </c>
      <c r="F7" s="41">
        <f t="shared" ref="F7:F17" si="5">D7+E7</f>
        <v>131120</v>
      </c>
      <c r="G7" s="41">
        <f>Výdavky!M73</f>
        <v>0</v>
      </c>
      <c r="H7" s="41">
        <f>Výdavky!N73</f>
        <v>0</v>
      </c>
      <c r="I7" s="41">
        <f t="shared" ref="I7:I17" si="6">G7+H7</f>
        <v>0</v>
      </c>
      <c r="J7" s="41">
        <f t="shared" si="0"/>
        <v>131120</v>
      </c>
      <c r="K7" s="41">
        <f t="shared" si="3"/>
        <v>0</v>
      </c>
      <c r="L7" s="108">
        <f t="shared" si="4"/>
        <v>131120</v>
      </c>
    </row>
    <row r="8" spans="2:14" ht="14.25" x14ac:dyDescent="0.2">
      <c r="B8" s="107">
        <v>5</v>
      </c>
      <c r="C8" s="102" t="s">
        <v>414</v>
      </c>
      <c r="D8" s="41">
        <f>Výdavky!I114</f>
        <v>4406968</v>
      </c>
      <c r="E8" s="41">
        <f>Výdavky!J114</f>
        <v>0</v>
      </c>
      <c r="F8" s="41">
        <f t="shared" si="5"/>
        <v>4406968</v>
      </c>
      <c r="G8" s="41">
        <f>Výdavky!M114</f>
        <v>828453</v>
      </c>
      <c r="H8" s="41">
        <f>Výdavky!N114</f>
        <v>23000</v>
      </c>
      <c r="I8" s="41">
        <f t="shared" si="6"/>
        <v>851453</v>
      </c>
      <c r="J8" s="41">
        <f t="shared" si="0"/>
        <v>5235421</v>
      </c>
      <c r="K8" s="41">
        <f t="shared" si="3"/>
        <v>23000</v>
      </c>
      <c r="L8" s="108">
        <f t="shared" si="4"/>
        <v>5258421</v>
      </c>
    </row>
    <row r="9" spans="2:14" ht="14.25" x14ac:dyDescent="0.2">
      <c r="B9" s="107">
        <v>6</v>
      </c>
      <c r="C9" s="102" t="s">
        <v>415</v>
      </c>
      <c r="D9" s="41">
        <f>Výdavky!I220</f>
        <v>638854</v>
      </c>
      <c r="E9" s="41">
        <f>Výdavky!J220</f>
        <v>0</v>
      </c>
      <c r="F9" s="41">
        <f t="shared" si="5"/>
        <v>638854</v>
      </c>
      <c r="G9" s="41">
        <f>Výdavky!M220</f>
        <v>18000</v>
      </c>
      <c r="H9" s="41">
        <f>Výdavky!N220</f>
        <v>0</v>
      </c>
      <c r="I9" s="41">
        <f t="shared" si="6"/>
        <v>18000</v>
      </c>
      <c r="J9" s="41">
        <f t="shared" si="0"/>
        <v>656854</v>
      </c>
      <c r="K9" s="41">
        <f t="shared" si="3"/>
        <v>0</v>
      </c>
      <c r="L9" s="108">
        <f t="shared" si="4"/>
        <v>656854</v>
      </c>
    </row>
    <row r="10" spans="2:14" ht="14.25" x14ac:dyDescent="0.2">
      <c r="B10" s="107">
        <v>7</v>
      </c>
      <c r="C10" s="102" t="s">
        <v>424</v>
      </c>
      <c r="D10" s="41">
        <f>Výdavky!I327</f>
        <v>1831905</v>
      </c>
      <c r="E10" s="41">
        <f>Výdavky!J327</f>
        <v>0</v>
      </c>
      <c r="F10" s="41">
        <f t="shared" si="5"/>
        <v>1831905</v>
      </c>
      <c r="G10" s="41">
        <f>Výdavky!M327</f>
        <v>128293</v>
      </c>
      <c r="H10" s="41">
        <f>Výdavky!N327</f>
        <v>0</v>
      </c>
      <c r="I10" s="41">
        <f t="shared" si="6"/>
        <v>128293</v>
      </c>
      <c r="J10" s="41">
        <f t="shared" si="0"/>
        <v>1960198</v>
      </c>
      <c r="K10" s="41">
        <f t="shared" si="3"/>
        <v>0</v>
      </c>
      <c r="L10" s="108">
        <f t="shared" si="4"/>
        <v>1960198</v>
      </c>
    </row>
    <row r="11" spans="2:14" ht="14.25" x14ac:dyDescent="0.2">
      <c r="B11" s="107">
        <v>8</v>
      </c>
      <c r="C11" s="102" t="s">
        <v>416</v>
      </c>
      <c r="D11" s="41">
        <f>Výdavky!I434</f>
        <v>4321400</v>
      </c>
      <c r="E11" s="41">
        <f>Výdavky!J434</f>
        <v>0</v>
      </c>
      <c r="F11" s="41">
        <f t="shared" si="5"/>
        <v>4321400</v>
      </c>
      <c r="G11" s="41">
        <f>Výdavky!M434</f>
        <v>7406356</v>
      </c>
      <c r="H11" s="41">
        <f>Výdavky!N434</f>
        <v>-6000</v>
      </c>
      <c r="I11" s="41">
        <f t="shared" si="6"/>
        <v>7400356</v>
      </c>
      <c r="J11" s="41">
        <f t="shared" si="0"/>
        <v>11727756</v>
      </c>
      <c r="K11" s="41">
        <f t="shared" si="3"/>
        <v>-6000</v>
      </c>
      <c r="L11" s="108">
        <f t="shared" si="4"/>
        <v>11721756</v>
      </c>
    </row>
    <row r="12" spans="2:14" ht="14.25" x14ac:dyDescent="0.2">
      <c r="B12" s="107">
        <v>9</v>
      </c>
      <c r="C12" s="102" t="s">
        <v>425</v>
      </c>
      <c r="D12" s="41">
        <f>Výdavky!I593</f>
        <v>18017478</v>
      </c>
      <c r="E12" s="41">
        <f>Výdavky!J593</f>
        <v>166027</v>
      </c>
      <c r="F12" s="41">
        <f t="shared" si="5"/>
        <v>18183505</v>
      </c>
      <c r="G12" s="41">
        <f>Výdavky!M593</f>
        <v>3685444</v>
      </c>
      <c r="H12" s="41">
        <f>Výdavky!N593</f>
        <v>0</v>
      </c>
      <c r="I12" s="41">
        <f t="shared" si="6"/>
        <v>3685444</v>
      </c>
      <c r="J12" s="41">
        <f t="shared" si="0"/>
        <v>21702922</v>
      </c>
      <c r="K12" s="41">
        <f t="shared" si="3"/>
        <v>166027</v>
      </c>
      <c r="L12" s="108">
        <f t="shared" si="4"/>
        <v>21868949</v>
      </c>
    </row>
    <row r="13" spans="2:14" ht="14.25" x14ac:dyDescent="0.2">
      <c r="B13" s="107">
        <v>10</v>
      </c>
      <c r="C13" s="102" t="s">
        <v>417</v>
      </c>
      <c r="D13" s="41">
        <f>Výdavky!I1413</f>
        <v>2272381</v>
      </c>
      <c r="E13" s="41">
        <f>Výdavky!J1413</f>
        <v>0</v>
      </c>
      <c r="F13" s="41">
        <f t="shared" si="5"/>
        <v>2272381</v>
      </c>
      <c r="G13" s="41">
        <f>Výdavky!M1413</f>
        <v>2971550</v>
      </c>
      <c r="H13" s="41">
        <f>Výdavky!N1413</f>
        <v>0</v>
      </c>
      <c r="I13" s="41">
        <f t="shared" si="6"/>
        <v>2971550</v>
      </c>
      <c r="J13" s="41">
        <f t="shared" si="0"/>
        <v>5243931</v>
      </c>
      <c r="K13" s="41">
        <f t="shared" si="3"/>
        <v>0</v>
      </c>
      <c r="L13" s="108">
        <f t="shared" si="4"/>
        <v>5243931</v>
      </c>
    </row>
    <row r="14" spans="2:14" ht="14.25" x14ac:dyDescent="0.2">
      <c r="B14" s="107">
        <v>11</v>
      </c>
      <c r="C14" s="102" t="s">
        <v>418</v>
      </c>
      <c r="D14" s="41">
        <f>Výdavky!I1566</f>
        <v>551620</v>
      </c>
      <c r="E14" s="41">
        <f>Výdavky!J1566</f>
        <v>0</v>
      </c>
      <c r="F14" s="41">
        <f t="shared" si="5"/>
        <v>551620</v>
      </c>
      <c r="G14" s="41">
        <f>Výdavky!M1566</f>
        <v>67320</v>
      </c>
      <c r="H14" s="41">
        <f>Výdavky!N1566</f>
        <v>0</v>
      </c>
      <c r="I14" s="41">
        <f t="shared" si="6"/>
        <v>67320</v>
      </c>
      <c r="J14" s="41">
        <f t="shared" si="0"/>
        <v>618940</v>
      </c>
      <c r="K14" s="41">
        <f t="shared" si="3"/>
        <v>0</v>
      </c>
      <c r="L14" s="108">
        <f t="shared" si="4"/>
        <v>618940</v>
      </c>
    </row>
    <row r="15" spans="2:14" ht="14.25" x14ac:dyDescent="0.2">
      <c r="B15" s="107">
        <v>12</v>
      </c>
      <c r="C15" s="102" t="s">
        <v>419</v>
      </c>
      <c r="D15" s="41">
        <f>Výdavky!I1670</f>
        <v>4122905</v>
      </c>
      <c r="E15" s="41">
        <f>Výdavky!J1670</f>
        <v>0</v>
      </c>
      <c r="F15" s="41">
        <f t="shared" si="5"/>
        <v>4122905</v>
      </c>
      <c r="G15" s="41">
        <f>Výdavky!M1670</f>
        <v>1178161</v>
      </c>
      <c r="H15" s="41">
        <f>Výdavky!N1670</f>
        <v>0</v>
      </c>
      <c r="I15" s="41">
        <f t="shared" si="6"/>
        <v>1178161</v>
      </c>
      <c r="J15" s="41">
        <f t="shared" si="0"/>
        <v>5301066</v>
      </c>
      <c r="K15" s="41">
        <f t="shared" si="3"/>
        <v>0</v>
      </c>
      <c r="L15" s="108">
        <f t="shared" si="4"/>
        <v>5301066</v>
      </c>
    </row>
    <row r="16" spans="2:14" ht="14.25" x14ac:dyDescent="0.2">
      <c r="B16" s="107">
        <v>13</v>
      </c>
      <c r="C16" s="102" t="s">
        <v>420</v>
      </c>
      <c r="D16" s="41">
        <f>Výdavky!I1831</f>
        <v>3357403</v>
      </c>
      <c r="E16" s="41">
        <f>Výdavky!J1831</f>
        <v>0</v>
      </c>
      <c r="F16" s="41">
        <f t="shared" si="5"/>
        <v>3357403</v>
      </c>
      <c r="G16" s="41">
        <f>Výdavky!M1831</f>
        <v>41520</v>
      </c>
      <c r="H16" s="41">
        <f>Výdavky!N1831</f>
        <v>0</v>
      </c>
      <c r="I16" s="41">
        <f t="shared" si="6"/>
        <v>41520</v>
      </c>
      <c r="J16" s="41">
        <f t="shared" si="0"/>
        <v>3398923</v>
      </c>
      <c r="K16" s="41">
        <f t="shared" si="3"/>
        <v>0</v>
      </c>
      <c r="L16" s="108">
        <f t="shared" si="4"/>
        <v>3398923</v>
      </c>
      <c r="N16" s="17"/>
    </row>
    <row r="17" spans="2:14" ht="14.25" x14ac:dyDescent="0.2">
      <c r="B17" s="107">
        <v>14</v>
      </c>
      <c r="C17" s="102" t="s">
        <v>421</v>
      </c>
      <c r="D17" s="41">
        <f>Výdavky!I1993</f>
        <v>282050</v>
      </c>
      <c r="E17" s="41">
        <f>Výdavky!J1993</f>
        <v>0</v>
      </c>
      <c r="F17" s="41">
        <f t="shared" si="5"/>
        <v>282050</v>
      </c>
      <c r="G17" s="41">
        <f>Výdavky!M1993</f>
        <v>3579555</v>
      </c>
      <c r="H17" s="41">
        <f>Výdavky!N1993</f>
        <v>0</v>
      </c>
      <c r="I17" s="41">
        <f t="shared" si="6"/>
        <v>3579555</v>
      </c>
      <c r="J17" s="41">
        <f t="shared" si="0"/>
        <v>3861605</v>
      </c>
      <c r="K17" s="41">
        <f t="shared" si="3"/>
        <v>0</v>
      </c>
      <c r="L17" s="108">
        <f t="shared" si="4"/>
        <v>3861605</v>
      </c>
      <c r="N17" s="17"/>
    </row>
    <row r="18" spans="2:14" s="42" customFormat="1" ht="15" x14ac:dyDescent="0.2">
      <c r="B18" s="133">
        <v>15</v>
      </c>
      <c r="C18" s="139" t="s">
        <v>33</v>
      </c>
      <c r="D18" s="135">
        <f>D4-D5</f>
        <v>1877105</v>
      </c>
      <c r="E18" s="135">
        <f>E4-E5</f>
        <v>0</v>
      </c>
      <c r="F18" s="135">
        <f>D18+E18</f>
        <v>1877105</v>
      </c>
      <c r="G18" s="134"/>
      <c r="H18" s="134"/>
      <c r="I18" s="134"/>
      <c r="J18" s="134"/>
      <c r="K18" s="134"/>
      <c r="L18" s="136">
        <f t="shared" si="4"/>
        <v>0</v>
      </c>
    </row>
    <row r="19" spans="2:14" s="42" customFormat="1" ht="15" x14ac:dyDescent="0.2">
      <c r="B19" s="133">
        <v>16</v>
      </c>
      <c r="C19" s="140" t="s">
        <v>438</v>
      </c>
      <c r="D19" s="134"/>
      <c r="E19" s="134"/>
      <c r="F19" s="134"/>
      <c r="G19" s="135">
        <f>G4-G5</f>
        <v>-12089885</v>
      </c>
      <c r="H19" s="135">
        <f t="shared" ref="H19:I19" si="7">H4-H5</f>
        <v>0</v>
      </c>
      <c r="I19" s="135">
        <f t="shared" si="7"/>
        <v>-12089885</v>
      </c>
      <c r="J19" s="134"/>
      <c r="K19" s="134"/>
      <c r="L19" s="136">
        <f t="shared" si="4"/>
        <v>0</v>
      </c>
    </row>
    <row r="20" spans="2:14" s="42" customFormat="1" ht="15.75" thickBot="1" x14ac:dyDescent="0.25">
      <c r="B20" s="137">
        <v>17</v>
      </c>
      <c r="C20" s="141" t="s">
        <v>439</v>
      </c>
      <c r="D20" s="138"/>
      <c r="E20" s="138"/>
      <c r="F20" s="138"/>
      <c r="G20" s="138"/>
      <c r="H20" s="138"/>
      <c r="I20" s="138"/>
      <c r="J20" s="278">
        <f>J4-J5</f>
        <v>-10212780</v>
      </c>
      <c r="K20" s="278">
        <f t="shared" ref="K20" si="8">K4-K5</f>
        <v>0</v>
      </c>
      <c r="L20" s="171">
        <f t="shared" si="4"/>
        <v>-10212780</v>
      </c>
    </row>
    <row r="21" spans="2:14" ht="8.25" customHeight="1" thickBot="1" x14ac:dyDescent="0.25">
      <c r="B21" s="172"/>
      <c r="C21" s="173"/>
      <c r="D21" s="44"/>
      <c r="E21" s="44"/>
      <c r="F21" s="44"/>
      <c r="G21" s="44"/>
      <c r="H21" s="44"/>
      <c r="I21" s="44"/>
      <c r="J21" s="165"/>
    </row>
    <row r="22" spans="2:14" ht="15.75" thickBot="1" x14ac:dyDescent="0.25">
      <c r="B22" s="510" t="s">
        <v>118</v>
      </c>
      <c r="C22" s="511"/>
      <c r="D22" s="511"/>
      <c r="E22" s="511"/>
      <c r="F22" s="511"/>
      <c r="G22" s="511"/>
      <c r="H22" s="511"/>
      <c r="I22" s="511"/>
      <c r="J22" s="511"/>
      <c r="K22" s="511"/>
      <c r="L22" s="512"/>
    </row>
    <row r="23" spans="2:14" ht="15.75" x14ac:dyDescent="0.25">
      <c r="B23" s="109">
        <v>1</v>
      </c>
      <c r="C23" s="508" t="s">
        <v>34</v>
      </c>
      <c r="D23" s="509"/>
      <c r="E23" s="509"/>
      <c r="F23" s="509"/>
      <c r="G23" s="509"/>
      <c r="H23" s="269"/>
      <c r="I23" s="269"/>
      <c r="J23" s="279">
        <f>SUM(J24:J32)</f>
        <v>13703320</v>
      </c>
      <c r="K23" s="279">
        <f t="shared" ref="K23" si="9">SUM(K24:K32)</f>
        <v>0</v>
      </c>
      <c r="L23" s="280">
        <f>K23+J23</f>
        <v>13703320</v>
      </c>
    </row>
    <row r="24" spans="2:14" x14ac:dyDescent="0.2">
      <c r="B24" s="83">
        <f t="shared" ref="B24:B41" si="10">B23+1</f>
        <v>2</v>
      </c>
      <c r="C24" s="502" t="s">
        <v>355</v>
      </c>
      <c r="D24" s="445"/>
      <c r="E24" s="445"/>
      <c r="F24" s="445"/>
      <c r="G24" s="445"/>
      <c r="H24" s="238"/>
      <c r="I24" s="238"/>
      <c r="J24" s="281">
        <f>1900000+1835100+150000+150000+92200+50160+289035+221000+921418+1111465</f>
        <v>6720378</v>
      </c>
      <c r="K24" s="281"/>
      <c r="L24" s="110">
        <f t="shared" ref="L24:L41" si="11">K24+J24</f>
        <v>6720378</v>
      </c>
      <c r="M24" s="17"/>
    </row>
    <row r="25" spans="2:14" x14ac:dyDescent="0.2">
      <c r="B25" s="83">
        <f t="shared" si="10"/>
        <v>3</v>
      </c>
      <c r="C25" s="205" t="s">
        <v>595</v>
      </c>
      <c r="D25" s="204"/>
      <c r="E25" s="238"/>
      <c r="F25" s="238"/>
      <c r="G25" s="204"/>
      <c r="H25" s="238"/>
      <c r="I25" s="238"/>
      <c r="J25" s="281">
        <f>96850+7000</f>
        <v>103850</v>
      </c>
      <c r="K25" s="281"/>
      <c r="L25" s="110">
        <f t="shared" si="11"/>
        <v>103850</v>
      </c>
      <c r="M25" s="17"/>
    </row>
    <row r="26" spans="2:14" x14ac:dyDescent="0.2">
      <c r="B26" s="83">
        <f t="shared" si="10"/>
        <v>4</v>
      </c>
      <c r="C26" s="502" t="s">
        <v>356</v>
      </c>
      <c r="D26" s="445"/>
      <c r="E26" s="445"/>
      <c r="F26" s="445"/>
      <c r="G26" s="445"/>
      <c r="H26" s="238"/>
      <c r="I26" s="238"/>
      <c r="J26" s="282">
        <f>540255+20036</f>
        <v>560291</v>
      </c>
      <c r="K26" s="282"/>
      <c r="L26" s="110">
        <f t="shared" si="11"/>
        <v>560291</v>
      </c>
    </row>
    <row r="27" spans="2:14" x14ac:dyDescent="0.2">
      <c r="B27" s="83">
        <f t="shared" si="10"/>
        <v>5</v>
      </c>
      <c r="C27" s="502" t="s">
        <v>357</v>
      </c>
      <c r="D27" s="445"/>
      <c r="E27" s="445"/>
      <c r="F27" s="445"/>
      <c r="G27" s="445"/>
      <c r="H27" s="238"/>
      <c r="I27" s="238"/>
      <c r="J27" s="281">
        <f>4360000-150000-1000000</f>
        <v>3210000</v>
      </c>
      <c r="K27" s="281"/>
      <c r="L27" s="110">
        <f t="shared" si="11"/>
        <v>3210000</v>
      </c>
    </row>
    <row r="28" spans="2:14" x14ac:dyDescent="0.2">
      <c r="B28" s="83">
        <f t="shared" si="10"/>
        <v>6</v>
      </c>
      <c r="C28" s="502" t="s">
        <v>358</v>
      </c>
      <c r="D28" s="445"/>
      <c r="E28" s="445"/>
      <c r="F28" s="445"/>
      <c r="G28" s="445"/>
      <c r="H28" s="238"/>
      <c r="I28" s="238"/>
      <c r="J28" s="281">
        <v>1529840</v>
      </c>
      <c r="K28" s="281"/>
      <c r="L28" s="110">
        <f t="shared" si="11"/>
        <v>1529840</v>
      </c>
    </row>
    <row r="29" spans="2:14" x14ac:dyDescent="0.2">
      <c r="B29" s="83">
        <f t="shared" si="10"/>
        <v>7</v>
      </c>
      <c r="C29" s="502" t="s">
        <v>531</v>
      </c>
      <c r="D29" s="445"/>
      <c r="E29" s="445"/>
      <c r="F29" s="445"/>
      <c r="G29" s="445"/>
      <c r="H29" s="238"/>
      <c r="I29" s="238"/>
      <c r="J29" s="281">
        <v>770210</v>
      </c>
      <c r="K29" s="281"/>
      <c r="L29" s="110">
        <f t="shared" si="11"/>
        <v>770210</v>
      </c>
    </row>
    <row r="30" spans="2:14" x14ac:dyDescent="0.2">
      <c r="B30" s="83">
        <f t="shared" si="10"/>
        <v>8</v>
      </c>
      <c r="C30" s="57" t="s">
        <v>395</v>
      </c>
      <c r="D30" s="56"/>
      <c r="E30" s="238"/>
      <c r="F30" s="238"/>
      <c r="G30" s="56"/>
      <c r="H30" s="238"/>
      <c r="I30" s="238"/>
      <c r="J30" s="281">
        <v>400000</v>
      </c>
      <c r="K30" s="281"/>
      <c r="L30" s="110">
        <f t="shared" si="11"/>
        <v>400000</v>
      </c>
    </row>
    <row r="31" spans="2:14" x14ac:dyDescent="0.2">
      <c r="B31" s="83">
        <f t="shared" si="10"/>
        <v>9</v>
      </c>
      <c r="C31" s="203" t="s">
        <v>571</v>
      </c>
      <c r="D31" s="202"/>
      <c r="E31" s="238"/>
      <c r="F31" s="238"/>
      <c r="G31" s="202"/>
      <c r="H31" s="238"/>
      <c r="I31" s="238"/>
      <c r="J31" s="281">
        <v>2300</v>
      </c>
      <c r="K31" s="281"/>
      <c r="L31" s="110">
        <f t="shared" si="11"/>
        <v>2300</v>
      </c>
    </row>
    <row r="32" spans="2:14" x14ac:dyDescent="0.2">
      <c r="B32" s="83">
        <f t="shared" si="10"/>
        <v>10</v>
      </c>
      <c r="C32" s="203" t="s">
        <v>572</v>
      </c>
      <c r="D32" s="202"/>
      <c r="E32" s="238"/>
      <c r="F32" s="238"/>
      <c r="G32" s="202"/>
      <c r="H32" s="238"/>
      <c r="I32" s="238"/>
      <c r="J32" s="281">
        <v>406451</v>
      </c>
      <c r="K32" s="281"/>
      <c r="L32" s="110">
        <f t="shared" si="11"/>
        <v>406451</v>
      </c>
    </row>
    <row r="33" spans="2:17" ht="15.75" x14ac:dyDescent="0.25">
      <c r="B33" s="83">
        <f t="shared" si="10"/>
        <v>11</v>
      </c>
      <c r="C33" s="507" t="s">
        <v>35</v>
      </c>
      <c r="D33" s="445"/>
      <c r="E33" s="445"/>
      <c r="F33" s="445"/>
      <c r="G33" s="445"/>
      <c r="H33" s="270"/>
      <c r="I33" s="270"/>
      <c r="J33" s="283">
        <f>SUM(J34:J40)</f>
        <v>3490540</v>
      </c>
      <c r="K33" s="283">
        <f t="shared" ref="K33" si="12">SUM(K34:K40)</f>
        <v>0</v>
      </c>
      <c r="L33" s="119">
        <f t="shared" si="11"/>
        <v>3490540</v>
      </c>
      <c r="M33" s="17"/>
    </row>
    <row r="34" spans="2:17" x14ac:dyDescent="0.2">
      <c r="B34" s="83">
        <f t="shared" si="10"/>
        <v>12</v>
      </c>
      <c r="C34" s="502" t="s">
        <v>426</v>
      </c>
      <c r="D34" s="445"/>
      <c r="E34" s="445"/>
      <c r="F34" s="445"/>
      <c r="G34" s="445"/>
      <c r="H34" s="238"/>
      <c r="I34" s="238"/>
      <c r="J34" s="281">
        <v>1883000</v>
      </c>
      <c r="K34" s="281"/>
      <c r="L34" s="110">
        <f t="shared" si="11"/>
        <v>1883000</v>
      </c>
      <c r="M34" s="17"/>
    </row>
    <row r="35" spans="2:17" x14ac:dyDescent="0.2">
      <c r="B35" s="83">
        <f t="shared" si="10"/>
        <v>13</v>
      </c>
      <c r="C35" s="502" t="s">
        <v>427</v>
      </c>
      <c r="D35" s="445"/>
      <c r="E35" s="445"/>
      <c r="F35" s="445"/>
      <c r="G35" s="445"/>
      <c r="H35" s="238"/>
      <c r="I35" s="238"/>
      <c r="J35" s="281">
        <v>925000</v>
      </c>
      <c r="K35" s="281"/>
      <c r="L35" s="110">
        <f t="shared" si="11"/>
        <v>925000</v>
      </c>
    </row>
    <row r="36" spans="2:17" x14ac:dyDescent="0.2">
      <c r="B36" s="83">
        <f t="shared" si="10"/>
        <v>14</v>
      </c>
      <c r="C36" s="502" t="s">
        <v>428</v>
      </c>
      <c r="D36" s="445"/>
      <c r="E36" s="445"/>
      <c r="F36" s="445"/>
      <c r="G36" s="445"/>
      <c r="H36" s="238"/>
      <c r="I36" s="238"/>
      <c r="J36" s="281">
        <f>58700+126000</f>
        <v>184700</v>
      </c>
      <c r="K36" s="281"/>
      <c r="L36" s="110">
        <f t="shared" si="11"/>
        <v>184700</v>
      </c>
    </row>
    <row r="37" spans="2:17" x14ac:dyDescent="0.2">
      <c r="B37" s="83">
        <f t="shared" si="10"/>
        <v>15</v>
      </c>
      <c r="C37" s="502" t="s">
        <v>429</v>
      </c>
      <c r="D37" s="445"/>
      <c r="E37" s="445"/>
      <c r="F37" s="445"/>
      <c r="G37" s="445"/>
      <c r="H37" s="238"/>
      <c r="I37" s="238"/>
      <c r="J37" s="281">
        <v>25000</v>
      </c>
      <c r="K37" s="281"/>
      <c r="L37" s="110">
        <f t="shared" si="11"/>
        <v>25000</v>
      </c>
    </row>
    <row r="38" spans="2:17" x14ac:dyDescent="0.2">
      <c r="B38" s="83">
        <f t="shared" si="10"/>
        <v>16</v>
      </c>
      <c r="C38" s="502" t="s">
        <v>533</v>
      </c>
      <c r="D38" s="445"/>
      <c r="E38" s="445"/>
      <c r="F38" s="445"/>
      <c r="G38" s="445"/>
      <c r="H38" s="238"/>
      <c r="I38" s="238"/>
      <c r="J38" s="281">
        <v>60000</v>
      </c>
      <c r="K38" s="281"/>
      <c r="L38" s="110">
        <f t="shared" si="11"/>
        <v>60000</v>
      </c>
    </row>
    <row r="39" spans="2:17" x14ac:dyDescent="0.2">
      <c r="B39" s="83">
        <f t="shared" si="10"/>
        <v>17</v>
      </c>
      <c r="C39" s="502" t="s">
        <v>532</v>
      </c>
      <c r="D39" s="445"/>
      <c r="E39" s="445"/>
      <c r="F39" s="445"/>
      <c r="G39" s="445"/>
      <c r="H39" s="241"/>
      <c r="I39" s="241"/>
      <c r="J39" s="281">
        <v>12840</v>
      </c>
      <c r="K39" s="281"/>
      <c r="L39" s="110">
        <f t="shared" si="11"/>
        <v>12840</v>
      </c>
    </row>
    <row r="40" spans="2:17" ht="13.5" thickBot="1" x14ac:dyDescent="0.25">
      <c r="B40" s="83">
        <f t="shared" si="10"/>
        <v>18</v>
      </c>
      <c r="C40" s="58" t="s">
        <v>396</v>
      </c>
      <c r="D40" s="59"/>
      <c r="E40" s="241"/>
      <c r="F40" s="241"/>
      <c r="G40" s="59"/>
      <c r="H40" s="241"/>
      <c r="I40" s="241"/>
      <c r="J40" s="284">
        <v>400000</v>
      </c>
      <c r="K40" s="284"/>
      <c r="L40" s="110">
        <f t="shared" si="11"/>
        <v>400000</v>
      </c>
    </row>
    <row r="41" spans="2:17" ht="17.25" thickTop="1" thickBot="1" x14ac:dyDescent="0.3">
      <c r="B41" s="89">
        <f t="shared" si="10"/>
        <v>19</v>
      </c>
      <c r="C41" s="503" t="s">
        <v>36</v>
      </c>
      <c r="D41" s="504"/>
      <c r="E41" s="504"/>
      <c r="F41" s="504"/>
      <c r="G41" s="504"/>
      <c r="H41" s="271"/>
      <c r="I41" s="271"/>
      <c r="J41" s="285">
        <f>J4-J5+J23-J33</f>
        <v>0</v>
      </c>
      <c r="K41" s="285">
        <f t="shared" ref="K41" si="13">K4-K5+K23-K33</f>
        <v>0</v>
      </c>
      <c r="L41" s="286">
        <f t="shared" si="11"/>
        <v>0</v>
      </c>
      <c r="Q41" s="17"/>
    </row>
    <row r="43" spans="2:17" ht="42.75" customHeight="1" x14ac:dyDescent="0.2">
      <c r="B43" s="500" t="s">
        <v>497</v>
      </c>
      <c r="C43" s="500"/>
      <c r="D43" s="500"/>
      <c r="E43" s="500"/>
      <c r="F43" s="500"/>
      <c r="G43" s="500"/>
      <c r="H43" s="500"/>
      <c r="I43" s="500"/>
      <c r="J43" s="500"/>
      <c r="K43" s="500"/>
      <c r="L43" s="500"/>
    </row>
    <row r="44" spans="2:17" ht="27" customHeight="1" x14ac:dyDescent="0.2">
      <c r="B44" s="501" t="s">
        <v>504</v>
      </c>
      <c r="C44" s="501"/>
      <c r="D44" s="501"/>
      <c r="E44" s="501"/>
      <c r="F44" s="501"/>
      <c r="G44" s="501"/>
      <c r="H44" s="501"/>
      <c r="I44" s="501"/>
      <c r="J44" s="501"/>
      <c r="K44" s="501"/>
      <c r="L44" s="501"/>
    </row>
    <row r="45" spans="2:17" x14ac:dyDescent="0.2">
      <c r="C45" s="160"/>
      <c r="D45" s="160"/>
      <c r="E45" s="160"/>
      <c r="F45" s="160"/>
      <c r="G45" s="161"/>
      <c r="H45" s="161"/>
      <c r="I45" s="161"/>
      <c r="J45"/>
    </row>
    <row r="46" spans="2:17" x14ac:dyDescent="0.2">
      <c r="J46"/>
    </row>
    <row r="47" spans="2:17" x14ac:dyDescent="0.2">
      <c r="J47"/>
    </row>
    <row r="48" spans="2:17" x14ac:dyDescent="0.2">
      <c r="J48"/>
    </row>
    <row r="49" spans="10:10" x14ac:dyDescent="0.2">
      <c r="J49"/>
    </row>
  </sheetData>
  <mergeCells count="18">
    <mergeCell ref="B2:C2"/>
    <mergeCell ref="C28:G28"/>
    <mergeCell ref="C33:G33"/>
    <mergeCell ref="C23:G23"/>
    <mergeCell ref="C24:G24"/>
    <mergeCell ref="B22:L22"/>
    <mergeCell ref="C29:G29"/>
    <mergeCell ref="C34:G34"/>
    <mergeCell ref="C26:G26"/>
    <mergeCell ref="C27:G27"/>
    <mergeCell ref="C35:G35"/>
    <mergeCell ref="C36:G36"/>
    <mergeCell ref="B43:L43"/>
    <mergeCell ref="B44:L44"/>
    <mergeCell ref="C37:G37"/>
    <mergeCell ref="C38:G38"/>
    <mergeCell ref="C41:G41"/>
    <mergeCell ref="C39:G39"/>
  </mergeCells>
  <phoneticPr fontId="1" type="noConversion"/>
  <pageMargins left="0.35433070866141736" right="0.19685039370078741" top="0.19685039370078741" bottom="0.19685039370078741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Príjmy</vt:lpstr>
      <vt:lpstr>Výdavky</vt:lpstr>
      <vt:lpstr>Sumarizácia</vt:lpstr>
      <vt:lpstr>Sumarizácia!Oblasť_tlače</vt:lpstr>
      <vt:lpstr>Výdavky!Oblasť_tlače</vt:lpstr>
    </vt:vector>
  </TitlesOfParts>
  <Company>corageo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masarik.daniel</dc:creator>
  <cp:lastModifiedBy>Ing. Andrea Prnová Žilková</cp:lastModifiedBy>
  <cp:lastPrinted>2019-01-08T09:47:38Z</cp:lastPrinted>
  <dcterms:created xsi:type="dcterms:W3CDTF">2014-05-27T11:25:41Z</dcterms:created>
  <dcterms:modified xsi:type="dcterms:W3CDTF">2019-01-28T13:55:37Z</dcterms:modified>
</cp:coreProperties>
</file>