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2018\Zmeny rozpočtu\Zmena rozpočtu 26092018\"/>
    </mc:Choice>
  </mc:AlternateContent>
  <bookViews>
    <workbookView xWindow="0" yWindow="0" windowWidth="19440" windowHeight="11925" tabRatio="806"/>
  </bookViews>
  <sheets>
    <sheet name="Príjmy" sheetId="13" r:id="rId1"/>
    <sheet name="Výdavky" sheetId="14" r:id="rId2"/>
    <sheet name="Sumarizácia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Príjmy!$B$1:$I$482</definedName>
    <definedName name="_xlnm.Print_Area" localSheetId="2">Sumarizácia!$B$2:$L$44</definedName>
    <definedName name="_xlnm.Print_Area" localSheetId="1">Výdavky!$B$3:$S$2064</definedName>
  </definedNames>
  <calcPr calcId="152511"/>
</workbook>
</file>

<file path=xl/calcChain.xml><?xml version="1.0" encoding="utf-8"?>
<calcChain xmlns="http://schemas.openxmlformats.org/spreadsheetml/2006/main">
  <c r="J995" i="14" l="1"/>
  <c r="J928" i="14"/>
  <c r="R852" i="14" l="1"/>
  <c r="Q852" i="14"/>
  <c r="O852" i="14"/>
  <c r="S852" i="14" s="1"/>
  <c r="R851" i="14"/>
  <c r="Q851" i="14"/>
  <c r="O851" i="14"/>
  <c r="S851" i="14" s="1"/>
  <c r="N840" i="14"/>
  <c r="N848" i="14"/>
  <c r="N849" i="14"/>
  <c r="N851" i="14"/>
  <c r="B842" i="14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R850" i="14"/>
  <c r="O850" i="14"/>
  <c r="Q850" i="14"/>
  <c r="K850" i="14"/>
  <c r="M849" i="14"/>
  <c r="Q849" i="14" s="1"/>
  <c r="K849" i="14"/>
  <c r="K848" i="14"/>
  <c r="N1620" i="14"/>
  <c r="R1620" i="14" s="1"/>
  <c r="M1620" i="14"/>
  <c r="R1622" i="14"/>
  <c r="Q1622" i="14"/>
  <c r="O1622" i="14"/>
  <c r="K1622" i="14"/>
  <c r="R1621" i="14"/>
  <c r="Q1621" i="14"/>
  <c r="O1621" i="14"/>
  <c r="K1621" i="14"/>
  <c r="Q1620" i="14"/>
  <c r="K1620" i="14"/>
  <c r="O602" i="14"/>
  <c r="S602" i="14" s="1"/>
  <c r="Q602" i="14"/>
  <c r="R602" i="14"/>
  <c r="O599" i="14"/>
  <c r="S599" i="14" s="1"/>
  <c r="Q599" i="14"/>
  <c r="M577" i="14"/>
  <c r="R578" i="14"/>
  <c r="Q578" i="14"/>
  <c r="O578" i="14"/>
  <c r="S578" i="14" s="1"/>
  <c r="Q577" i="14"/>
  <c r="R1821" i="14"/>
  <c r="Q1821" i="14"/>
  <c r="O1821" i="14"/>
  <c r="K1821" i="14"/>
  <c r="Q1820" i="14"/>
  <c r="N1820" i="14"/>
  <c r="R1820" i="14" s="1"/>
  <c r="K1820" i="14"/>
  <c r="R1752" i="14"/>
  <c r="Q1752" i="14"/>
  <c r="O1752" i="14"/>
  <c r="S1752" i="14" s="1"/>
  <c r="N1751" i="14"/>
  <c r="O1751" i="14" s="1"/>
  <c r="Q1751" i="14"/>
  <c r="K1751" i="14"/>
  <c r="N47" i="14"/>
  <c r="H455" i="13"/>
  <c r="B460" i="13"/>
  <c r="B461" i="13" s="1"/>
  <c r="B462" i="13" s="1"/>
  <c r="B463" i="13" s="1"/>
  <c r="B464" i="13" s="1"/>
  <c r="B465" i="13" s="1"/>
  <c r="B466" i="13" s="1"/>
  <c r="B467" i="13" s="1"/>
  <c r="B468" i="13" s="1"/>
  <c r="B469" i="13" s="1"/>
  <c r="B470" i="13" s="1"/>
  <c r="B471" i="13" s="1"/>
  <c r="B472" i="13" s="1"/>
  <c r="B473" i="13" s="1"/>
  <c r="I469" i="13"/>
  <c r="I463" i="13"/>
  <c r="I464" i="13"/>
  <c r="I465" i="13"/>
  <c r="I466" i="13"/>
  <c r="I467" i="13"/>
  <c r="I468" i="13"/>
  <c r="I470" i="13"/>
  <c r="I396" i="13"/>
  <c r="I397" i="13"/>
  <c r="I398" i="13"/>
  <c r="I399" i="13"/>
  <c r="I400" i="13"/>
  <c r="I401" i="13"/>
  <c r="H389" i="13"/>
  <c r="M631" i="14"/>
  <c r="M611" i="14"/>
  <c r="M1911" i="14"/>
  <c r="M638" i="14"/>
  <c r="M647" i="14"/>
  <c r="M656" i="14"/>
  <c r="M651" i="14"/>
  <c r="M645" i="14"/>
  <c r="I569" i="14"/>
  <c r="I568" i="14"/>
  <c r="I29" i="14"/>
  <c r="O1708" i="14"/>
  <c r="R1708" i="14"/>
  <c r="K1708" i="14"/>
  <c r="Q1708" i="14"/>
  <c r="I1713" i="14"/>
  <c r="I387" i="13"/>
  <c r="S850" i="14" l="1"/>
  <c r="R849" i="14"/>
  <c r="R848" i="14"/>
  <c r="S1821" i="14"/>
  <c r="M848" i="14"/>
  <c r="O849" i="14"/>
  <c r="S849" i="14" s="1"/>
  <c r="S1622" i="14"/>
  <c r="S1621" i="14"/>
  <c r="O1620" i="14"/>
  <c r="S1620" i="14" s="1"/>
  <c r="O1820" i="14"/>
  <c r="S1820" i="14" s="1"/>
  <c r="S1708" i="14"/>
  <c r="R1751" i="14"/>
  <c r="S1751" i="14"/>
  <c r="K917" i="14"/>
  <c r="O917" i="14"/>
  <c r="Q917" i="14"/>
  <c r="R917" i="14"/>
  <c r="K1088" i="14"/>
  <c r="O1088" i="14"/>
  <c r="Q1088" i="14"/>
  <c r="R1088" i="14"/>
  <c r="O1045" i="14"/>
  <c r="Q1045" i="14"/>
  <c r="R1045" i="14"/>
  <c r="K1045" i="14"/>
  <c r="O1066" i="14"/>
  <c r="Q1066" i="14"/>
  <c r="R1066" i="14"/>
  <c r="K1066" i="14"/>
  <c r="J1015" i="14"/>
  <c r="J1014" i="14"/>
  <c r="K1020" i="14"/>
  <c r="O1020" i="14"/>
  <c r="S1020" i="14" s="1"/>
  <c r="Q1020" i="14"/>
  <c r="R1020" i="14"/>
  <c r="K995" i="14"/>
  <c r="O995" i="14"/>
  <c r="Q995" i="14"/>
  <c r="R995" i="14"/>
  <c r="K950" i="14"/>
  <c r="O950" i="14"/>
  <c r="S950" i="14" s="1"/>
  <c r="Q950" i="14"/>
  <c r="R950" i="14"/>
  <c r="R817" i="14"/>
  <c r="Q817" i="14"/>
  <c r="O817" i="14"/>
  <c r="K817" i="14"/>
  <c r="N816" i="14"/>
  <c r="N815" i="14" s="1"/>
  <c r="R815" i="14" s="1"/>
  <c r="M816" i="14"/>
  <c r="Q816" i="14" s="1"/>
  <c r="K816" i="14"/>
  <c r="K815" i="14"/>
  <c r="O848" i="14" l="1"/>
  <c r="S848" i="14" s="1"/>
  <c r="Q848" i="14"/>
  <c r="S995" i="14"/>
  <c r="S1066" i="14"/>
  <c r="S1045" i="14"/>
  <c r="S1088" i="14"/>
  <c r="S917" i="14"/>
  <c r="N806" i="14"/>
  <c r="S817" i="14"/>
  <c r="R816" i="14"/>
  <c r="O816" i="14"/>
  <c r="S816" i="14" s="1"/>
  <c r="M815" i="14"/>
  <c r="O815" i="14" l="1"/>
  <c r="S815" i="14" s="1"/>
  <c r="Q815" i="14"/>
  <c r="K2060" i="14" l="1"/>
  <c r="K2059" i="14"/>
  <c r="K2058" i="14"/>
  <c r="K2057" i="14"/>
  <c r="K2051" i="14"/>
  <c r="K2050" i="14"/>
  <c r="K2049" i="14"/>
  <c r="K2045" i="14"/>
  <c r="O1811" i="14"/>
  <c r="Q1811" i="14"/>
  <c r="R1811" i="14"/>
  <c r="N1554" i="14"/>
  <c r="Q1119" i="14"/>
  <c r="R1119" i="14"/>
  <c r="Q558" i="14"/>
  <c r="R558" i="14"/>
  <c r="N205" i="14"/>
  <c r="R1819" i="14" l="1"/>
  <c r="Q1819" i="14"/>
  <c r="O1819" i="14"/>
  <c r="K1819" i="14"/>
  <c r="K1818" i="14"/>
  <c r="S1819" i="14" l="1"/>
  <c r="Q1818" i="14"/>
  <c r="I395" i="13" l="1"/>
  <c r="J725" i="14"/>
  <c r="J1808" i="14" l="1"/>
  <c r="K1811" i="14"/>
  <c r="S1811" i="14" s="1"/>
  <c r="K2017" i="14"/>
  <c r="O2017" i="14"/>
  <c r="S2017" i="14" s="1"/>
  <c r="Q2017" i="14"/>
  <c r="R2017" i="14"/>
  <c r="J1944" i="14"/>
  <c r="J1940" i="14"/>
  <c r="O1908" i="14"/>
  <c r="I1908" i="14"/>
  <c r="Q1908" i="14" s="1"/>
  <c r="K1908" i="14" l="1"/>
  <c r="S1908" i="14" s="1"/>
  <c r="R1908" i="14"/>
  <c r="K558" i="14"/>
  <c r="S558" i="14" s="1"/>
  <c r="K1119" i="14"/>
  <c r="S1119" i="14" s="1"/>
  <c r="K1481" i="14" l="1"/>
  <c r="K1479" i="14"/>
  <c r="K1478" i="14"/>
  <c r="K1477" i="14"/>
  <c r="K1476" i="14"/>
  <c r="K1475" i="14"/>
  <c r="K1473" i="14"/>
  <c r="K1470" i="14"/>
  <c r="K1469" i="14"/>
  <c r="K1468" i="14"/>
  <c r="K1467" i="14"/>
  <c r="K1466" i="14"/>
  <c r="K1464" i="14"/>
  <c r="K1462" i="14"/>
  <c r="K1461" i="14"/>
  <c r="K1459" i="14"/>
  <c r="K1457" i="14"/>
  <c r="K1451" i="14"/>
  <c r="K1450" i="14"/>
  <c r="K1449" i="14"/>
  <c r="K1447" i="14"/>
  <c r="K1446" i="14"/>
  <c r="K1444" i="14"/>
  <c r="K1443" i="14"/>
  <c r="K1442" i="14"/>
  <c r="K1441" i="14"/>
  <c r="K1440" i="14"/>
  <c r="K1439" i="14"/>
  <c r="K1437" i="14"/>
  <c r="K1436" i="14"/>
  <c r="K1434" i="14"/>
  <c r="K1433" i="14"/>
  <c r="K1432" i="14"/>
  <c r="K1431" i="14"/>
  <c r="K1430" i="14"/>
  <c r="K1429" i="14"/>
  <c r="K1428" i="14"/>
  <c r="K1427" i="14"/>
  <c r="K1426" i="14"/>
  <c r="K1424" i="14"/>
  <c r="K1423" i="14"/>
  <c r="K1422" i="14"/>
  <c r="K1421" i="14"/>
  <c r="K1420" i="14"/>
  <c r="K1419" i="14"/>
  <c r="K1418" i="14"/>
  <c r="K1416" i="14"/>
  <c r="K1415" i="14"/>
  <c r="K1413" i="14"/>
  <c r="K1412" i="14"/>
  <c r="K1411" i="14"/>
  <c r="K1410" i="14"/>
  <c r="K1409" i="14"/>
  <c r="K1408" i="14"/>
  <c r="K1404" i="14"/>
  <c r="K1403" i="14"/>
  <c r="K1402" i="14"/>
  <c r="K1401" i="14"/>
  <c r="K1400" i="14"/>
  <c r="K1399" i="14"/>
  <c r="K1394" i="14"/>
  <c r="K1393" i="14"/>
  <c r="K1391" i="14"/>
  <c r="K1386" i="14"/>
  <c r="K1385" i="14"/>
  <c r="K1383" i="14"/>
  <c r="K1377" i="14"/>
  <c r="K1376" i="14"/>
  <c r="K1375" i="14"/>
  <c r="K1373" i="14"/>
  <c r="K1371" i="14"/>
  <c r="K1367" i="14"/>
  <c r="K1366" i="14"/>
  <c r="K1364" i="14"/>
  <c r="K1359" i="14"/>
  <c r="K1357" i="14"/>
  <c r="K1354" i="14"/>
  <c r="K1353" i="14"/>
  <c r="K1352" i="14"/>
  <c r="K1350" i="14"/>
  <c r="K1348" i="14"/>
  <c r="K1347" i="14"/>
  <c r="K1346" i="14"/>
  <c r="K1345" i="14"/>
  <c r="K1344" i="14"/>
  <c r="K1343" i="14"/>
  <c r="K1342" i="14"/>
  <c r="K1337" i="14"/>
  <c r="K1336" i="14"/>
  <c r="K1335" i="14"/>
  <c r="K1333" i="14"/>
  <c r="K1331" i="14"/>
  <c r="K1330" i="14"/>
  <c r="K1329" i="14"/>
  <c r="K1328" i="14"/>
  <c r="K1327" i="14"/>
  <c r="K1326" i="14"/>
  <c r="K1325" i="14"/>
  <c r="K1323" i="14"/>
  <c r="K1322" i="14"/>
  <c r="K1320" i="14"/>
  <c r="K1319" i="14"/>
  <c r="K1318" i="14"/>
  <c r="K1317" i="14"/>
  <c r="K1316" i="14"/>
  <c r="K1315" i="14"/>
  <c r="K1314" i="14"/>
  <c r="K1312" i="14"/>
  <c r="K1311" i="14"/>
  <c r="K1309" i="14"/>
  <c r="K1308" i="14"/>
  <c r="K1307" i="14"/>
  <c r="K1305" i="14"/>
  <c r="K1304" i="14"/>
  <c r="K1302" i="14"/>
  <c r="K1301" i="14"/>
  <c r="K1300" i="14"/>
  <c r="K1298" i="14"/>
  <c r="K1297" i="14"/>
  <c r="K1295" i="14"/>
  <c r="K1294" i="14"/>
  <c r="K1293" i="14"/>
  <c r="K1292" i="14"/>
  <c r="K1291" i="14"/>
  <c r="K1290" i="14"/>
  <c r="K1288" i="14"/>
  <c r="K1287" i="14"/>
  <c r="K1286" i="14"/>
  <c r="K1284" i="14"/>
  <c r="K1283" i="14"/>
  <c r="K1281" i="14"/>
  <c r="K1280" i="14"/>
  <c r="K1279" i="14"/>
  <c r="K1278" i="14"/>
  <c r="K1276" i="14"/>
  <c r="K1275" i="14"/>
  <c r="K1273" i="14"/>
  <c r="K1272" i="14"/>
  <c r="K1271" i="14"/>
  <c r="K1269" i="14"/>
  <c r="K1268" i="14"/>
  <c r="K1266" i="14"/>
  <c r="K1262" i="14"/>
  <c r="K1261" i="14"/>
  <c r="K1259" i="14"/>
  <c r="K1258" i="14"/>
  <c r="K1257" i="14"/>
  <c r="K1256" i="14"/>
  <c r="K1254" i="14"/>
  <c r="K1253" i="14"/>
  <c r="K1251" i="14"/>
  <c r="K1250" i="14"/>
  <c r="K1249" i="14"/>
  <c r="K1247" i="14"/>
  <c r="K1246" i="14"/>
  <c r="K1244" i="14"/>
  <c r="K1243" i="14"/>
  <c r="K1242" i="14"/>
  <c r="K1240" i="14"/>
  <c r="K1239" i="14"/>
  <c r="K1237" i="14"/>
  <c r="K1236" i="14"/>
  <c r="K1235" i="14"/>
  <c r="K1233" i="14"/>
  <c r="K1232" i="14"/>
  <c r="K1230" i="14"/>
  <c r="K1229" i="14"/>
  <c r="K1228" i="14"/>
  <c r="K1226" i="14"/>
  <c r="K1225" i="14"/>
  <c r="K1223" i="14"/>
  <c r="K1222" i="14"/>
  <c r="K1221" i="14"/>
  <c r="K1220" i="14"/>
  <c r="K1218" i="14"/>
  <c r="K1217" i="14"/>
  <c r="K1206" i="14"/>
  <c r="K1205" i="14"/>
  <c r="K1204" i="14"/>
  <c r="K1203" i="14"/>
  <c r="K1202" i="14"/>
  <c r="K1201" i="14"/>
  <c r="K1200" i="14"/>
  <c r="K1195" i="14"/>
  <c r="K1194" i="14"/>
  <c r="K1193" i="14"/>
  <c r="K1192" i="14"/>
  <c r="K1190" i="14"/>
  <c r="K1189" i="14"/>
  <c r="K1187" i="14"/>
  <c r="K1186" i="14"/>
  <c r="K1185" i="14"/>
  <c r="K1184" i="14"/>
  <c r="K1182" i="14"/>
  <c r="K1181" i="14"/>
  <c r="K1179" i="14"/>
  <c r="K1178" i="14"/>
  <c r="K1177" i="14"/>
  <c r="K1176" i="14"/>
  <c r="K1171" i="14"/>
  <c r="K1170" i="14"/>
  <c r="K1169" i="14"/>
  <c r="K1168" i="14"/>
  <c r="K1163" i="14"/>
  <c r="K1162" i="14"/>
  <c r="K1161" i="14"/>
  <c r="K1160" i="14"/>
  <c r="K1159" i="14"/>
  <c r="K1154" i="14"/>
  <c r="K1153" i="14"/>
  <c r="K1151" i="14"/>
  <c r="K1145" i="14"/>
  <c r="K1144" i="14"/>
  <c r="K1143" i="14"/>
  <c r="K1142" i="14"/>
  <c r="K1137" i="14"/>
  <c r="K1136" i="14"/>
  <c r="K1135" i="14"/>
  <c r="K1134" i="14"/>
  <c r="K1132" i="14"/>
  <c r="K1131" i="14"/>
  <c r="K1129" i="14"/>
  <c r="K1128" i="14"/>
  <c r="K1127" i="14"/>
  <c r="K1122" i="14"/>
  <c r="K1117" i="14"/>
  <c r="K1116" i="14"/>
  <c r="K1114" i="14"/>
  <c r="K1113" i="14"/>
  <c r="K1100" i="14"/>
  <c r="K1099" i="14"/>
  <c r="K1097" i="14"/>
  <c r="K1095" i="14"/>
  <c r="K1091" i="14"/>
  <c r="K1090" i="14"/>
  <c r="K1089" i="14"/>
  <c r="K1087" i="14"/>
  <c r="K1086" i="14"/>
  <c r="K1081" i="14"/>
  <c r="K1080" i="14"/>
  <c r="K1078" i="14"/>
  <c r="K1077" i="14"/>
  <c r="K1075" i="14"/>
  <c r="K1074" i="14"/>
  <c r="K1069" i="14"/>
  <c r="K1068" i="14"/>
  <c r="K1065" i="14"/>
  <c r="K1064" i="14"/>
  <c r="K1063" i="14"/>
  <c r="K1058" i="14"/>
  <c r="K1057" i="14"/>
  <c r="K1055" i="14"/>
  <c r="K1054" i="14"/>
  <c r="K1053" i="14"/>
  <c r="K1052" i="14"/>
  <c r="K1048" i="14"/>
  <c r="K1047" i="14"/>
  <c r="K1046" i="14"/>
  <c r="K1044" i="14"/>
  <c r="K1042" i="14"/>
  <c r="K1037" i="14"/>
  <c r="K1036" i="14"/>
  <c r="K1035" i="14"/>
  <c r="K1034" i="14"/>
  <c r="K1032" i="14"/>
  <c r="K1031" i="14"/>
  <c r="K1030" i="14"/>
  <c r="K1027" i="14"/>
  <c r="K1022" i="14"/>
  <c r="K1021" i="14"/>
  <c r="K1018" i="14"/>
  <c r="K1017" i="14"/>
  <c r="K1012" i="14"/>
  <c r="K1011" i="14"/>
  <c r="K1010" i="14"/>
  <c r="K1009" i="14"/>
  <c r="K1008" i="14"/>
  <c r="K1005" i="14"/>
  <c r="K1002" i="14"/>
  <c r="K996" i="14"/>
  <c r="K992" i="14"/>
  <c r="K987" i="14"/>
  <c r="K986" i="14"/>
  <c r="K985" i="14"/>
  <c r="K984" i="14"/>
  <c r="K982" i="14"/>
  <c r="K981" i="14"/>
  <c r="K977" i="14"/>
  <c r="K976" i="14"/>
  <c r="K975" i="14"/>
  <c r="K974" i="14"/>
  <c r="K973" i="14"/>
  <c r="K971" i="14"/>
  <c r="K966" i="14"/>
  <c r="K965" i="14"/>
  <c r="K964" i="14"/>
  <c r="K963" i="14"/>
  <c r="K962" i="14"/>
  <c r="K958" i="14"/>
  <c r="K957" i="14"/>
  <c r="K953" i="14"/>
  <c r="K948" i="14"/>
  <c r="K947" i="14"/>
  <c r="K942" i="14"/>
  <c r="K941" i="14"/>
  <c r="K938" i="14"/>
  <c r="K935" i="14"/>
  <c r="K931" i="14"/>
  <c r="K930" i="14"/>
  <c r="K929" i="14"/>
  <c r="K928" i="14"/>
  <c r="K927" i="14"/>
  <c r="K925" i="14"/>
  <c r="K920" i="14"/>
  <c r="S920" i="14" s="1"/>
  <c r="K919" i="14"/>
  <c r="K918" i="14"/>
  <c r="K915" i="14"/>
  <c r="K909" i="14"/>
  <c r="K908" i="14"/>
  <c r="K904" i="14"/>
  <c r="K903" i="14"/>
  <c r="K902" i="14"/>
  <c r="K899" i="14"/>
  <c r="K894" i="14"/>
  <c r="K893" i="14"/>
  <c r="K892" i="14"/>
  <c r="K891" i="14"/>
  <c r="K890" i="14"/>
  <c r="K889" i="14"/>
  <c r="K887" i="14"/>
  <c r="K882" i="14"/>
  <c r="K881" i="14"/>
  <c r="K879" i="14"/>
  <c r="K874" i="14"/>
  <c r="K873" i="14"/>
  <c r="K872" i="14"/>
  <c r="K871" i="14"/>
  <c r="K870" i="14"/>
  <c r="K868" i="14"/>
  <c r="K863" i="14"/>
  <c r="K862" i="14"/>
  <c r="K861" i="14"/>
  <c r="K860" i="14"/>
  <c r="K859" i="14"/>
  <c r="K857" i="14"/>
  <c r="K847" i="14"/>
  <c r="K846" i="14"/>
  <c r="K844" i="14"/>
  <c r="K839" i="14"/>
  <c r="K838" i="14"/>
  <c r="K837" i="14"/>
  <c r="K836" i="14"/>
  <c r="K835" i="14"/>
  <c r="K834" i="14"/>
  <c r="K831" i="14"/>
  <c r="K826" i="14"/>
  <c r="K825" i="14"/>
  <c r="K824" i="14"/>
  <c r="K822" i="14"/>
  <c r="K814" i="14"/>
  <c r="K813" i="14"/>
  <c r="K812" i="14"/>
  <c r="K810" i="14"/>
  <c r="K805" i="14"/>
  <c r="K804" i="14"/>
  <c r="K803" i="14"/>
  <c r="K801" i="14"/>
  <c r="K796" i="14"/>
  <c r="K795" i="14"/>
  <c r="K794" i="14"/>
  <c r="K792" i="14"/>
  <c r="K787" i="14"/>
  <c r="K786" i="14"/>
  <c r="K784" i="14"/>
  <c r="K779" i="14"/>
  <c r="K776" i="14"/>
  <c r="K773" i="14"/>
  <c r="K768" i="14"/>
  <c r="K767" i="14"/>
  <c r="K766" i="14"/>
  <c r="K764" i="14"/>
  <c r="K759" i="14"/>
  <c r="K758" i="14"/>
  <c r="K757" i="14"/>
  <c r="K755" i="14"/>
  <c r="K750" i="14"/>
  <c r="K747" i="14"/>
  <c r="K746" i="14"/>
  <c r="K745" i="14"/>
  <c r="K744" i="14"/>
  <c r="K742" i="14"/>
  <c r="K739" i="14"/>
  <c r="K23" i="15"/>
  <c r="L24" i="15"/>
  <c r="L23" i="15" s="1"/>
  <c r="L25" i="15"/>
  <c r="L26" i="15"/>
  <c r="L27" i="15"/>
  <c r="L33" i="15"/>
  <c r="K33" i="15"/>
  <c r="L36" i="15"/>
  <c r="K484" i="14"/>
  <c r="K483" i="14"/>
  <c r="K482" i="14"/>
  <c r="K479" i="14"/>
  <c r="K478" i="14"/>
  <c r="K477" i="14"/>
  <c r="K476" i="14"/>
  <c r="K473" i="14"/>
  <c r="K470" i="14"/>
  <c r="K469" i="14"/>
  <c r="K468" i="14"/>
  <c r="K467" i="14"/>
  <c r="K464" i="14"/>
  <c r="K463" i="14"/>
  <c r="K462" i="14"/>
  <c r="K461" i="14"/>
  <c r="K460" i="14"/>
  <c r="K459" i="14"/>
  <c r="K458" i="14"/>
  <c r="K457" i="14"/>
  <c r="K456" i="14"/>
  <c r="K455" i="14"/>
  <c r="K453" i="14"/>
  <c r="K452" i="14"/>
  <c r="K450" i="14"/>
  <c r="K449" i="14"/>
  <c r="K448" i="14"/>
  <c r="K447" i="14"/>
  <c r="K446" i="14"/>
  <c r="K445" i="14"/>
  <c r="K442" i="14"/>
  <c r="K441" i="14"/>
  <c r="K440" i="14"/>
  <c r="K439" i="14"/>
  <c r="K438" i="14"/>
  <c r="K437" i="14"/>
  <c r="K436" i="14"/>
  <c r="K435" i="14"/>
  <c r="K434" i="14"/>
  <c r="K432" i="14"/>
  <c r="K429" i="14"/>
  <c r="K427" i="14"/>
  <c r="K426" i="14"/>
  <c r="K424" i="14"/>
  <c r="K423" i="14"/>
  <c r="K371" i="14"/>
  <c r="K370" i="14"/>
  <c r="K369" i="14"/>
  <c r="K368" i="14"/>
  <c r="K364" i="14"/>
  <c r="K363" i="14"/>
  <c r="K362" i="14"/>
  <c r="K361" i="14"/>
  <c r="K360" i="14"/>
  <c r="K359" i="14"/>
  <c r="K358" i="14"/>
  <c r="K357" i="14"/>
  <c r="K356" i="14"/>
  <c r="K354" i="14"/>
  <c r="K353" i="14"/>
  <c r="K352" i="14"/>
  <c r="K349" i="14"/>
  <c r="K348" i="14"/>
  <c r="K347" i="14"/>
  <c r="K346" i="14"/>
  <c r="K345" i="14"/>
  <c r="K344" i="14"/>
  <c r="K342" i="14"/>
  <c r="K341" i="14"/>
  <c r="K338" i="14"/>
  <c r="K337" i="14"/>
  <c r="K336" i="14"/>
  <c r="K335" i="14"/>
  <c r="K334" i="14"/>
  <c r="K332" i="14"/>
  <c r="K331" i="14"/>
  <c r="K328" i="14"/>
  <c r="K327" i="14"/>
  <c r="K326" i="14"/>
  <c r="K325" i="14"/>
  <c r="K324" i="14"/>
  <c r="K322" i="14"/>
  <c r="K321" i="14"/>
  <c r="K319" i="14"/>
  <c r="K318" i="14"/>
  <c r="K317" i="14"/>
  <c r="K314" i="14"/>
  <c r="K313" i="14"/>
  <c r="K308" i="14"/>
  <c r="K307" i="14"/>
  <c r="K305" i="14"/>
  <c r="K275" i="14"/>
  <c r="K274" i="14"/>
  <c r="K273" i="14"/>
  <c r="K272" i="14"/>
  <c r="K268" i="14"/>
  <c r="K267" i="14"/>
  <c r="K266" i="14"/>
  <c r="K265" i="14"/>
  <c r="K264" i="14"/>
  <c r="K263" i="14"/>
  <c r="K261" i="14"/>
  <c r="K259" i="14"/>
  <c r="K258" i="14"/>
  <c r="K255" i="14"/>
  <c r="K253" i="14"/>
  <c r="K250" i="14"/>
  <c r="K249" i="14"/>
  <c r="K248" i="14"/>
  <c r="K244" i="14"/>
  <c r="K241" i="14"/>
  <c r="K239" i="14"/>
  <c r="K234" i="14"/>
  <c r="K230" i="14"/>
  <c r="K229" i="14"/>
  <c r="K228" i="14"/>
  <c r="K227" i="14"/>
  <c r="K226" i="14"/>
  <c r="K225" i="14"/>
  <c r="K224" i="14"/>
  <c r="K223" i="14"/>
  <c r="K222" i="14"/>
  <c r="K221" i="14"/>
  <c r="K220" i="14"/>
  <c r="K218" i="14"/>
  <c r="K217" i="14"/>
  <c r="K216" i="14"/>
  <c r="K210" i="14"/>
  <c r="K209" i="14"/>
  <c r="K206" i="14"/>
  <c r="K205" i="14"/>
  <c r="K203" i="14"/>
  <c r="K200" i="14"/>
  <c r="K199" i="14"/>
  <c r="K197" i="14"/>
  <c r="K194" i="14"/>
  <c r="K144" i="14"/>
  <c r="K141" i="14"/>
  <c r="K138" i="14"/>
  <c r="K137" i="14"/>
  <c r="K131" i="14"/>
  <c r="O661" i="14"/>
  <c r="O660" i="14"/>
  <c r="O659" i="14"/>
  <c r="O657" i="14"/>
  <c r="O655" i="14"/>
  <c r="O654" i="14"/>
  <c r="O652" i="14"/>
  <c r="O650" i="14"/>
  <c r="O649" i="14"/>
  <c r="O648" i="14"/>
  <c r="O646" i="14"/>
  <c r="O644" i="14"/>
  <c r="O642" i="14"/>
  <c r="O641" i="14"/>
  <c r="O640" i="14"/>
  <c r="O639" i="14"/>
  <c r="O637" i="14"/>
  <c r="O635" i="14"/>
  <c r="O633" i="14"/>
  <c r="O631" i="14"/>
  <c r="O630" i="14"/>
  <c r="O626" i="14"/>
  <c r="O625" i="14"/>
  <c r="O624" i="14"/>
  <c r="O623" i="14"/>
  <c r="O621" i="14"/>
  <c r="O619" i="14"/>
  <c r="O618" i="14"/>
  <c r="O617" i="14"/>
  <c r="O614" i="14"/>
  <c r="O612" i="14"/>
  <c r="O610" i="14"/>
  <c r="O609" i="14"/>
  <c r="O608" i="14"/>
  <c r="O607" i="14"/>
  <c r="O606" i="14"/>
  <c r="O604" i="14"/>
  <c r="O603" i="14"/>
  <c r="O598" i="14"/>
  <c r="O595" i="14"/>
  <c r="O594" i="14"/>
  <c r="O593" i="14"/>
  <c r="O592" i="14"/>
  <c r="O587" i="14"/>
  <c r="O586" i="14"/>
  <c r="O583" i="14"/>
  <c r="O582" i="14"/>
  <c r="O581" i="14"/>
  <c r="O580" i="14"/>
  <c r="O574" i="14"/>
  <c r="O571" i="14"/>
  <c r="O570" i="14"/>
  <c r="O569" i="14"/>
  <c r="O568" i="14"/>
  <c r="O567" i="14"/>
  <c r="O566" i="14"/>
  <c r="O564" i="14"/>
  <c r="O563" i="14"/>
  <c r="O562" i="14"/>
  <c r="O561" i="14"/>
  <c r="O560" i="14"/>
  <c r="O559" i="14"/>
  <c r="O557" i="14"/>
  <c r="O556" i="14"/>
  <c r="O555" i="14"/>
  <c r="O554" i="14"/>
  <c r="O553" i="14"/>
  <c r="O552" i="14"/>
  <c r="O551" i="14"/>
  <c r="O550" i="14"/>
  <c r="O549" i="14"/>
  <c r="O548" i="14"/>
  <c r="O547" i="14"/>
  <c r="O546" i="14"/>
  <c r="O545" i="14"/>
  <c r="O543" i="14"/>
  <c r="O542" i="14"/>
  <c r="O541" i="14"/>
  <c r="O540" i="14"/>
  <c r="O484" i="14"/>
  <c r="O483" i="14"/>
  <c r="O482" i="14"/>
  <c r="O481" i="14"/>
  <c r="O480" i="14"/>
  <c r="O479" i="14"/>
  <c r="O478" i="14"/>
  <c r="O477" i="14"/>
  <c r="O476" i="14"/>
  <c r="O475" i="14"/>
  <c r="O474" i="14"/>
  <c r="O473" i="14"/>
  <c r="O472" i="14"/>
  <c r="O471" i="14"/>
  <c r="O470" i="14"/>
  <c r="O467" i="14"/>
  <c r="O466" i="14"/>
  <c r="O464" i="14"/>
  <c r="O461" i="14"/>
  <c r="O460" i="14"/>
  <c r="O459" i="14"/>
  <c r="O458" i="14"/>
  <c r="O457" i="14"/>
  <c r="O456" i="14"/>
  <c r="O455" i="14"/>
  <c r="O454" i="14"/>
  <c r="O453" i="14"/>
  <c r="O452" i="14"/>
  <c r="O450" i="14"/>
  <c r="O448" i="14"/>
  <c r="O445" i="14"/>
  <c r="O444" i="14"/>
  <c r="O442" i="14"/>
  <c r="O440" i="14"/>
  <c r="O438" i="14"/>
  <c r="O435" i="14"/>
  <c r="O434" i="14"/>
  <c r="O433" i="14"/>
  <c r="O432" i="14"/>
  <c r="O431" i="14"/>
  <c r="O430" i="14"/>
  <c r="O429" i="14"/>
  <c r="O428" i="14"/>
  <c r="O427" i="14"/>
  <c r="O426" i="14"/>
  <c r="O425" i="14"/>
  <c r="O424" i="14"/>
  <c r="O423" i="14"/>
  <c r="O371" i="14"/>
  <c r="O370" i="14"/>
  <c r="O369" i="14"/>
  <c r="O368" i="14"/>
  <c r="O367" i="14"/>
  <c r="O366" i="14"/>
  <c r="O365" i="14"/>
  <c r="O363" i="14"/>
  <c r="O361" i="14"/>
  <c r="O360" i="14"/>
  <c r="O357" i="14"/>
  <c r="O356" i="14"/>
  <c r="O355" i="14"/>
  <c r="O354" i="14"/>
  <c r="O353" i="14"/>
  <c r="O352" i="14"/>
  <c r="O351" i="14"/>
  <c r="O349" i="14"/>
  <c r="O348" i="14"/>
  <c r="O347" i="14"/>
  <c r="O346" i="14"/>
  <c r="O345" i="14"/>
  <c r="O344" i="14"/>
  <c r="O343" i="14"/>
  <c r="O342" i="14"/>
  <c r="O341" i="14"/>
  <c r="O340" i="14"/>
  <c r="O338" i="14"/>
  <c r="O337" i="14"/>
  <c r="O336" i="14"/>
  <c r="O335" i="14"/>
  <c r="O334" i="14"/>
  <c r="O333" i="14"/>
  <c r="O332" i="14"/>
  <c r="O331" i="14"/>
  <c r="O330" i="14"/>
  <c r="O329" i="14"/>
  <c r="O328" i="14"/>
  <c r="O327" i="14"/>
  <c r="O326" i="14"/>
  <c r="O325" i="14"/>
  <c r="O324" i="14"/>
  <c r="O323" i="14"/>
  <c r="O322" i="14"/>
  <c r="O321" i="14"/>
  <c r="O320" i="14"/>
  <c r="O319" i="14"/>
  <c r="O318" i="14"/>
  <c r="O317" i="14"/>
  <c r="O316" i="14"/>
  <c r="O315" i="14"/>
  <c r="O314" i="14"/>
  <c r="O313" i="14"/>
  <c r="O312" i="14"/>
  <c r="O311" i="14"/>
  <c r="O310" i="14"/>
  <c r="O309" i="14"/>
  <c r="O308" i="14"/>
  <c r="O307" i="14"/>
  <c r="O306" i="14"/>
  <c r="O305" i="14"/>
  <c r="O304" i="14"/>
  <c r="O275" i="14"/>
  <c r="O272" i="14"/>
  <c r="O271" i="14"/>
  <c r="O270" i="14"/>
  <c r="O266" i="14"/>
  <c r="O262" i="14"/>
  <c r="O261" i="14"/>
  <c r="O260" i="14"/>
  <c r="O259" i="14"/>
  <c r="O258" i="14"/>
  <c r="O257" i="14"/>
  <c r="O255" i="14"/>
  <c r="O254" i="14"/>
  <c r="O253" i="14"/>
  <c r="O252" i="14"/>
  <c r="O251" i="14"/>
  <c r="O247" i="14"/>
  <c r="O246" i="14"/>
  <c r="O245" i="14"/>
  <c r="O244" i="14"/>
  <c r="O243" i="14"/>
  <c r="O242" i="14"/>
  <c r="O241" i="14"/>
  <c r="O240" i="14"/>
  <c r="O239" i="14"/>
  <c r="O238" i="14"/>
  <c r="O237" i="14"/>
  <c r="O236" i="14"/>
  <c r="O234" i="14"/>
  <c r="O233" i="14"/>
  <c r="O232" i="14"/>
  <c r="O231" i="14"/>
  <c r="O230" i="14"/>
  <c r="O229" i="14"/>
  <c r="O226" i="14"/>
  <c r="O224" i="14"/>
  <c r="O223" i="14"/>
  <c r="O222" i="14"/>
  <c r="O219" i="14"/>
  <c r="O218" i="14"/>
  <c r="O217" i="14"/>
  <c r="O216" i="14"/>
  <c r="O215" i="14"/>
  <c r="O214" i="14"/>
  <c r="O213" i="14"/>
  <c r="O212" i="14"/>
  <c r="O210" i="14"/>
  <c r="O209" i="14"/>
  <c r="O208" i="14"/>
  <c r="O207" i="14"/>
  <c r="O204" i="14"/>
  <c r="O203" i="14"/>
  <c r="O202" i="14"/>
  <c r="O198" i="14"/>
  <c r="O197" i="14"/>
  <c r="O196" i="14"/>
  <c r="O194" i="14"/>
  <c r="O193" i="14"/>
  <c r="O192" i="14"/>
  <c r="O190" i="14"/>
  <c r="O189" i="14"/>
  <c r="O144" i="14"/>
  <c r="O143" i="14"/>
  <c r="O142" i="14"/>
  <c r="O141" i="14"/>
  <c r="O140" i="14"/>
  <c r="O139" i="14"/>
  <c r="O138" i="14"/>
  <c r="O137" i="14"/>
  <c r="O136" i="14"/>
  <c r="O135" i="14"/>
  <c r="O134" i="14"/>
  <c r="O133" i="14"/>
  <c r="O132" i="14"/>
  <c r="O131" i="14"/>
  <c r="O130" i="14"/>
  <c r="O129" i="14"/>
  <c r="R2045" i="14"/>
  <c r="R2046" i="14"/>
  <c r="R2048" i="14"/>
  <c r="R2051" i="14"/>
  <c r="R2052" i="14"/>
  <c r="R2054" i="14"/>
  <c r="R2055" i="14"/>
  <c r="R2057" i="14"/>
  <c r="R2058" i="14"/>
  <c r="R2059" i="14"/>
  <c r="R2060" i="14"/>
  <c r="R2063" i="14"/>
  <c r="R2064" i="14"/>
  <c r="O2064" i="14"/>
  <c r="S2064" i="14" s="1"/>
  <c r="O2063" i="14"/>
  <c r="S2063" i="14" s="1"/>
  <c r="O2060" i="14"/>
  <c r="S2060" i="14" s="1"/>
  <c r="O2059" i="14"/>
  <c r="S2059" i="14" s="1"/>
  <c r="O2058" i="14"/>
  <c r="S2058" i="14" s="1"/>
  <c r="O2057" i="14"/>
  <c r="S2057" i="14" s="1"/>
  <c r="O2056" i="14"/>
  <c r="O2055" i="14"/>
  <c r="O2054" i="14"/>
  <c r="O2052" i="14"/>
  <c r="O2051" i="14"/>
  <c r="O2048" i="14"/>
  <c r="O2047" i="14"/>
  <c r="O2046" i="14"/>
  <c r="O2045" i="14"/>
  <c r="S2045" i="14" s="1"/>
  <c r="O2044" i="14"/>
  <c r="N2050" i="14"/>
  <c r="N2049" i="14" s="1"/>
  <c r="N2043" i="14" s="1"/>
  <c r="N2062" i="14"/>
  <c r="K2055" i="14"/>
  <c r="K2054" i="14"/>
  <c r="K2052" i="14"/>
  <c r="J2044" i="14"/>
  <c r="R2044" i="14" s="1"/>
  <c r="J2047" i="14"/>
  <c r="R2047" i="14" s="1"/>
  <c r="J2056" i="14"/>
  <c r="R2056" i="14" s="1"/>
  <c r="R1869" i="14"/>
  <c r="R1870" i="14"/>
  <c r="R1872" i="14"/>
  <c r="R1873" i="14"/>
  <c r="R1874" i="14"/>
  <c r="R1875" i="14"/>
  <c r="R1876" i="14"/>
  <c r="R1880" i="14"/>
  <c r="R1884" i="14"/>
  <c r="R1885" i="14"/>
  <c r="R1886" i="14"/>
  <c r="R1887" i="14"/>
  <c r="R1888" i="14"/>
  <c r="R1889" i="14"/>
  <c r="R1890" i="14"/>
  <c r="R1891" i="14"/>
  <c r="R1892" i="14"/>
  <c r="R1893" i="14"/>
  <c r="R1894" i="14"/>
  <c r="R1895" i="14"/>
  <c r="R1896" i="14"/>
  <c r="R1897" i="14"/>
  <c r="R1901" i="14"/>
  <c r="R1902" i="14"/>
  <c r="R1904" i="14"/>
  <c r="R1905" i="14"/>
  <c r="R1906" i="14"/>
  <c r="R1907" i="14"/>
  <c r="R1911" i="14"/>
  <c r="R1914" i="14"/>
  <c r="R1915" i="14"/>
  <c r="R1917" i="14"/>
  <c r="R1918" i="14"/>
  <c r="R1919" i="14"/>
  <c r="R1920" i="14"/>
  <c r="R1921" i="14"/>
  <c r="R1925" i="14"/>
  <c r="R1926" i="14"/>
  <c r="R1927" i="14"/>
  <c r="R1930" i="14"/>
  <c r="R1931" i="14"/>
  <c r="R1932" i="14"/>
  <c r="R1935" i="14"/>
  <c r="R1936" i="14"/>
  <c r="R1938" i="14"/>
  <c r="R1939" i="14"/>
  <c r="R1940" i="14"/>
  <c r="R1941" i="14"/>
  <c r="R1942" i="14"/>
  <c r="R1943" i="14"/>
  <c r="R1944" i="14"/>
  <c r="R1947" i="14"/>
  <c r="R1948" i="14"/>
  <c r="R1949" i="14"/>
  <c r="R1950" i="14"/>
  <c r="R1953" i="14"/>
  <c r="R1955" i="14"/>
  <c r="R1957" i="14"/>
  <c r="R1959" i="14"/>
  <c r="R1961" i="14"/>
  <c r="R1962" i="14"/>
  <c r="R1964" i="14"/>
  <c r="R1965" i="14"/>
  <c r="R1966" i="14"/>
  <c r="R1967" i="14"/>
  <c r="R1968" i="14"/>
  <c r="R1969" i="14"/>
  <c r="R1970" i="14"/>
  <c r="R1973" i="14"/>
  <c r="R1975" i="14"/>
  <c r="R1978" i="14"/>
  <c r="R1979" i="14"/>
  <c r="R1981" i="14"/>
  <c r="R1982" i="14"/>
  <c r="R1983" i="14"/>
  <c r="R1984" i="14"/>
  <c r="R1985" i="14"/>
  <c r="R1988" i="14"/>
  <c r="R1991" i="14"/>
  <c r="R1994" i="14"/>
  <c r="R1996" i="14"/>
  <c r="R1999" i="14"/>
  <c r="R2000" i="14"/>
  <c r="R2002" i="14"/>
  <c r="R2003" i="14"/>
  <c r="R2004" i="14"/>
  <c r="R2005" i="14"/>
  <c r="R2008" i="14"/>
  <c r="R2009" i="14"/>
  <c r="R2011" i="14"/>
  <c r="R2012" i="14"/>
  <c r="R2013" i="14"/>
  <c r="R2014" i="14"/>
  <c r="R2015" i="14"/>
  <c r="R2016" i="14"/>
  <c r="O2016" i="14"/>
  <c r="O2015" i="14"/>
  <c r="O2014" i="14"/>
  <c r="O2013" i="14"/>
  <c r="O2012" i="14"/>
  <c r="O2011" i="14"/>
  <c r="O2010" i="14"/>
  <c r="O2009" i="14"/>
  <c r="O2008" i="14"/>
  <c r="O2007" i="14"/>
  <c r="O2006" i="14"/>
  <c r="O2005" i="14"/>
  <c r="O2004" i="14"/>
  <c r="O2003" i="14"/>
  <c r="O2002" i="14"/>
  <c r="O2001" i="14"/>
  <c r="O2000" i="14"/>
  <c r="O1999" i="14"/>
  <c r="O1998" i="14"/>
  <c r="O1997" i="14"/>
  <c r="O1996" i="14"/>
  <c r="O1995" i="14"/>
  <c r="O1994" i="14"/>
  <c r="O1993" i="14"/>
  <c r="O1992" i="14"/>
  <c r="O1991" i="14"/>
  <c r="O1990" i="14"/>
  <c r="O1989" i="14"/>
  <c r="O1988" i="14"/>
  <c r="O1985" i="14"/>
  <c r="O1984" i="14"/>
  <c r="O1983" i="14"/>
  <c r="O1982" i="14"/>
  <c r="O1981" i="14"/>
  <c r="O1980" i="14"/>
  <c r="O1979" i="14"/>
  <c r="O1978" i="14"/>
  <c r="O1973" i="14"/>
  <c r="O1970" i="14"/>
  <c r="O1969" i="14"/>
  <c r="O1968" i="14"/>
  <c r="O1967" i="14"/>
  <c r="O1966" i="14"/>
  <c r="O1965" i="14"/>
  <c r="O1964" i="14"/>
  <c r="O1963" i="14"/>
  <c r="O1962" i="14"/>
  <c r="O1961" i="14"/>
  <c r="O1959" i="14"/>
  <c r="O1958" i="14"/>
  <c r="O1957" i="14"/>
  <c r="O1956" i="14"/>
  <c r="O1955" i="14"/>
  <c r="O1953" i="14"/>
  <c r="O1952" i="14"/>
  <c r="O1951" i="14"/>
  <c r="O1950" i="14"/>
  <c r="O1949" i="14"/>
  <c r="O1948" i="14"/>
  <c r="O1947" i="14"/>
  <c r="O1946" i="14"/>
  <c r="O1945" i="14"/>
  <c r="O1944" i="14"/>
  <c r="O1943" i="14"/>
  <c r="O1942" i="14"/>
  <c r="O1941" i="14"/>
  <c r="O1940" i="14"/>
  <c r="O1939" i="14"/>
  <c r="O1938" i="14"/>
  <c r="O1937" i="14"/>
  <c r="O1936" i="14"/>
  <c r="O1935" i="14"/>
  <c r="O1934" i="14"/>
  <c r="O1933" i="14"/>
  <c r="O1932" i="14"/>
  <c r="O1931" i="14"/>
  <c r="O1930" i="14"/>
  <c r="O1929" i="14"/>
  <c r="O1928" i="14"/>
  <c r="O1927" i="14"/>
  <c r="O1926" i="14"/>
  <c r="O1925" i="14"/>
  <c r="O1924" i="14"/>
  <c r="O1923" i="14"/>
  <c r="O1922" i="14"/>
  <c r="O1921" i="14"/>
  <c r="O1920" i="14"/>
  <c r="O1919" i="14"/>
  <c r="O1918" i="14"/>
  <c r="O1917" i="14"/>
  <c r="O1916" i="14"/>
  <c r="O1915" i="14"/>
  <c r="O1914" i="14"/>
  <c r="O1913" i="14"/>
  <c r="O1912" i="14"/>
  <c r="O1911" i="14"/>
  <c r="O1907" i="14"/>
  <c r="O1906" i="14"/>
  <c r="O1905" i="14"/>
  <c r="O1904" i="14"/>
  <c r="O1903" i="14"/>
  <c r="O1902" i="14"/>
  <c r="O1901" i="14"/>
  <c r="O1897" i="14"/>
  <c r="O1896" i="14"/>
  <c r="O1895" i="14"/>
  <c r="O1894" i="14"/>
  <c r="O1893" i="14"/>
  <c r="O1892" i="14"/>
  <c r="O1891" i="14"/>
  <c r="O1890" i="14"/>
  <c r="O1889" i="14"/>
  <c r="O1888" i="14"/>
  <c r="O1887" i="14"/>
  <c r="O1886" i="14"/>
  <c r="O1885" i="14"/>
  <c r="O1884" i="14"/>
  <c r="O1883" i="14"/>
  <c r="O1882" i="14"/>
  <c r="O1881" i="14"/>
  <c r="O1880" i="14"/>
  <c r="O1879" i="14"/>
  <c r="O1878" i="14"/>
  <c r="O1877" i="14"/>
  <c r="O1876" i="14"/>
  <c r="O1875" i="14"/>
  <c r="O1874" i="14"/>
  <c r="O1873" i="14"/>
  <c r="O1872" i="14"/>
  <c r="O1871" i="14"/>
  <c r="O1870" i="14"/>
  <c r="O1869" i="14"/>
  <c r="O1868" i="14"/>
  <c r="O1867" i="14"/>
  <c r="N1910" i="14"/>
  <c r="N1909" i="14" s="1"/>
  <c r="N1900" i="14" s="1"/>
  <c r="N1899" i="14" s="1"/>
  <c r="N1898" i="14" s="1"/>
  <c r="N1972" i="14"/>
  <c r="R1972" i="14" s="1"/>
  <c r="N1974" i="14"/>
  <c r="R1974" i="14" s="1"/>
  <c r="N1987" i="14"/>
  <c r="N1986" i="14" s="1"/>
  <c r="N1977" i="14" s="1"/>
  <c r="N1976" i="14" s="1"/>
  <c r="K2016" i="14"/>
  <c r="K2015" i="14"/>
  <c r="K2014" i="14"/>
  <c r="K2013" i="14"/>
  <c r="K2012" i="14"/>
  <c r="K2011" i="14"/>
  <c r="K2009" i="14"/>
  <c r="K2008" i="14"/>
  <c r="K2005" i="14"/>
  <c r="K2004" i="14"/>
  <c r="K2003" i="14"/>
  <c r="K2002" i="14"/>
  <c r="K2000" i="14"/>
  <c r="K1999" i="14"/>
  <c r="K1988" i="14"/>
  <c r="S1988" i="14" s="1"/>
  <c r="K1987" i="14"/>
  <c r="K1986" i="14"/>
  <c r="K1984" i="14"/>
  <c r="K1983" i="14"/>
  <c r="K1982" i="14"/>
  <c r="K1981" i="14"/>
  <c r="K1979" i="14"/>
  <c r="S1979" i="14" s="1"/>
  <c r="K1978" i="14"/>
  <c r="S1978" i="14" s="1"/>
  <c r="K1975" i="14"/>
  <c r="K1974" i="14"/>
  <c r="K1973" i="14"/>
  <c r="K1972" i="14"/>
  <c r="K1971" i="14"/>
  <c r="K1969" i="14"/>
  <c r="K1968" i="14"/>
  <c r="K1967" i="14"/>
  <c r="K1965" i="14"/>
  <c r="K1964" i="14"/>
  <c r="K1962" i="14"/>
  <c r="K1961" i="14"/>
  <c r="K1957" i="14"/>
  <c r="K1944" i="14"/>
  <c r="S1944" i="14" s="1"/>
  <c r="K1943" i="14"/>
  <c r="S1943" i="14" s="1"/>
  <c r="K1942" i="14"/>
  <c r="S1942" i="14" s="1"/>
  <c r="K1941" i="14"/>
  <c r="S1941" i="14" s="1"/>
  <c r="K1939" i="14"/>
  <c r="K1938" i="14"/>
  <c r="K1936" i="14"/>
  <c r="K1935" i="14"/>
  <c r="K1932" i="14"/>
  <c r="S1932" i="14" s="1"/>
  <c r="K1931" i="14"/>
  <c r="S1931" i="14" s="1"/>
  <c r="K1930" i="14"/>
  <c r="S1930" i="14" s="1"/>
  <c r="K1927" i="14"/>
  <c r="K1921" i="14"/>
  <c r="K1919" i="14"/>
  <c r="S1919" i="14" s="1"/>
  <c r="K1918" i="14"/>
  <c r="S1918" i="14" s="1"/>
  <c r="K1917" i="14"/>
  <c r="S1917" i="14" s="1"/>
  <c r="K1915" i="14"/>
  <c r="K1914" i="14"/>
  <c r="K1911" i="14"/>
  <c r="K1910" i="14"/>
  <c r="K1909" i="14"/>
  <c r="K1907" i="14"/>
  <c r="K1904" i="14"/>
  <c r="K1902" i="14"/>
  <c r="S1902" i="14" s="1"/>
  <c r="K1901" i="14"/>
  <c r="S1901" i="14" s="1"/>
  <c r="K1897" i="14"/>
  <c r="S1897" i="14" s="1"/>
  <c r="K1896" i="14"/>
  <c r="S1896" i="14" s="1"/>
  <c r="K1895" i="14"/>
  <c r="S1895" i="14" s="1"/>
  <c r="K1894" i="14"/>
  <c r="S1894" i="14" s="1"/>
  <c r="K1893" i="14"/>
  <c r="S1893" i="14" s="1"/>
  <c r="K1892" i="14"/>
  <c r="S1892" i="14" s="1"/>
  <c r="K1891" i="14"/>
  <c r="S1891" i="14" s="1"/>
  <c r="K1890" i="14"/>
  <c r="S1890" i="14" s="1"/>
  <c r="K1888" i="14"/>
  <c r="K1886" i="14"/>
  <c r="K1885" i="14"/>
  <c r="K1880" i="14"/>
  <c r="K1875" i="14"/>
  <c r="K1874" i="14"/>
  <c r="K1873" i="14"/>
  <c r="K1872" i="14"/>
  <c r="K1870" i="14"/>
  <c r="K1869" i="14"/>
  <c r="J1871" i="14"/>
  <c r="J1879" i="14"/>
  <c r="J1883" i="14"/>
  <c r="J1903" i="14"/>
  <c r="J1900" i="14" s="1"/>
  <c r="J1916" i="14"/>
  <c r="J1924" i="14"/>
  <c r="R1924" i="14" s="1"/>
  <c r="J1929" i="14"/>
  <c r="J1937" i="14"/>
  <c r="J1946" i="14"/>
  <c r="R1946" i="14" s="1"/>
  <c r="J1952" i="14"/>
  <c r="J1956" i="14"/>
  <c r="R1956" i="14" s="1"/>
  <c r="J1958" i="14"/>
  <c r="R1958" i="14" s="1"/>
  <c r="J1963" i="14"/>
  <c r="J1980" i="14"/>
  <c r="J1990" i="14"/>
  <c r="J1993" i="14"/>
  <c r="J1995" i="14"/>
  <c r="R1995" i="14" s="1"/>
  <c r="J2001" i="14"/>
  <c r="J2010" i="14"/>
  <c r="J2007" i="14" s="1"/>
  <c r="R1744" i="14"/>
  <c r="R1745" i="14"/>
  <c r="R1748" i="14"/>
  <c r="R1749" i="14"/>
  <c r="R1750" i="14"/>
  <c r="R1754" i="14"/>
  <c r="R1755" i="14"/>
  <c r="R1757" i="14"/>
  <c r="R1758" i="14"/>
  <c r="R1759" i="14"/>
  <c r="R1760" i="14"/>
  <c r="R1761" i="14"/>
  <c r="R1762" i="14"/>
  <c r="R1763" i="14"/>
  <c r="R1764" i="14"/>
  <c r="R1765" i="14"/>
  <c r="R1767" i="14"/>
  <c r="R1768" i="14"/>
  <c r="R1769" i="14"/>
  <c r="R1770" i="14"/>
  <c r="R1771" i="14"/>
  <c r="R1772" i="14"/>
  <c r="R1773" i="14"/>
  <c r="R1774" i="14"/>
  <c r="R1775" i="14"/>
  <c r="R1776" i="14"/>
  <c r="R1777" i="14"/>
  <c r="R1780" i="14"/>
  <c r="R1781" i="14"/>
  <c r="R1785" i="14"/>
  <c r="R1788" i="14"/>
  <c r="R1789" i="14"/>
  <c r="R1790" i="14"/>
  <c r="R1791" i="14"/>
  <c r="R1793" i="14"/>
  <c r="R1794" i="14"/>
  <c r="R1795" i="14"/>
  <c r="R1796" i="14"/>
  <c r="R1799" i="14"/>
  <c r="R1802" i="14"/>
  <c r="R1805" i="14"/>
  <c r="R1806" i="14"/>
  <c r="R1807" i="14"/>
  <c r="R1809" i="14"/>
  <c r="R1810" i="14"/>
  <c r="R1813" i="14"/>
  <c r="R1814" i="14"/>
  <c r="R1816" i="14"/>
  <c r="R1823" i="14"/>
  <c r="R1824" i="14"/>
  <c r="R1827" i="14"/>
  <c r="R1831" i="14"/>
  <c r="R1835" i="14"/>
  <c r="R1836" i="14"/>
  <c r="R1837" i="14"/>
  <c r="R1838" i="14"/>
  <c r="R1841" i="14"/>
  <c r="R1842" i="14"/>
  <c r="R1844" i="14"/>
  <c r="R1845" i="14"/>
  <c r="R1846" i="14"/>
  <c r="R1847" i="14"/>
  <c r="R1848" i="14"/>
  <c r="R1849" i="14"/>
  <c r="R1850" i="14"/>
  <c r="R1853" i="14"/>
  <c r="R1855" i="14"/>
  <c r="O1855" i="14"/>
  <c r="O1850" i="14"/>
  <c r="O1849" i="14"/>
  <c r="O1848" i="14"/>
  <c r="O1847" i="14"/>
  <c r="O1846" i="14"/>
  <c r="O1845" i="14"/>
  <c r="O1844" i="14"/>
  <c r="O1843" i="14"/>
  <c r="O1842" i="14"/>
  <c r="O1841" i="14"/>
  <c r="O1838" i="14"/>
  <c r="O1837" i="14"/>
  <c r="O1836" i="14"/>
  <c r="O1835" i="14"/>
  <c r="O1834" i="14"/>
  <c r="O1833" i="14"/>
  <c r="O1832" i="14"/>
  <c r="O1831" i="14"/>
  <c r="O1830" i="14"/>
  <c r="O1829" i="14"/>
  <c r="O1828" i="14"/>
  <c r="O1827" i="14"/>
  <c r="O1826" i="14"/>
  <c r="O1825" i="14"/>
  <c r="O1824" i="14"/>
  <c r="O1823" i="14"/>
  <c r="O1816" i="14"/>
  <c r="O1815" i="14"/>
  <c r="O1814" i="14"/>
  <c r="O1813" i="14"/>
  <c r="O1812" i="14"/>
  <c r="O1810" i="14"/>
  <c r="O1809" i="14"/>
  <c r="O1808" i="14"/>
  <c r="O1807" i="14"/>
  <c r="O1806" i="14"/>
  <c r="O1805" i="14"/>
  <c r="O1804" i="14"/>
  <c r="O1802" i="14"/>
  <c r="O1799" i="14"/>
  <c r="O1798" i="14"/>
  <c r="O1796" i="14"/>
  <c r="O1791" i="14"/>
  <c r="O1790" i="14"/>
  <c r="O1789" i="14"/>
  <c r="O1788" i="14"/>
  <c r="O1785" i="14"/>
  <c r="O1784" i="14"/>
  <c r="O1781" i="14"/>
  <c r="O1780" i="14"/>
  <c r="O1777" i="14"/>
  <c r="O1776" i="14"/>
  <c r="O1775" i="14"/>
  <c r="O1774" i="14"/>
  <c r="O1773" i="14"/>
  <c r="O1772" i="14"/>
  <c r="O1771" i="14"/>
  <c r="O1770" i="14"/>
  <c r="O1769" i="14"/>
  <c r="O1768" i="14"/>
  <c r="O1767" i="14"/>
  <c r="O1766" i="14"/>
  <c r="O1765" i="14"/>
  <c r="O1764" i="14"/>
  <c r="O1763" i="14"/>
  <c r="O1762" i="14"/>
  <c r="O1761" i="14"/>
  <c r="O1760" i="14"/>
  <c r="O1759" i="14"/>
  <c r="O1758" i="14"/>
  <c r="O1757" i="14"/>
  <c r="O1756" i="14"/>
  <c r="O1755" i="14"/>
  <c r="O1754" i="14"/>
  <c r="O1750" i="14"/>
  <c r="O1748" i="14"/>
  <c r="O1745" i="14"/>
  <c r="O1744" i="14"/>
  <c r="O1743" i="14"/>
  <c r="N1779" i="14"/>
  <c r="N1787" i="14"/>
  <c r="R1787" i="14" s="1"/>
  <c r="N1792" i="14"/>
  <c r="R1792" i="14" s="1"/>
  <c r="N1801" i="14"/>
  <c r="N1800" i="14" s="1"/>
  <c r="N1822" i="14"/>
  <c r="N1818" i="14" s="1"/>
  <c r="N1817" i="14" s="1"/>
  <c r="N1852" i="14"/>
  <c r="N1854" i="14"/>
  <c r="R1854" i="14" s="1"/>
  <c r="K1855" i="14"/>
  <c r="K1854" i="14"/>
  <c r="K1853" i="14"/>
  <c r="K1852" i="14"/>
  <c r="K1851" i="14"/>
  <c r="K1848" i="14"/>
  <c r="K1844" i="14"/>
  <c r="K1838" i="14"/>
  <c r="K1837" i="14"/>
  <c r="K1836" i="14"/>
  <c r="K1835" i="14"/>
  <c r="K1831" i="14"/>
  <c r="K1827" i="14"/>
  <c r="K1824" i="14"/>
  <c r="K1823" i="14"/>
  <c r="K1822" i="14"/>
  <c r="K1817" i="14"/>
  <c r="K1816" i="14"/>
  <c r="K1814" i="14"/>
  <c r="K1813" i="14"/>
  <c r="K1807" i="14"/>
  <c r="K1805" i="14"/>
  <c r="K1802" i="14"/>
  <c r="K1801" i="14"/>
  <c r="K1800" i="14"/>
  <c r="K1799" i="14"/>
  <c r="K1796" i="14"/>
  <c r="K1795" i="14"/>
  <c r="K1794" i="14"/>
  <c r="K1793" i="14"/>
  <c r="K1792" i="14"/>
  <c r="K1791" i="14"/>
  <c r="K1790" i="14"/>
  <c r="K1789" i="14"/>
  <c r="K1788" i="14"/>
  <c r="K1787" i="14"/>
  <c r="K1786" i="14"/>
  <c r="K1781" i="14"/>
  <c r="K1780" i="14"/>
  <c r="K1779" i="14"/>
  <c r="K1778" i="14"/>
  <c r="K1777" i="14"/>
  <c r="K1775" i="14"/>
  <c r="K1774" i="14"/>
  <c r="K1773" i="14"/>
  <c r="K1772" i="14"/>
  <c r="K1771" i="14"/>
  <c r="K1768" i="14"/>
  <c r="K1765" i="14"/>
  <c r="K1764" i="14"/>
  <c r="K1763" i="14"/>
  <c r="K1760" i="14"/>
  <c r="K1757" i="14"/>
  <c r="K1755" i="14"/>
  <c r="K1754" i="14"/>
  <c r="K1750" i="14"/>
  <c r="K1749" i="14"/>
  <c r="K1748" i="14"/>
  <c r="K1747" i="14"/>
  <c r="K1746" i="14"/>
  <c r="K1745" i="14"/>
  <c r="K1744" i="14"/>
  <c r="J1743" i="14"/>
  <c r="R1743" i="14" s="1"/>
  <c r="J1756" i="14"/>
  <c r="R1756" i="14" s="1"/>
  <c r="J1766" i="14"/>
  <c r="R1766" i="14" s="1"/>
  <c r="J1784" i="14"/>
  <c r="J1798" i="14"/>
  <c r="R1798" i="14" s="1"/>
  <c r="J1804" i="14"/>
  <c r="R1804" i="14" s="1"/>
  <c r="R1808" i="14"/>
  <c r="J1812" i="14"/>
  <c r="R1812" i="14" s="1"/>
  <c r="J1815" i="14"/>
  <c r="R1815" i="14" s="1"/>
  <c r="J1826" i="14"/>
  <c r="J1825" i="14" s="1"/>
  <c r="R1825" i="14" s="1"/>
  <c r="J1830" i="14"/>
  <c r="J1829" i="14" s="1"/>
  <c r="J1834" i="14"/>
  <c r="J1843" i="14"/>
  <c r="R1843" i="14" s="1"/>
  <c r="R1690" i="14"/>
  <c r="R1691" i="14"/>
  <c r="R1692" i="14"/>
  <c r="R1693" i="14"/>
  <c r="R1694" i="14"/>
  <c r="R1695" i="14"/>
  <c r="R1696" i="14"/>
  <c r="R1697" i="14"/>
  <c r="R1698" i="14"/>
  <c r="R1699" i="14"/>
  <c r="R1700" i="14"/>
  <c r="R1701" i="14"/>
  <c r="R1702" i="14"/>
  <c r="R1703" i="14"/>
  <c r="R1704" i="14"/>
  <c r="R1705" i="14"/>
  <c r="R1706" i="14"/>
  <c r="R1707" i="14"/>
  <c r="R1711" i="14"/>
  <c r="R1712" i="14"/>
  <c r="R1713" i="14"/>
  <c r="R1715" i="14"/>
  <c r="R1717" i="14"/>
  <c r="R1718" i="14"/>
  <c r="R1719" i="14"/>
  <c r="R1720" i="14"/>
  <c r="R1722" i="14"/>
  <c r="R1724" i="14"/>
  <c r="R1725" i="14"/>
  <c r="R1728" i="14"/>
  <c r="R1731" i="14"/>
  <c r="O1731" i="14"/>
  <c r="O1728" i="14"/>
  <c r="O1727" i="14"/>
  <c r="O1726" i="14"/>
  <c r="O1725" i="14"/>
  <c r="O1722" i="14"/>
  <c r="S1722" i="14" s="1"/>
  <c r="O1720" i="14"/>
  <c r="O1719" i="14"/>
  <c r="O1718" i="14"/>
  <c r="O1717" i="14"/>
  <c r="O1716" i="14"/>
  <c r="O1715" i="14"/>
  <c r="O1713" i="14"/>
  <c r="O1712" i="14"/>
  <c r="O1711" i="14"/>
  <c r="O1710" i="14"/>
  <c r="O1709" i="14"/>
  <c r="O1707" i="14"/>
  <c r="O1706" i="14"/>
  <c r="O1705" i="14"/>
  <c r="O1704" i="14"/>
  <c r="O1703" i="14"/>
  <c r="O1702" i="14"/>
  <c r="O1701" i="14"/>
  <c r="O1700" i="14"/>
  <c r="O1699" i="14"/>
  <c r="O1698" i="14"/>
  <c r="O1697" i="14"/>
  <c r="O1696" i="14"/>
  <c r="O1695" i="14"/>
  <c r="O1694" i="14"/>
  <c r="O1693" i="14"/>
  <c r="O1692" i="14"/>
  <c r="O1691" i="14"/>
  <c r="O1690" i="14"/>
  <c r="O1689" i="14"/>
  <c r="O1688" i="14"/>
  <c r="N1723" i="14"/>
  <c r="N1730" i="14"/>
  <c r="N1729" i="14" s="1"/>
  <c r="R1729" i="14" s="1"/>
  <c r="K1731" i="14"/>
  <c r="K1730" i="14"/>
  <c r="K1729" i="14"/>
  <c r="K1728" i="14"/>
  <c r="K1725" i="14"/>
  <c r="K1724" i="14"/>
  <c r="K1723" i="14"/>
  <c r="K1722" i="14"/>
  <c r="K1721" i="14"/>
  <c r="K1719" i="14"/>
  <c r="K1715" i="14"/>
  <c r="K1707" i="14"/>
  <c r="K1706" i="14"/>
  <c r="K1705" i="14"/>
  <c r="K1704" i="14"/>
  <c r="K1703" i="14"/>
  <c r="K1702" i="14"/>
  <c r="K1700" i="14"/>
  <c r="K1699" i="14"/>
  <c r="K1698" i="14"/>
  <c r="K1697" i="14"/>
  <c r="K1695" i="14"/>
  <c r="K1694" i="14"/>
  <c r="K1693" i="14"/>
  <c r="K1692" i="14"/>
  <c r="K1691" i="14"/>
  <c r="J1689" i="14"/>
  <c r="J1710" i="14"/>
  <c r="J1709" i="14" s="1"/>
  <c r="R1709" i="14" s="1"/>
  <c r="J1716" i="14"/>
  <c r="R1716" i="14" s="1"/>
  <c r="J1727" i="14"/>
  <c r="J1726" i="14" s="1"/>
  <c r="R1726" i="14" s="1"/>
  <c r="R1521" i="14"/>
  <c r="R1522" i="14"/>
  <c r="R1525" i="14"/>
  <c r="R1526" i="14"/>
  <c r="R1527" i="14"/>
  <c r="R1528" i="14"/>
  <c r="R1529" i="14"/>
  <c r="R1530" i="14"/>
  <c r="R1531" i="14"/>
  <c r="R1532" i="14"/>
  <c r="R1533" i="14"/>
  <c r="R1534" i="14"/>
  <c r="R1535" i="14"/>
  <c r="R1536" i="14"/>
  <c r="R1537" i="14"/>
  <c r="R1538" i="14"/>
  <c r="R1539" i="14"/>
  <c r="R1540" i="14"/>
  <c r="R1541" i="14"/>
  <c r="R1543" i="14"/>
  <c r="R1547" i="14"/>
  <c r="R1548" i="14"/>
  <c r="R1551" i="14"/>
  <c r="R1552" i="14"/>
  <c r="R1553" i="14"/>
  <c r="R1555" i="14"/>
  <c r="R1556" i="14"/>
  <c r="R1559" i="14"/>
  <c r="R1562" i="14"/>
  <c r="R1564" i="14"/>
  <c r="R1566" i="14"/>
  <c r="R1567" i="14"/>
  <c r="R1569" i="14"/>
  <c r="R1570" i="14"/>
  <c r="R1571" i="14"/>
  <c r="R1572" i="14"/>
  <c r="R1573" i="14"/>
  <c r="R1574" i="14"/>
  <c r="R1578" i="14"/>
  <c r="R1580" i="14"/>
  <c r="R1581" i="14"/>
  <c r="R1583" i="14"/>
  <c r="R1584" i="14"/>
  <c r="R1586" i="14"/>
  <c r="R1587" i="14"/>
  <c r="R1588" i="14"/>
  <c r="R1589" i="14"/>
  <c r="R1590" i="14"/>
  <c r="R1593" i="14"/>
  <c r="R1594" i="14"/>
  <c r="R1597" i="14"/>
  <c r="R1598" i="14"/>
  <c r="R1600" i="14"/>
  <c r="R1601" i="14"/>
  <c r="R1602" i="14"/>
  <c r="R1603" i="14"/>
  <c r="R1604" i="14"/>
  <c r="R1608" i="14"/>
  <c r="R1609" i="14"/>
  <c r="R1610" i="14"/>
  <c r="R1611" i="14"/>
  <c r="R1612" i="14"/>
  <c r="R1614" i="14"/>
  <c r="R1615" i="14"/>
  <c r="R1616" i="14"/>
  <c r="R1617" i="14"/>
  <c r="R1618" i="14"/>
  <c r="R1619" i="14"/>
  <c r="R1624" i="14"/>
  <c r="R1625" i="14"/>
  <c r="R1627" i="14"/>
  <c r="R1628" i="14"/>
  <c r="R1629" i="14"/>
  <c r="R1630" i="14"/>
  <c r="R1631" i="14"/>
  <c r="R1632" i="14"/>
  <c r="R1633" i="14"/>
  <c r="R1634" i="14"/>
  <c r="R1637" i="14"/>
  <c r="O1634" i="14"/>
  <c r="O1633" i="14"/>
  <c r="O1632" i="14"/>
  <c r="O1631" i="14"/>
  <c r="O1630" i="14"/>
  <c r="O1629" i="14"/>
  <c r="O1628" i="14"/>
  <c r="O1627" i="14"/>
  <c r="O1626" i="14"/>
  <c r="O1625" i="14"/>
  <c r="O1624" i="14"/>
  <c r="O1619" i="14"/>
  <c r="O1618" i="14"/>
  <c r="O1617" i="14"/>
  <c r="O1616" i="14"/>
  <c r="O1615" i="14"/>
  <c r="O1612" i="14"/>
  <c r="O1610" i="14"/>
  <c r="O1608" i="14"/>
  <c r="O1604" i="14"/>
  <c r="O1603" i="14"/>
  <c r="O1602" i="14"/>
  <c r="O1601" i="14"/>
  <c r="O1600" i="14"/>
  <c r="O1599" i="14"/>
  <c r="O1598" i="14"/>
  <c r="O1597" i="14"/>
  <c r="O1596" i="14"/>
  <c r="O1595" i="14"/>
  <c r="O1593" i="14"/>
  <c r="O1590" i="14"/>
  <c r="O1589" i="14"/>
  <c r="O1588" i="14"/>
  <c r="O1587" i="14"/>
  <c r="O1586" i="14"/>
  <c r="O1585" i="14"/>
  <c r="O1584" i="14"/>
  <c r="O1583" i="14"/>
  <c r="O1580" i="14"/>
  <c r="O1578" i="14"/>
  <c r="O1574" i="14"/>
  <c r="O1573" i="14"/>
  <c r="O1572" i="14"/>
  <c r="O1571" i="14"/>
  <c r="O1570" i="14"/>
  <c r="O1569" i="14"/>
  <c r="O1568" i="14"/>
  <c r="O1567" i="14"/>
  <c r="O1566" i="14"/>
  <c r="O1565" i="14"/>
  <c r="O1562" i="14"/>
  <c r="O1559" i="14"/>
  <c r="O1558" i="14"/>
  <c r="O1555" i="14"/>
  <c r="O1553" i="14"/>
  <c r="O1552" i="14"/>
  <c r="O1551" i="14"/>
  <c r="O1550" i="14"/>
  <c r="O1548" i="14"/>
  <c r="O1547" i="14"/>
  <c r="O1546" i="14"/>
  <c r="O1545" i="14"/>
  <c r="O1543" i="14"/>
  <c r="O1541" i="14"/>
  <c r="O1540" i="14"/>
  <c r="O1539" i="14"/>
  <c r="O1538" i="14"/>
  <c r="O1537" i="14"/>
  <c r="O1536" i="14"/>
  <c r="O1535" i="14"/>
  <c r="O1534" i="14"/>
  <c r="O1533" i="14"/>
  <c r="O1532" i="14"/>
  <c r="O1531" i="14"/>
  <c r="O1530" i="14"/>
  <c r="O1529" i="14"/>
  <c r="O1528" i="14"/>
  <c r="O1527" i="14"/>
  <c r="O1526" i="14"/>
  <c r="O1525" i="14"/>
  <c r="O1524" i="14"/>
  <c r="O1522" i="14"/>
  <c r="O1521" i="14"/>
  <c r="O1520" i="14"/>
  <c r="O1519" i="14"/>
  <c r="K1637" i="14"/>
  <c r="K1636" i="14"/>
  <c r="K1635" i="14"/>
  <c r="K1634" i="14"/>
  <c r="K1633" i="14"/>
  <c r="K1631" i="14"/>
  <c r="K1630" i="14"/>
  <c r="K1629" i="14"/>
  <c r="K1628" i="14"/>
  <c r="K1625" i="14"/>
  <c r="K1624" i="14"/>
  <c r="K1619" i="14"/>
  <c r="K1618" i="14"/>
  <c r="K1617" i="14"/>
  <c r="K1616" i="14"/>
  <c r="K1615" i="14"/>
  <c r="K1614" i="14"/>
  <c r="K1613" i="14"/>
  <c r="K1612" i="14"/>
  <c r="K1611" i="14"/>
  <c r="K1610" i="14"/>
  <c r="K1609" i="14"/>
  <c r="K1608" i="14"/>
  <c r="K1607" i="14"/>
  <c r="K1606" i="14"/>
  <c r="K1604" i="14"/>
  <c r="K1602" i="14"/>
  <c r="K1601" i="14"/>
  <c r="K1600" i="14"/>
  <c r="K1598" i="14"/>
  <c r="K1597" i="14"/>
  <c r="K1594" i="14"/>
  <c r="K1593" i="14"/>
  <c r="K1592" i="14"/>
  <c r="K1591" i="14"/>
  <c r="K1590" i="14"/>
  <c r="K1589" i="14"/>
  <c r="K1587" i="14"/>
  <c r="K1586" i="14"/>
  <c r="K1584" i="14"/>
  <c r="K1583" i="14"/>
  <c r="K1581" i="14"/>
  <c r="K1580" i="14"/>
  <c r="K1579" i="14"/>
  <c r="K1578" i="14"/>
  <c r="K1577" i="14"/>
  <c r="K1576" i="14"/>
  <c r="K1569" i="14"/>
  <c r="K1564" i="14"/>
  <c r="K1563" i="14"/>
  <c r="K1562" i="14"/>
  <c r="K1561" i="14"/>
  <c r="K1560" i="14"/>
  <c r="K1559" i="14"/>
  <c r="K1556" i="14"/>
  <c r="K1555" i="14"/>
  <c r="K1554" i="14"/>
  <c r="K1553" i="14"/>
  <c r="S1553" i="14" s="1"/>
  <c r="K1552" i="14"/>
  <c r="S1552" i="14" s="1"/>
  <c r="K1548" i="14"/>
  <c r="K1547" i="14"/>
  <c r="K1543" i="14"/>
  <c r="K1542" i="14"/>
  <c r="K1541" i="14"/>
  <c r="K1540" i="14"/>
  <c r="K1539" i="14"/>
  <c r="K1538" i="14"/>
  <c r="K1537" i="14"/>
  <c r="K1536" i="14"/>
  <c r="K1535" i="14"/>
  <c r="K1534" i="14"/>
  <c r="K1533" i="14"/>
  <c r="K1532" i="14"/>
  <c r="K1531" i="14"/>
  <c r="K1529" i="14"/>
  <c r="S1529" i="14" s="1"/>
  <c r="K1528" i="14"/>
  <c r="K1527" i="14"/>
  <c r="K1526" i="14"/>
  <c r="K1525" i="14"/>
  <c r="K1522" i="14"/>
  <c r="K1521" i="14"/>
  <c r="N1542" i="14"/>
  <c r="N1561" i="14"/>
  <c r="R1561" i="14" s="1"/>
  <c r="N1563" i="14"/>
  <c r="R1563" i="14" s="1"/>
  <c r="N1577" i="14"/>
  <c r="R1577" i="14" s="1"/>
  <c r="N1579" i="14"/>
  <c r="R1579" i="14" s="1"/>
  <c r="N1592" i="14"/>
  <c r="N1607" i="14"/>
  <c r="N1613" i="14"/>
  <c r="R1613" i="14" s="1"/>
  <c r="N1636" i="14"/>
  <c r="N1635" i="14" s="1"/>
  <c r="N1623" i="14" s="1"/>
  <c r="J1520" i="14"/>
  <c r="J1519" i="14" s="1"/>
  <c r="R1519" i="14" s="1"/>
  <c r="J1524" i="14"/>
  <c r="J1546" i="14"/>
  <c r="J1550" i="14"/>
  <c r="J1558" i="14"/>
  <c r="R1558" i="14" s="1"/>
  <c r="J1568" i="14"/>
  <c r="R1568" i="14" s="1"/>
  <c r="J1585" i="14"/>
  <c r="J1582" i="14" s="1"/>
  <c r="J1599" i="14"/>
  <c r="J1596" i="14" s="1"/>
  <c r="J1626" i="14"/>
  <c r="R722" i="14"/>
  <c r="R725" i="14"/>
  <c r="R727" i="14"/>
  <c r="R728" i="14"/>
  <c r="R729" i="14"/>
  <c r="R730" i="14"/>
  <c r="R731" i="14"/>
  <c r="R732" i="14"/>
  <c r="R733" i="14"/>
  <c r="R734" i="14"/>
  <c r="R736" i="14"/>
  <c r="R737" i="14"/>
  <c r="R739" i="14"/>
  <c r="R740" i="14"/>
  <c r="R741" i="14"/>
  <c r="R742" i="14"/>
  <c r="R743" i="14"/>
  <c r="R744" i="14"/>
  <c r="R747" i="14"/>
  <c r="R750" i="14"/>
  <c r="R752" i="14"/>
  <c r="R753" i="14"/>
  <c r="R755" i="14"/>
  <c r="R756" i="14"/>
  <c r="R757" i="14"/>
  <c r="R758" i="14"/>
  <c r="R759" i="14"/>
  <c r="R761" i="14"/>
  <c r="R762" i="14"/>
  <c r="R764" i="14"/>
  <c r="R765" i="14"/>
  <c r="R766" i="14"/>
  <c r="R767" i="14"/>
  <c r="R768" i="14"/>
  <c r="R770" i="14"/>
  <c r="R771" i="14"/>
  <c r="R773" i="14"/>
  <c r="R774" i="14"/>
  <c r="R775" i="14"/>
  <c r="R776" i="14"/>
  <c r="R779" i="14"/>
  <c r="R781" i="14"/>
  <c r="R782" i="14"/>
  <c r="R784" i="14"/>
  <c r="R785" i="14"/>
  <c r="R786" i="14"/>
  <c r="R787" i="14"/>
  <c r="R789" i="14"/>
  <c r="R790" i="14"/>
  <c r="R792" i="14"/>
  <c r="R793" i="14"/>
  <c r="R794" i="14"/>
  <c r="R795" i="14"/>
  <c r="R796" i="14"/>
  <c r="R798" i="14"/>
  <c r="R799" i="14"/>
  <c r="R801" i="14"/>
  <c r="R802" i="14"/>
  <c r="R803" i="14"/>
  <c r="R804" i="14"/>
  <c r="R805" i="14"/>
  <c r="R807" i="14"/>
  <c r="R808" i="14"/>
  <c r="R810" i="14"/>
  <c r="R811" i="14"/>
  <c r="R812" i="14"/>
  <c r="R813" i="14"/>
  <c r="R814" i="14"/>
  <c r="R819" i="14"/>
  <c r="R820" i="14"/>
  <c r="R822" i="14"/>
  <c r="R823" i="14"/>
  <c r="R824" i="14"/>
  <c r="R825" i="14"/>
  <c r="R826" i="14"/>
  <c r="R828" i="14"/>
  <c r="R829" i="14"/>
  <c r="R831" i="14"/>
  <c r="R832" i="14"/>
  <c r="R833" i="14"/>
  <c r="R834" i="14"/>
  <c r="R835" i="14"/>
  <c r="R838" i="14"/>
  <c r="R839" i="14"/>
  <c r="R841" i="14"/>
  <c r="R842" i="14"/>
  <c r="R844" i="14"/>
  <c r="R845" i="14"/>
  <c r="R846" i="14"/>
  <c r="R847" i="14"/>
  <c r="R854" i="14"/>
  <c r="R855" i="14"/>
  <c r="R857" i="14"/>
  <c r="R858" i="14"/>
  <c r="R859" i="14"/>
  <c r="R860" i="14"/>
  <c r="R863" i="14"/>
  <c r="R865" i="14"/>
  <c r="R866" i="14"/>
  <c r="R868" i="14"/>
  <c r="R869" i="14"/>
  <c r="R870" i="14"/>
  <c r="R871" i="14"/>
  <c r="R874" i="14"/>
  <c r="R876" i="14"/>
  <c r="R877" i="14"/>
  <c r="R879" i="14"/>
  <c r="R880" i="14"/>
  <c r="R881" i="14"/>
  <c r="R882" i="14"/>
  <c r="R884" i="14"/>
  <c r="R885" i="14"/>
  <c r="R887" i="14"/>
  <c r="R888" i="14"/>
  <c r="R889" i="14"/>
  <c r="R890" i="14"/>
  <c r="R891" i="14"/>
  <c r="R892" i="14"/>
  <c r="R894" i="14"/>
  <c r="R896" i="14"/>
  <c r="R897" i="14"/>
  <c r="R899" i="14"/>
  <c r="R900" i="14"/>
  <c r="R901" i="14"/>
  <c r="R902" i="14"/>
  <c r="R903" i="14"/>
  <c r="R904" i="14"/>
  <c r="R907" i="14"/>
  <c r="R908" i="14"/>
  <c r="R909" i="14"/>
  <c r="R912" i="14"/>
  <c r="R913" i="14"/>
  <c r="R915" i="14"/>
  <c r="R916" i="14"/>
  <c r="R918" i="14"/>
  <c r="R919" i="14"/>
  <c r="R920" i="14"/>
  <c r="R922" i="14"/>
  <c r="R923" i="14"/>
  <c r="R925" i="14"/>
  <c r="R926" i="14"/>
  <c r="R927" i="14"/>
  <c r="R928" i="14"/>
  <c r="R929" i="14"/>
  <c r="R930" i="14"/>
  <c r="R931" i="14"/>
  <c r="R932" i="14"/>
  <c r="R933" i="14"/>
  <c r="R935" i="14"/>
  <c r="R936" i="14"/>
  <c r="R937" i="14"/>
  <c r="R938" i="14"/>
  <c r="R939" i="14"/>
  <c r="R940" i="14"/>
  <c r="R941" i="14"/>
  <c r="R942" i="14"/>
  <c r="R944" i="14"/>
  <c r="R945" i="14"/>
  <c r="R947" i="14"/>
  <c r="R948" i="14"/>
  <c r="R949" i="14"/>
  <c r="R951" i="14"/>
  <c r="R952" i="14"/>
  <c r="R953" i="14"/>
  <c r="R954" i="14"/>
  <c r="R955" i="14"/>
  <c r="R957" i="14"/>
  <c r="R958" i="14"/>
  <c r="R959" i="14"/>
  <c r="R960" i="14"/>
  <c r="R961" i="14"/>
  <c r="R962" i="14"/>
  <c r="R963" i="14"/>
  <c r="R966" i="14"/>
  <c r="R968" i="14"/>
  <c r="R969" i="14"/>
  <c r="R971" i="14"/>
  <c r="R972" i="14"/>
  <c r="R973" i="14"/>
  <c r="R974" i="14"/>
  <c r="R975" i="14"/>
  <c r="R976" i="14"/>
  <c r="R977" i="14"/>
  <c r="R978" i="14"/>
  <c r="R979" i="14"/>
  <c r="R981" i="14"/>
  <c r="R982" i="14"/>
  <c r="R983" i="14"/>
  <c r="R984" i="14"/>
  <c r="R985" i="14"/>
  <c r="R986" i="14"/>
  <c r="R987" i="14"/>
  <c r="R989" i="14"/>
  <c r="R990" i="14"/>
  <c r="R992" i="14"/>
  <c r="R993" i="14"/>
  <c r="R994" i="14"/>
  <c r="R996" i="14"/>
  <c r="R997" i="14"/>
  <c r="R998" i="14"/>
  <c r="R999" i="14"/>
  <c r="R1000" i="14"/>
  <c r="R1002" i="14"/>
  <c r="R1003" i="14"/>
  <c r="R1004" i="14"/>
  <c r="R1005" i="14"/>
  <c r="R1006" i="14"/>
  <c r="R1007" i="14"/>
  <c r="R1008" i="14"/>
  <c r="R1011" i="14"/>
  <c r="R1012" i="14"/>
  <c r="R1014" i="14"/>
  <c r="R1015" i="14"/>
  <c r="R1017" i="14"/>
  <c r="R1018" i="14"/>
  <c r="R1019" i="14"/>
  <c r="R1021" i="14"/>
  <c r="R1022" i="14"/>
  <c r="R1023" i="14"/>
  <c r="R1024" i="14"/>
  <c r="R1025" i="14"/>
  <c r="R1027" i="14"/>
  <c r="R1028" i="14"/>
  <c r="R1029" i="14"/>
  <c r="R1030" i="14"/>
  <c r="R1031" i="14"/>
  <c r="R1032" i="14"/>
  <c r="R1033" i="14"/>
  <c r="R1034" i="14"/>
  <c r="R1037" i="14"/>
  <c r="R1039" i="14"/>
  <c r="R1040" i="14"/>
  <c r="R1042" i="14"/>
  <c r="R1043" i="14"/>
  <c r="R1044" i="14"/>
  <c r="R1046" i="14"/>
  <c r="R1047" i="14"/>
  <c r="R1048" i="14"/>
  <c r="R1049" i="14"/>
  <c r="R1050" i="14"/>
  <c r="R1052" i="14"/>
  <c r="R1053" i="14"/>
  <c r="R1054" i="14"/>
  <c r="R1055" i="14"/>
  <c r="R1056" i="14"/>
  <c r="R1057" i="14"/>
  <c r="R1058" i="14"/>
  <c r="R1060" i="14"/>
  <c r="R1061" i="14"/>
  <c r="R1063" i="14"/>
  <c r="R1064" i="14"/>
  <c r="R1065" i="14"/>
  <c r="R1067" i="14"/>
  <c r="R1068" i="14"/>
  <c r="R1069" i="14"/>
  <c r="R1070" i="14"/>
  <c r="R1071" i="14"/>
  <c r="R1072" i="14"/>
  <c r="R1074" i="14"/>
  <c r="R1075" i="14"/>
  <c r="R1076" i="14"/>
  <c r="R1077" i="14"/>
  <c r="R1078" i="14"/>
  <c r="R1079" i="14"/>
  <c r="R1080" i="14"/>
  <c r="R1081" i="14"/>
  <c r="R1083" i="14"/>
  <c r="R1084" i="14"/>
  <c r="R1086" i="14"/>
  <c r="R1087" i="14"/>
  <c r="R1089" i="14"/>
  <c r="R1090" i="14"/>
  <c r="R1091" i="14"/>
  <c r="R1092" i="14"/>
  <c r="R1093" i="14"/>
  <c r="R1095" i="14"/>
  <c r="R1096" i="14"/>
  <c r="R1097" i="14"/>
  <c r="R1098" i="14"/>
  <c r="R1099" i="14"/>
  <c r="R1100" i="14"/>
  <c r="R1104" i="14"/>
  <c r="R1105" i="14"/>
  <c r="R1106" i="14"/>
  <c r="R1107" i="14"/>
  <c r="R1108" i="14"/>
  <c r="R1109" i="14"/>
  <c r="R1110" i="14"/>
  <c r="R1111" i="14"/>
  <c r="R1113" i="14"/>
  <c r="R1114" i="14"/>
  <c r="R1116" i="14"/>
  <c r="R1117" i="14"/>
  <c r="R1118" i="14"/>
  <c r="R1120" i="14"/>
  <c r="R1121" i="14"/>
  <c r="R1122" i="14"/>
  <c r="R1124" i="14"/>
  <c r="R1125" i="14"/>
  <c r="R1127" i="14"/>
  <c r="R1128" i="14"/>
  <c r="R1129" i="14"/>
  <c r="R1131" i="14"/>
  <c r="R1132" i="14"/>
  <c r="R1134" i="14"/>
  <c r="R1135" i="14"/>
  <c r="R1136" i="14"/>
  <c r="R1137" i="14"/>
  <c r="R1139" i="14"/>
  <c r="R1140" i="14"/>
  <c r="R1142" i="14"/>
  <c r="R1143" i="14"/>
  <c r="R1144" i="14"/>
  <c r="R1145" i="14"/>
  <c r="R1147" i="14"/>
  <c r="R1148" i="14"/>
  <c r="R1150" i="14"/>
  <c r="R1151" i="14"/>
  <c r="R1152" i="14"/>
  <c r="R1153" i="14"/>
  <c r="R1154" i="14"/>
  <c r="R1156" i="14"/>
  <c r="R1157" i="14"/>
  <c r="R1159" i="14"/>
  <c r="R1160" i="14"/>
  <c r="R1161" i="14"/>
  <c r="R1162" i="14"/>
  <c r="R1163" i="14"/>
  <c r="R1165" i="14"/>
  <c r="R1166" i="14"/>
  <c r="R1168" i="14"/>
  <c r="R1169" i="14"/>
  <c r="R1170" i="14"/>
  <c r="R1171" i="14"/>
  <c r="R1173" i="14"/>
  <c r="R1174" i="14"/>
  <c r="R1176" i="14"/>
  <c r="R1177" i="14"/>
  <c r="R1178" i="14"/>
  <c r="R1179" i="14"/>
  <c r="R1181" i="14"/>
  <c r="R1182" i="14"/>
  <c r="R1184" i="14"/>
  <c r="R1185" i="14"/>
  <c r="R1186" i="14"/>
  <c r="R1187" i="14"/>
  <c r="R1189" i="14"/>
  <c r="R1190" i="14"/>
  <c r="R1192" i="14"/>
  <c r="R1193" i="14"/>
  <c r="R1194" i="14"/>
  <c r="R1195" i="14"/>
  <c r="R1197" i="14"/>
  <c r="R1198" i="14"/>
  <c r="R1200" i="14"/>
  <c r="R1201" i="14"/>
  <c r="R1202" i="14"/>
  <c r="R1203" i="14"/>
  <c r="R1204" i="14"/>
  <c r="R1205" i="14"/>
  <c r="R1206" i="14"/>
  <c r="R1210" i="14"/>
  <c r="R1211" i="14"/>
  <c r="R1212" i="14"/>
  <c r="R1213" i="14"/>
  <c r="R1214" i="14"/>
  <c r="R1217" i="14"/>
  <c r="R1218" i="14"/>
  <c r="R1220" i="14"/>
  <c r="R1221" i="14"/>
  <c r="R1222" i="14"/>
  <c r="R1223" i="14"/>
  <c r="R1225" i="14"/>
  <c r="R1226" i="14"/>
  <c r="R1228" i="14"/>
  <c r="R1229" i="14"/>
  <c r="R1230" i="14"/>
  <c r="R1232" i="14"/>
  <c r="R1233" i="14"/>
  <c r="R1235" i="14"/>
  <c r="R1236" i="14"/>
  <c r="R1237" i="14"/>
  <c r="R1239" i="14"/>
  <c r="R1240" i="14"/>
  <c r="R1242" i="14"/>
  <c r="R1243" i="14"/>
  <c r="R1244" i="14"/>
  <c r="R1246" i="14"/>
  <c r="R1247" i="14"/>
  <c r="R1249" i="14"/>
  <c r="R1250" i="14"/>
  <c r="R1251" i="14"/>
  <c r="R1253" i="14"/>
  <c r="R1254" i="14"/>
  <c r="R1256" i="14"/>
  <c r="R1257" i="14"/>
  <c r="R1258" i="14"/>
  <c r="R1259" i="14"/>
  <c r="R1261" i="14"/>
  <c r="R1262" i="14"/>
  <c r="R1264" i="14"/>
  <c r="R1265" i="14"/>
  <c r="R1266" i="14"/>
  <c r="R1268" i="14"/>
  <c r="R1269" i="14"/>
  <c r="R1271" i="14"/>
  <c r="R1272" i="14"/>
  <c r="R1273" i="14"/>
  <c r="R1275" i="14"/>
  <c r="R1276" i="14"/>
  <c r="R1278" i="14"/>
  <c r="R1279" i="14"/>
  <c r="R1280" i="14"/>
  <c r="R1281" i="14"/>
  <c r="R1283" i="14"/>
  <c r="R1284" i="14"/>
  <c r="R1286" i="14"/>
  <c r="R1287" i="14"/>
  <c r="R1288" i="14"/>
  <c r="R1290" i="14"/>
  <c r="R1291" i="14"/>
  <c r="R1292" i="14"/>
  <c r="R1293" i="14"/>
  <c r="R1294" i="14"/>
  <c r="R1295" i="14"/>
  <c r="R1297" i="14"/>
  <c r="R1298" i="14"/>
  <c r="R1300" i="14"/>
  <c r="R1301" i="14"/>
  <c r="R1302" i="14"/>
  <c r="R1304" i="14"/>
  <c r="R1305" i="14"/>
  <c r="R1307" i="14"/>
  <c r="R1308" i="14"/>
  <c r="R1309" i="14"/>
  <c r="R1311" i="14"/>
  <c r="R1312" i="14"/>
  <c r="R1314" i="14"/>
  <c r="R1315" i="14"/>
  <c r="R1316" i="14"/>
  <c r="R1317" i="14"/>
  <c r="R1320" i="14"/>
  <c r="R1322" i="14"/>
  <c r="R1323" i="14"/>
  <c r="R1325" i="14"/>
  <c r="R1326" i="14"/>
  <c r="R1327" i="14"/>
  <c r="R1328" i="14"/>
  <c r="R1329" i="14"/>
  <c r="R1330" i="14"/>
  <c r="R1331" i="14"/>
  <c r="R1333" i="14"/>
  <c r="R1334" i="14"/>
  <c r="R1335" i="14"/>
  <c r="R1336" i="14"/>
  <c r="R1337" i="14"/>
  <c r="R1339" i="14"/>
  <c r="R1340" i="14"/>
  <c r="R1342" i="14"/>
  <c r="R1343" i="14"/>
  <c r="R1344" i="14"/>
  <c r="R1345" i="14"/>
  <c r="R1346" i="14"/>
  <c r="R1347" i="14"/>
  <c r="R1348" i="14"/>
  <c r="R1350" i="14"/>
  <c r="R1351" i="14"/>
  <c r="R1352" i="14"/>
  <c r="R1353" i="14"/>
  <c r="R1354" i="14"/>
  <c r="R1357" i="14"/>
  <c r="R1359" i="14"/>
  <c r="R1361" i="14"/>
  <c r="R1362" i="14"/>
  <c r="R1364" i="14"/>
  <c r="R1365" i="14"/>
  <c r="R1366" i="14"/>
  <c r="R1367" i="14"/>
  <c r="R1368" i="14"/>
  <c r="R1369" i="14"/>
  <c r="R1371" i="14"/>
  <c r="R1372" i="14"/>
  <c r="R1373" i="14"/>
  <c r="R1374" i="14"/>
  <c r="R1377" i="14"/>
  <c r="R1379" i="14"/>
  <c r="R1380" i="14"/>
  <c r="R1382" i="14"/>
  <c r="R1383" i="14"/>
  <c r="R1384" i="14"/>
  <c r="R1385" i="14"/>
  <c r="R1386" i="14"/>
  <c r="R1387" i="14"/>
  <c r="R1388" i="14"/>
  <c r="R1390" i="14"/>
  <c r="R1391" i="14"/>
  <c r="R1392" i="14"/>
  <c r="R1393" i="14"/>
  <c r="R1394" i="14"/>
  <c r="R1396" i="14"/>
  <c r="R1397" i="14"/>
  <c r="R1399" i="14"/>
  <c r="R1400" i="14"/>
  <c r="R1401" i="14"/>
  <c r="R1402" i="14"/>
  <c r="R1403" i="14"/>
  <c r="R1404" i="14"/>
  <c r="R1405" i="14"/>
  <c r="R1406" i="14"/>
  <c r="R1408" i="14"/>
  <c r="R1409" i="14"/>
  <c r="R1410" i="14"/>
  <c r="R1411" i="14"/>
  <c r="R1412" i="14"/>
  <c r="R1413" i="14"/>
  <c r="R1415" i="14"/>
  <c r="R1416" i="14"/>
  <c r="R1418" i="14"/>
  <c r="R1419" i="14"/>
  <c r="R1420" i="14"/>
  <c r="R1421" i="14"/>
  <c r="R1422" i="14"/>
  <c r="R1423" i="14"/>
  <c r="R1424" i="14"/>
  <c r="R1426" i="14"/>
  <c r="R1427" i="14"/>
  <c r="R1428" i="14"/>
  <c r="R1429" i="14"/>
  <c r="R1430" i="14"/>
  <c r="R1431" i="14"/>
  <c r="R1434" i="14"/>
  <c r="R1436" i="14"/>
  <c r="R1437" i="14"/>
  <c r="R1439" i="14"/>
  <c r="R1440" i="14"/>
  <c r="R1441" i="14"/>
  <c r="R1442" i="14"/>
  <c r="R1443" i="14"/>
  <c r="R1444" i="14"/>
  <c r="R1446" i="14"/>
  <c r="R1447" i="14"/>
  <c r="R1448" i="14"/>
  <c r="R1449" i="14"/>
  <c r="R1450" i="14"/>
  <c r="R1451" i="14"/>
  <c r="R1457" i="14"/>
  <c r="R1459" i="14"/>
  <c r="R1461" i="14"/>
  <c r="R1462" i="14"/>
  <c r="R1464" i="14"/>
  <c r="R1465" i="14"/>
  <c r="R1466" i="14"/>
  <c r="R1467" i="14"/>
  <c r="R1468" i="14"/>
  <c r="R1469" i="14"/>
  <c r="R1470" i="14"/>
  <c r="R1472" i="14"/>
  <c r="R1473" i="14"/>
  <c r="R1475" i="14"/>
  <c r="R1476" i="14"/>
  <c r="R1477" i="14"/>
  <c r="R1478" i="14"/>
  <c r="R1479" i="14"/>
  <c r="R1480" i="14"/>
  <c r="R1481" i="14"/>
  <c r="O1481" i="14"/>
  <c r="O1480" i="14"/>
  <c r="O1479" i="14"/>
  <c r="O1478" i="14"/>
  <c r="O1477" i="14"/>
  <c r="O1476" i="14"/>
  <c r="O1475" i="14"/>
  <c r="O1474" i="14"/>
  <c r="O1473" i="14"/>
  <c r="O1472" i="14"/>
  <c r="O1471" i="14"/>
  <c r="O1470" i="14"/>
  <c r="O1469" i="14"/>
  <c r="O1468" i="14"/>
  <c r="O1467" i="14"/>
  <c r="S1467" i="14" s="1"/>
  <c r="O1466" i="14"/>
  <c r="O1465" i="14"/>
  <c r="O1464" i="14"/>
  <c r="O1463" i="14"/>
  <c r="O1462" i="14"/>
  <c r="O1461" i="14"/>
  <c r="O1460" i="14"/>
  <c r="O1459" i="14"/>
  <c r="O1458" i="14"/>
  <c r="O1457" i="14"/>
  <c r="O1456" i="14"/>
  <c r="O1455" i="14"/>
  <c r="O1454" i="14"/>
  <c r="O1453" i="14"/>
  <c r="O1452" i="14"/>
  <c r="O1451" i="14"/>
  <c r="O1450" i="14"/>
  <c r="O1449" i="14"/>
  <c r="O1448" i="14"/>
  <c r="O1447" i="14"/>
  <c r="S1447" i="14" s="1"/>
  <c r="O1446" i="14"/>
  <c r="O1445" i="14"/>
  <c r="O1444" i="14"/>
  <c r="O1443" i="14"/>
  <c r="O1442" i="14"/>
  <c r="O1441" i="14"/>
  <c r="O1440" i="14"/>
  <c r="O1439" i="14"/>
  <c r="O1438" i="14"/>
  <c r="O1437" i="14"/>
  <c r="O1436" i="14"/>
  <c r="O1435" i="14"/>
  <c r="O1434" i="14"/>
  <c r="O1431" i="14"/>
  <c r="O1430" i="14"/>
  <c r="O1429" i="14"/>
  <c r="O1428" i="14"/>
  <c r="S1428" i="14" s="1"/>
  <c r="O1427" i="14"/>
  <c r="O1426" i="14"/>
  <c r="O1425" i="14"/>
  <c r="O1424" i="14"/>
  <c r="O1423" i="14"/>
  <c r="O1422" i="14"/>
  <c r="O1421" i="14"/>
  <c r="S1421" i="14" s="1"/>
  <c r="O1420" i="14"/>
  <c r="O1419" i="14"/>
  <c r="O1418" i="14"/>
  <c r="O1417" i="14"/>
  <c r="O1416" i="14"/>
  <c r="O1415" i="14"/>
  <c r="O1413" i="14"/>
  <c r="O1412" i="14"/>
  <c r="O1411" i="14"/>
  <c r="O1410" i="14"/>
  <c r="O1409" i="14"/>
  <c r="O1408" i="14"/>
  <c r="O1407" i="14"/>
  <c r="O1406" i="14"/>
  <c r="O1405" i="14"/>
  <c r="O1404" i="14"/>
  <c r="S1404" i="14" s="1"/>
  <c r="O1403" i="14"/>
  <c r="O1402" i="14"/>
  <c r="O1401" i="14"/>
  <c r="O1400" i="14"/>
  <c r="S1400" i="14" s="1"/>
  <c r="O1399" i="14"/>
  <c r="O1398" i="14"/>
  <c r="O1397" i="14"/>
  <c r="O1396" i="14"/>
  <c r="O1395" i="14"/>
  <c r="O1394" i="14"/>
  <c r="O1393" i="14"/>
  <c r="O1392" i="14"/>
  <c r="O1391" i="14"/>
  <c r="O1390" i="14"/>
  <c r="O1389" i="14"/>
  <c r="O1388" i="14"/>
  <c r="O1387" i="14"/>
  <c r="O1386" i="14"/>
  <c r="O1385" i="14"/>
  <c r="O1384" i="14"/>
  <c r="O1383" i="14"/>
  <c r="O1382" i="14"/>
  <c r="O1381" i="14"/>
  <c r="O1380" i="14"/>
  <c r="O1379" i="14"/>
  <c r="O1378" i="14"/>
  <c r="O1374" i="14"/>
  <c r="O1373" i="14"/>
  <c r="O1372" i="14"/>
  <c r="O1371" i="14"/>
  <c r="O1370" i="14"/>
  <c r="O1369" i="14"/>
  <c r="O1368" i="14"/>
  <c r="O1367" i="14"/>
  <c r="O1366" i="14"/>
  <c r="O1365" i="14"/>
  <c r="O1364" i="14"/>
  <c r="S1364" i="14" s="1"/>
  <c r="O1363" i="14"/>
  <c r="O1362" i="14"/>
  <c r="O1361" i="14"/>
  <c r="O1359" i="14"/>
  <c r="O1358" i="14"/>
  <c r="O1357" i="14"/>
  <c r="O1356" i="14"/>
  <c r="O1355" i="14"/>
  <c r="O1354" i="14"/>
  <c r="O1353" i="14"/>
  <c r="O1352" i="14"/>
  <c r="S1352" i="14" s="1"/>
  <c r="O1351" i="14"/>
  <c r="O1350" i="14"/>
  <c r="O1349" i="14"/>
  <c r="O1348" i="14"/>
  <c r="S1348" i="14" s="1"/>
  <c r="O1347" i="14"/>
  <c r="O1346" i="14"/>
  <c r="O1345" i="14"/>
  <c r="O1344" i="14"/>
  <c r="S1344" i="14" s="1"/>
  <c r="O1343" i="14"/>
  <c r="O1342" i="14"/>
  <c r="O1341" i="14"/>
  <c r="O1340" i="14"/>
  <c r="O1339" i="14"/>
  <c r="O1338" i="14"/>
  <c r="O1337" i="14"/>
  <c r="O1336" i="14"/>
  <c r="S1336" i="14" s="1"/>
  <c r="O1335" i="14"/>
  <c r="O1334" i="14"/>
  <c r="O1333" i="14"/>
  <c r="O1332" i="14"/>
  <c r="O1331" i="14"/>
  <c r="O1330" i="14"/>
  <c r="O1329" i="14"/>
  <c r="O1328" i="14"/>
  <c r="S1328" i="14" s="1"/>
  <c r="O1327" i="14"/>
  <c r="O1326" i="14"/>
  <c r="O1325" i="14"/>
  <c r="O1324" i="14"/>
  <c r="O1323" i="14"/>
  <c r="O1322" i="14"/>
  <c r="O1321" i="14"/>
  <c r="O1320" i="14"/>
  <c r="O1317" i="14"/>
  <c r="O1316" i="14"/>
  <c r="O1315" i="14"/>
  <c r="O1314" i="14"/>
  <c r="O1313" i="14"/>
  <c r="O1312" i="14"/>
  <c r="O1311" i="14"/>
  <c r="O1309" i="14"/>
  <c r="O1308" i="14"/>
  <c r="O1307" i="14"/>
  <c r="O1306" i="14"/>
  <c r="O1305" i="14"/>
  <c r="S1305" i="14" s="1"/>
  <c r="O1304" i="14"/>
  <c r="S1304" i="14" s="1"/>
  <c r="O1303" i="14"/>
  <c r="O1302" i="14"/>
  <c r="O1301" i="14"/>
  <c r="O1300" i="14"/>
  <c r="S1300" i="14" s="1"/>
  <c r="O1299" i="14"/>
  <c r="O1298" i="14"/>
  <c r="O1297" i="14"/>
  <c r="S1297" i="14" s="1"/>
  <c r="O1296" i="14"/>
  <c r="O1295" i="14"/>
  <c r="O1294" i="14"/>
  <c r="O1293" i="14"/>
  <c r="O1292" i="14"/>
  <c r="O1291" i="14"/>
  <c r="O1290" i="14"/>
  <c r="O1289" i="14"/>
  <c r="O1288" i="14"/>
  <c r="S1288" i="14" s="1"/>
  <c r="O1287" i="14"/>
  <c r="O1286" i="14"/>
  <c r="O1285" i="14"/>
  <c r="O1284" i="14"/>
  <c r="S1284" i="14" s="1"/>
  <c r="O1283" i="14"/>
  <c r="O1282" i="14"/>
  <c r="O1281" i="14"/>
  <c r="S1281" i="14" s="1"/>
  <c r="O1280" i="14"/>
  <c r="O1279" i="14"/>
  <c r="O1278" i="14"/>
  <c r="O1277" i="14"/>
  <c r="O1276" i="14"/>
  <c r="O1275" i="14"/>
  <c r="O1274" i="14"/>
  <c r="O1273" i="14"/>
  <c r="S1273" i="14" s="1"/>
  <c r="O1272" i="14"/>
  <c r="S1272" i="14" s="1"/>
  <c r="O1271" i="14"/>
  <c r="O1270" i="14"/>
  <c r="O1269" i="14"/>
  <c r="O1268" i="14"/>
  <c r="S1268" i="14" s="1"/>
  <c r="O1267" i="14"/>
  <c r="O1266" i="14"/>
  <c r="O1265" i="14"/>
  <c r="O1264" i="14"/>
  <c r="O1263" i="14"/>
  <c r="O1262" i="14"/>
  <c r="O1261" i="14"/>
  <c r="O1260" i="14"/>
  <c r="O1259" i="14"/>
  <c r="O1258" i="14"/>
  <c r="O1257" i="14"/>
  <c r="S1257" i="14" s="1"/>
  <c r="O1256" i="14"/>
  <c r="O1255" i="14"/>
  <c r="O1254" i="14"/>
  <c r="O1253" i="14"/>
  <c r="O1252" i="14"/>
  <c r="O1251" i="14"/>
  <c r="O1250" i="14"/>
  <c r="O1249" i="14"/>
  <c r="S1249" i="14" s="1"/>
  <c r="O1248" i="14"/>
  <c r="O1247" i="14"/>
  <c r="O1246" i="14"/>
  <c r="O1245" i="14"/>
  <c r="O1244" i="14"/>
  <c r="O1243" i="14"/>
  <c r="O1242" i="14"/>
  <c r="O1241" i="14"/>
  <c r="O1240" i="14"/>
  <c r="O1239" i="14"/>
  <c r="O1238" i="14"/>
  <c r="O1237" i="14"/>
  <c r="S1237" i="14" s="1"/>
  <c r="O1236" i="14"/>
  <c r="S1236" i="14" s="1"/>
  <c r="O1235" i="14"/>
  <c r="O1234" i="14"/>
  <c r="O1233" i="14"/>
  <c r="O1232" i="14"/>
  <c r="S1232" i="14" s="1"/>
  <c r="O1231" i="14"/>
  <c r="O1230" i="14"/>
  <c r="O1229" i="14"/>
  <c r="S1229" i="14" s="1"/>
  <c r="O1228" i="14"/>
  <c r="O1227" i="14"/>
  <c r="O1226" i="14"/>
  <c r="O1225" i="14"/>
  <c r="O1224" i="14"/>
  <c r="O1223" i="14"/>
  <c r="O1222" i="14"/>
  <c r="O1221" i="14"/>
  <c r="S1221" i="14" s="1"/>
  <c r="O1220" i="14"/>
  <c r="S1220" i="14" s="1"/>
  <c r="O1219" i="14"/>
  <c r="O1218" i="14"/>
  <c r="O1217" i="14"/>
  <c r="O1216" i="14"/>
  <c r="O1215" i="14"/>
  <c r="O1214" i="14"/>
  <c r="O1213" i="14"/>
  <c r="O1212" i="14"/>
  <c r="O1211" i="14"/>
  <c r="O1210" i="14"/>
  <c r="O1209" i="14"/>
  <c r="O1208" i="14"/>
  <c r="O1206" i="14"/>
  <c r="O1205" i="14"/>
  <c r="O1204" i="14"/>
  <c r="S1204" i="14" s="1"/>
  <c r="O1203" i="14"/>
  <c r="O1202" i="14"/>
  <c r="O1201" i="14"/>
  <c r="O1200" i="14"/>
  <c r="S1200" i="14" s="1"/>
  <c r="O1199" i="14"/>
  <c r="O1198" i="14"/>
  <c r="O1197" i="14"/>
  <c r="O1196" i="14"/>
  <c r="O1195" i="14"/>
  <c r="O1194" i="14"/>
  <c r="O1193" i="14"/>
  <c r="O1192" i="14"/>
  <c r="S1192" i="14" s="1"/>
  <c r="O1191" i="14"/>
  <c r="O1190" i="14"/>
  <c r="O1189" i="14"/>
  <c r="O1188" i="14"/>
  <c r="O1187" i="14"/>
  <c r="S1187" i="14" s="1"/>
  <c r="O1186" i="14"/>
  <c r="O1185" i="14"/>
  <c r="O1184" i="14"/>
  <c r="S1184" i="14" s="1"/>
  <c r="O1183" i="14"/>
  <c r="O1182" i="14"/>
  <c r="O1181" i="14"/>
  <c r="O1180" i="14"/>
  <c r="O1179" i="14"/>
  <c r="O1178" i="14"/>
  <c r="O1177" i="14"/>
  <c r="O1176" i="14"/>
  <c r="S1176" i="14" s="1"/>
  <c r="O1175" i="14"/>
  <c r="O1174" i="14"/>
  <c r="O1173" i="14"/>
  <c r="O1172" i="14"/>
  <c r="O1171" i="14"/>
  <c r="O1170" i="14"/>
  <c r="O1169" i="14"/>
  <c r="O1168" i="14"/>
  <c r="S1168" i="14" s="1"/>
  <c r="O1167" i="14"/>
  <c r="O1166" i="14"/>
  <c r="O1165" i="14"/>
  <c r="O1164" i="14"/>
  <c r="O1163" i="14"/>
  <c r="O1162" i="14"/>
  <c r="O1161" i="14"/>
  <c r="O1160" i="14"/>
  <c r="S1160" i="14" s="1"/>
  <c r="O1159" i="14"/>
  <c r="O1158" i="14"/>
  <c r="O1157" i="14"/>
  <c r="O1156" i="14"/>
  <c r="O1155" i="14"/>
  <c r="O1154" i="14"/>
  <c r="O1153" i="14"/>
  <c r="O1152" i="14"/>
  <c r="O1151" i="14"/>
  <c r="O1150" i="14"/>
  <c r="O1149" i="14"/>
  <c r="O1148" i="14"/>
  <c r="O1147" i="14"/>
  <c r="O1146" i="14"/>
  <c r="O1145" i="14"/>
  <c r="O1144" i="14"/>
  <c r="S1144" i="14" s="1"/>
  <c r="O1143" i="14"/>
  <c r="S1143" i="14" s="1"/>
  <c r="O1142" i="14"/>
  <c r="O1141" i="14"/>
  <c r="O1140" i="14"/>
  <c r="O1139" i="14"/>
  <c r="O1138" i="14"/>
  <c r="O1137" i="14"/>
  <c r="O1136" i="14"/>
  <c r="S1136" i="14" s="1"/>
  <c r="O1135" i="14"/>
  <c r="S1135" i="14" s="1"/>
  <c r="O1134" i="14"/>
  <c r="O1133" i="14"/>
  <c r="O1132" i="14"/>
  <c r="O1131" i="14"/>
  <c r="S1131" i="14" s="1"/>
  <c r="O1130" i="14"/>
  <c r="O1129" i="14"/>
  <c r="O1128" i="14"/>
  <c r="S1128" i="14" s="1"/>
  <c r="O1127" i="14"/>
  <c r="O1126" i="14"/>
  <c r="O1125" i="14"/>
  <c r="O1124" i="14"/>
  <c r="O1123" i="14"/>
  <c r="O1122" i="14"/>
  <c r="O1121" i="14"/>
  <c r="O1120" i="14"/>
  <c r="O1118" i="14"/>
  <c r="O1117" i="14"/>
  <c r="O1116" i="14"/>
  <c r="O1115" i="14"/>
  <c r="O1114" i="14"/>
  <c r="O1113" i="14"/>
  <c r="O1112" i="14"/>
  <c r="O1111" i="14"/>
  <c r="O1110" i="14"/>
  <c r="O1109" i="14"/>
  <c r="O1108" i="14"/>
  <c r="O1107" i="14"/>
  <c r="O1106" i="14"/>
  <c r="O1105" i="14"/>
  <c r="O1104" i="14"/>
  <c r="O1103" i="14"/>
  <c r="O1102" i="14"/>
  <c r="O1101" i="14"/>
  <c r="O1100" i="14"/>
  <c r="O1099" i="14"/>
  <c r="S1099" i="14" s="1"/>
  <c r="O1098" i="14"/>
  <c r="O1097" i="14"/>
  <c r="O1096" i="14"/>
  <c r="O1095" i="14"/>
  <c r="S1095" i="14" s="1"/>
  <c r="O1094" i="14"/>
  <c r="O1093" i="14"/>
  <c r="O1092" i="14"/>
  <c r="O1091" i="14"/>
  <c r="O1090" i="14"/>
  <c r="O1089" i="14"/>
  <c r="O1087" i="14"/>
  <c r="O1086" i="14"/>
  <c r="O1085" i="14"/>
  <c r="O1084" i="14"/>
  <c r="O1083" i="14"/>
  <c r="O1082" i="14"/>
  <c r="O1081" i="14"/>
  <c r="O1080" i="14"/>
  <c r="O1079" i="14"/>
  <c r="O1078" i="14"/>
  <c r="O1077" i="14"/>
  <c r="S1077" i="14" s="1"/>
  <c r="O1076" i="14"/>
  <c r="O1075" i="14"/>
  <c r="O1074" i="14"/>
  <c r="O1073" i="14"/>
  <c r="O1072" i="14"/>
  <c r="O1071" i="14"/>
  <c r="O1070" i="14"/>
  <c r="O1069" i="14"/>
  <c r="S1069" i="14" s="1"/>
  <c r="O1068" i="14"/>
  <c r="O1067" i="14"/>
  <c r="O1065" i="14"/>
  <c r="O1064" i="14"/>
  <c r="O1063" i="14"/>
  <c r="O1062" i="14"/>
  <c r="O1061" i="14"/>
  <c r="O1060" i="14"/>
  <c r="O1059" i="14"/>
  <c r="O1058" i="14"/>
  <c r="O1057" i="14"/>
  <c r="O1056" i="14"/>
  <c r="O1055" i="14"/>
  <c r="O1054" i="14"/>
  <c r="O1053" i="14"/>
  <c r="O1052" i="14"/>
  <c r="O1051" i="14"/>
  <c r="O1050" i="14"/>
  <c r="O1049" i="14"/>
  <c r="O1048" i="14"/>
  <c r="O1047" i="14"/>
  <c r="O1046" i="14"/>
  <c r="O1044" i="14"/>
  <c r="O1043" i="14"/>
  <c r="O1042" i="14"/>
  <c r="O1041" i="14"/>
  <c r="O1040" i="14"/>
  <c r="O1039" i="14"/>
  <c r="O1038" i="14"/>
  <c r="O1034" i="14"/>
  <c r="O1033" i="14"/>
  <c r="O1032" i="14"/>
  <c r="S1032" i="14" s="1"/>
  <c r="O1031" i="14"/>
  <c r="O1030" i="14"/>
  <c r="O1029" i="14"/>
  <c r="O1028" i="14"/>
  <c r="O1027" i="14"/>
  <c r="O1026" i="14"/>
  <c r="O1025" i="14"/>
  <c r="O1024" i="14"/>
  <c r="O1023" i="14"/>
  <c r="O1022" i="14"/>
  <c r="O1021" i="14"/>
  <c r="O1019" i="14"/>
  <c r="O1018" i="14"/>
  <c r="O1017" i="14"/>
  <c r="O1016" i="14"/>
  <c r="O1015" i="14"/>
  <c r="O1014" i="14"/>
  <c r="O1012" i="14"/>
  <c r="O1011" i="14"/>
  <c r="O1008" i="14"/>
  <c r="S1008" i="14" s="1"/>
  <c r="O1007" i="14"/>
  <c r="O1006" i="14"/>
  <c r="O1005" i="14"/>
  <c r="O1004" i="14"/>
  <c r="O1003" i="14"/>
  <c r="O1002" i="14"/>
  <c r="O1001" i="14"/>
  <c r="O1000" i="14"/>
  <c r="O999" i="14"/>
  <c r="O998" i="14"/>
  <c r="O997" i="14"/>
  <c r="O996" i="14"/>
  <c r="O994" i="14"/>
  <c r="O993" i="14"/>
  <c r="O992" i="14"/>
  <c r="O991" i="14"/>
  <c r="O990" i="14"/>
  <c r="O989" i="14"/>
  <c r="O987" i="14"/>
  <c r="O986" i="14"/>
  <c r="O985" i="14"/>
  <c r="O984" i="14"/>
  <c r="O983" i="14"/>
  <c r="O982" i="14"/>
  <c r="S982" i="14" s="1"/>
  <c r="O981" i="14"/>
  <c r="O980" i="14"/>
  <c r="O979" i="14"/>
  <c r="O978" i="14"/>
  <c r="O977" i="14"/>
  <c r="O976" i="14"/>
  <c r="O975" i="14"/>
  <c r="O974" i="14"/>
  <c r="O973" i="14"/>
  <c r="O972" i="14"/>
  <c r="O971" i="14"/>
  <c r="S971" i="14" s="1"/>
  <c r="O970" i="14"/>
  <c r="O969" i="14"/>
  <c r="O968" i="14"/>
  <c r="O967" i="14"/>
  <c r="O963" i="14"/>
  <c r="S963" i="14" s="1"/>
  <c r="O962" i="14"/>
  <c r="O961" i="14"/>
  <c r="O960" i="14"/>
  <c r="O959" i="14"/>
  <c r="O958" i="14"/>
  <c r="O957" i="14"/>
  <c r="O956" i="14"/>
  <c r="O955" i="14"/>
  <c r="O954" i="14"/>
  <c r="O953" i="14"/>
  <c r="O952" i="14"/>
  <c r="O951" i="14"/>
  <c r="O949" i="14"/>
  <c r="O948" i="14"/>
  <c r="O947" i="14"/>
  <c r="O946" i="14"/>
  <c r="O945" i="14"/>
  <c r="O944" i="14"/>
  <c r="O942" i="14"/>
  <c r="O941" i="14"/>
  <c r="S941" i="14" s="1"/>
  <c r="O940" i="14"/>
  <c r="O939" i="14"/>
  <c r="O938" i="14"/>
  <c r="O937" i="14"/>
  <c r="O936" i="14"/>
  <c r="O935" i="14"/>
  <c r="O934" i="14"/>
  <c r="O933" i="14"/>
  <c r="O932" i="14"/>
  <c r="O931" i="14"/>
  <c r="O930" i="14"/>
  <c r="S930" i="14" s="1"/>
  <c r="O929" i="14"/>
  <c r="S929" i="14" s="1"/>
  <c r="O928" i="14"/>
  <c r="O927" i="14"/>
  <c r="O926" i="14"/>
  <c r="O925" i="14"/>
  <c r="S925" i="14" s="1"/>
  <c r="O924" i="14"/>
  <c r="O923" i="14"/>
  <c r="O922" i="14"/>
  <c r="O921" i="14"/>
  <c r="O920" i="14"/>
  <c r="O919" i="14"/>
  <c r="O918" i="14"/>
  <c r="O916" i="14"/>
  <c r="O915" i="14"/>
  <c r="O914" i="14"/>
  <c r="O913" i="14"/>
  <c r="O912" i="14"/>
  <c r="O911" i="14"/>
  <c r="O910" i="14"/>
  <c r="O909" i="14"/>
  <c r="O908" i="14"/>
  <c r="O907" i="14"/>
  <c r="O906" i="14"/>
  <c r="O904" i="14"/>
  <c r="O903" i="14"/>
  <c r="S903" i="14" s="1"/>
  <c r="O902" i="14"/>
  <c r="O901" i="14"/>
  <c r="O900" i="14"/>
  <c r="O899" i="14"/>
  <c r="O898" i="14"/>
  <c r="O897" i="14"/>
  <c r="O896" i="14"/>
  <c r="O895" i="14"/>
  <c r="O894" i="14"/>
  <c r="O892" i="14"/>
  <c r="O891" i="14"/>
  <c r="S891" i="14" s="1"/>
  <c r="O890" i="14"/>
  <c r="O889" i="14"/>
  <c r="O888" i="14"/>
  <c r="O887" i="14"/>
  <c r="O886" i="14"/>
  <c r="O885" i="14"/>
  <c r="O884" i="14"/>
  <c r="O882" i="14"/>
  <c r="O881" i="14"/>
  <c r="O880" i="14"/>
  <c r="O879" i="14"/>
  <c r="O878" i="14"/>
  <c r="O877" i="14"/>
  <c r="O876" i="14"/>
  <c r="O875" i="14"/>
  <c r="O874" i="14"/>
  <c r="O871" i="14"/>
  <c r="S871" i="14" s="1"/>
  <c r="O870" i="14"/>
  <c r="O869" i="14"/>
  <c r="O868" i="14"/>
  <c r="O867" i="14"/>
  <c r="O866" i="14"/>
  <c r="O865" i="14"/>
  <c r="O860" i="14"/>
  <c r="O859" i="14"/>
  <c r="O858" i="14"/>
  <c r="O857" i="14"/>
  <c r="O856" i="14"/>
  <c r="O855" i="14"/>
  <c r="O854" i="14"/>
  <c r="O847" i="14"/>
  <c r="O846" i="14"/>
  <c r="S846" i="14" s="1"/>
  <c r="O845" i="14"/>
  <c r="O844" i="14"/>
  <c r="O843" i="14"/>
  <c r="O842" i="14"/>
  <c r="O841" i="14"/>
  <c r="O840" i="14"/>
  <c r="O839" i="14"/>
  <c r="O835" i="14"/>
  <c r="O834" i="14"/>
  <c r="S834" i="14" s="1"/>
  <c r="O833" i="14"/>
  <c r="O832" i="14"/>
  <c r="O831" i="14"/>
  <c r="O830" i="14"/>
  <c r="O829" i="14"/>
  <c r="O828" i="14"/>
  <c r="O826" i="14"/>
  <c r="O825" i="14"/>
  <c r="O824" i="14"/>
  <c r="O823" i="14"/>
  <c r="O822" i="14"/>
  <c r="S822" i="14" s="1"/>
  <c r="O821" i="14"/>
  <c r="O820" i="14"/>
  <c r="O819" i="14"/>
  <c r="O818" i="14"/>
  <c r="O814" i="14"/>
  <c r="O813" i="14"/>
  <c r="O812" i="14"/>
  <c r="O811" i="14"/>
  <c r="O810" i="14"/>
  <c r="O809" i="14"/>
  <c r="O808" i="14"/>
  <c r="O807" i="14"/>
  <c r="O806" i="14"/>
  <c r="O805" i="14"/>
  <c r="O804" i="14"/>
  <c r="O803" i="14"/>
  <c r="O802" i="14"/>
  <c r="O801" i="14"/>
  <c r="O800" i="14"/>
  <c r="O799" i="14"/>
  <c r="O798" i="14"/>
  <c r="O797" i="14"/>
  <c r="O796" i="14"/>
  <c r="O795" i="14"/>
  <c r="S795" i="14" s="1"/>
  <c r="O794" i="14"/>
  <c r="O793" i="14"/>
  <c r="O792" i="14"/>
  <c r="O791" i="14"/>
  <c r="O790" i="14"/>
  <c r="O789" i="14"/>
  <c r="O788" i="14"/>
  <c r="O787" i="14"/>
  <c r="O786" i="14"/>
  <c r="O785" i="14"/>
  <c r="O784" i="14"/>
  <c r="O783" i="14"/>
  <c r="O782" i="14"/>
  <c r="O781" i="14"/>
  <c r="O780" i="14"/>
  <c r="O779" i="14"/>
  <c r="S779" i="14" s="1"/>
  <c r="O776" i="14"/>
  <c r="O775" i="14"/>
  <c r="O774" i="14"/>
  <c r="O773" i="14"/>
  <c r="O772" i="14"/>
  <c r="O771" i="14"/>
  <c r="O770" i="14"/>
  <c r="O768" i="14"/>
  <c r="O767" i="14"/>
  <c r="O766" i="14"/>
  <c r="O765" i="14"/>
  <c r="O764" i="14"/>
  <c r="O763" i="14"/>
  <c r="O762" i="14"/>
  <c r="O761" i="14"/>
  <c r="O760" i="14"/>
  <c r="O759" i="14"/>
  <c r="S759" i="14" s="1"/>
  <c r="O758" i="14"/>
  <c r="O757" i="14"/>
  <c r="O756" i="14"/>
  <c r="O755" i="14"/>
  <c r="S755" i="14" s="1"/>
  <c r="O754" i="14"/>
  <c r="O753" i="14"/>
  <c r="O752" i="14"/>
  <c r="O751" i="14"/>
  <c r="O750" i="14"/>
  <c r="O749" i="14"/>
  <c r="O744" i="14"/>
  <c r="O743" i="14"/>
  <c r="O742" i="14"/>
  <c r="O741" i="14"/>
  <c r="O740" i="14"/>
  <c r="O739" i="14"/>
  <c r="O738" i="14"/>
  <c r="O737" i="14"/>
  <c r="O736" i="14"/>
  <c r="O734" i="14"/>
  <c r="O733" i="14"/>
  <c r="O732" i="14"/>
  <c r="O731" i="14"/>
  <c r="O730" i="14"/>
  <c r="O729" i="14"/>
  <c r="O728" i="14"/>
  <c r="O727" i="14"/>
  <c r="O726" i="14"/>
  <c r="O725" i="14"/>
  <c r="O724" i="14"/>
  <c r="O723" i="14"/>
  <c r="O722" i="14"/>
  <c r="O721" i="14"/>
  <c r="N1319" i="14"/>
  <c r="N1318" i="14" s="1"/>
  <c r="N746" i="14"/>
  <c r="N778" i="14"/>
  <c r="N777" i="14" s="1"/>
  <c r="N769" i="14" s="1"/>
  <c r="N837" i="14"/>
  <c r="N862" i="14"/>
  <c r="N873" i="14"/>
  <c r="N893" i="14"/>
  <c r="N965" i="14"/>
  <c r="N964" i="14" s="1"/>
  <c r="N943" i="14" s="1"/>
  <c r="N1010" i="14"/>
  <c r="N1036" i="14"/>
  <c r="N1035" i="14" s="1"/>
  <c r="N1013" i="14" s="1"/>
  <c r="N1376" i="14"/>
  <c r="N1375" i="14" s="1"/>
  <c r="N1360" i="14" s="1"/>
  <c r="N1433" i="14"/>
  <c r="N1432" i="14" s="1"/>
  <c r="K574" i="14"/>
  <c r="K573" i="14"/>
  <c r="K572" i="14"/>
  <c r="K568" i="14"/>
  <c r="K567" i="14"/>
  <c r="K564" i="14"/>
  <c r="K563" i="14"/>
  <c r="K561" i="14"/>
  <c r="K559" i="14"/>
  <c r="K557" i="14"/>
  <c r="K555" i="14"/>
  <c r="K554" i="14"/>
  <c r="K552" i="14"/>
  <c r="K551" i="14"/>
  <c r="K550" i="14"/>
  <c r="K548" i="14"/>
  <c r="K543" i="14"/>
  <c r="K542" i="14"/>
  <c r="R1607" i="14" l="1"/>
  <c r="N1606" i="14"/>
  <c r="S1935" i="14"/>
  <c r="S1965" i="14"/>
  <c r="S2013" i="14"/>
  <c r="S1218" i="14"/>
  <c r="S1246" i="14"/>
  <c r="S1262" i="14"/>
  <c r="S1302" i="14"/>
  <c r="S1426" i="14"/>
  <c r="S1430" i="14"/>
  <c r="S1440" i="14"/>
  <c r="S1444" i="14"/>
  <c r="S1030" i="14"/>
  <c r="S1075" i="14"/>
  <c r="S1578" i="14"/>
  <c r="S1589" i="14"/>
  <c r="S1600" i="14"/>
  <c r="S1628" i="14"/>
  <c r="S1715" i="14"/>
  <c r="S767" i="14"/>
  <c r="S899" i="14"/>
  <c r="S908" i="14"/>
  <c r="S974" i="14"/>
  <c r="S986" i="14"/>
  <c r="S1052" i="14"/>
  <c r="S1081" i="14"/>
  <c r="S1090" i="14"/>
  <c r="S1151" i="14"/>
  <c r="S1240" i="14"/>
  <c r="S1276" i="14"/>
  <c r="S1292" i="14"/>
  <c r="S1308" i="14"/>
  <c r="S1323" i="14"/>
  <c r="S1391" i="14"/>
  <c r="S1416" i="14"/>
  <c r="S1590" i="14"/>
  <c r="S1602" i="14"/>
  <c r="S1629" i="14"/>
  <c r="S2002" i="14"/>
  <c r="S2054" i="14"/>
  <c r="S1831" i="14"/>
  <c r="S2014" i="14"/>
  <c r="S1984" i="14"/>
  <c r="S1528" i="14"/>
  <c r="S1630" i="14"/>
  <c r="J1797" i="14"/>
  <c r="S1345" i="14"/>
  <c r="S1915" i="14"/>
  <c r="S1939" i="14"/>
  <c r="S1969" i="14"/>
  <c r="S2005" i="14"/>
  <c r="R1818" i="14"/>
  <c r="N1803" i="14"/>
  <c r="O1818" i="14"/>
  <c r="S1818" i="14" s="1"/>
  <c r="S2051" i="14"/>
  <c r="N1747" i="14"/>
  <c r="S879" i="14"/>
  <c r="S1012" i="14"/>
  <c r="S1022" i="14"/>
  <c r="S1226" i="14"/>
  <c r="S1254" i="14"/>
  <c r="S1290" i="14"/>
  <c r="S1294" i="14"/>
  <c r="S1311" i="14"/>
  <c r="S1366" i="14"/>
  <c r="S1385" i="14"/>
  <c r="S1409" i="14"/>
  <c r="S1413" i="14"/>
  <c r="S1464" i="14"/>
  <c r="S1476" i="14"/>
  <c r="S813" i="14"/>
  <c r="S889" i="14"/>
  <c r="S915" i="14"/>
  <c r="S1243" i="14"/>
  <c r="S1259" i="14"/>
  <c r="S1279" i="14"/>
  <c r="S1437" i="14"/>
  <c r="S1457" i="14"/>
  <c r="S1469" i="14"/>
  <c r="S1481" i="14"/>
  <c r="S1807" i="14"/>
  <c r="S2052" i="14"/>
  <c r="S1534" i="14"/>
  <c r="S1538" i="14"/>
  <c r="S803" i="14"/>
  <c r="S887" i="14"/>
  <c r="S909" i="14"/>
  <c r="S938" i="14"/>
  <c r="S975" i="14"/>
  <c r="S987" i="14"/>
  <c r="S1086" i="14"/>
  <c r="S1091" i="14"/>
  <c r="S1225" i="14"/>
  <c r="S1253" i="14"/>
  <c r="S1293" i="14"/>
  <c r="S1309" i="14"/>
  <c r="S1373" i="14"/>
  <c r="S1408" i="14"/>
  <c r="S1412" i="14"/>
  <c r="S1475" i="14"/>
  <c r="S1479" i="14"/>
  <c r="S1555" i="14"/>
  <c r="S1587" i="14"/>
  <c r="S1598" i="14"/>
  <c r="S1100" i="14"/>
  <c r="S1201" i="14"/>
  <c r="S1205" i="14"/>
  <c r="S1230" i="14"/>
  <c r="S1242" i="14"/>
  <c r="S1258" i="14"/>
  <c r="S1266" i="14"/>
  <c r="S1278" i="14"/>
  <c r="S1298" i="14"/>
  <c r="S1315" i="14"/>
  <c r="S1329" i="14"/>
  <c r="S1353" i="14"/>
  <c r="S1393" i="14"/>
  <c r="S1401" i="14"/>
  <c r="S1418" i="14"/>
  <c r="S1422" i="14"/>
  <c r="S1436" i="14"/>
  <c r="S1468" i="14"/>
  <c r="S824" i="14"/>
  <c r="S962" i="14"/>
  <c r="S1031" i="14"/>
  <c r="S1247" i="14"/>
  <c r="S1283" i="14"/>
  <c r="S1441" i="14"/>
  <c r="J2053" i="14"/>
  <c r="N1851" i="14"/>
  <c r="R1851" i="14" s="1"/>
  <c r="S2055" i="14"/>
  <c r="R2050" i="14"/>
  <c r="S801" i="14"/>
  <c r="S805" i="14"/>
  <c r="S844" i="14"/>
  <c r="S928" i="14"/>
  <c r="S958" i="14"/>
  <c r="S981" i="14"/>
  <c r="S1018" i="14"/>
  <c r="S1027" i="14"/>
  <c r="S1223" i="14"/>
  <c r="S1235" i="14"/>
  <c r="S1239" i="14"/>
  <c r="S1251" i="14"/>
  <c r="S1271" i="14"/>
  <c r="S1275" i="14"/>
  <c r="S1287" i="14"/>
  <c r="S1291" i="14"/>
  <c r="S1295" i="14"/>
  <c r="S1307" i="14"/>
  <c r="S1449" i="14"/>
  <c r="S1473" i="14"/>
  <c r="S1477" i="14"/>
  <c r="S776" i="14"/>
  <c r="S859" i="14"/>
  <c r="S1048" i="14"/>
  <c r="S1127" i="14"/>
  <c r="S1159" i="14"/>
  <c r="S1179" i="14"/>
  <c r="S1256" i="14"/>
  <c r="S1317" i="14"/>
  <c r="S1327" i="14"/>
  <c r="S1331" i="14"/>
  <c r="S1420" i="14"/>
  <c r="S1424" i="14"/>
  <c r="S1694" i="14"/>
  <c r="S1704" i="14"/>
  <c r="S1748" i="14"/>
  <c r="S1814" i="14"/>
  <c r="S787" i="14"/>
  <c r="S826" i="14"/>
  <c r="S918" i="14"/>
  <c r="S942" i="14"/>
  <c r="S1132" i="14"/>
  <c r="S1217" i="14"/>
  <c r="S1233" i="14"/>
  <c r="S1261" i="14"/>
  <c r="S1269" i="14"/>
  <c r="S1301" i="14"/>
  <c r="S1429" i="14"/>
  <c r="S1459" i="14"/>
  <c r="S1700" i="14"/>
  <c r="S1719" i="14"/>
  <c r="S1799" i="14"/>
  <c r="S2004" i="14"/>
  <c r="S1169" i="14"/>
  <c r="S739" i="14"/>
  <c r="S996" i="14"/>
  <c r="S1064" i="14"/>
  <c r="S1114" i="14"/>
  <c r="S1163" i="14"/>
  <c r="S1171" i="14"/>
  <c r="S1195" i="14"/>
  <c r="S1017" i="14"/>
  <c r="S1034" i="14"/>
  <c r="S1137" i="14"/>
  <c r="S1222" i="14"/>
  <c r="S1250" i="14"/>
  <c r="S1286" i="14"/>
  <c r="S1337" i="14"/>
  <c r="S1357" i="14"/>
  <c r="S1559" i="14"/>
  <c r="S1731" i="14"/>
  <c r="N1549" i="14"/>
  <c r="R1546" i="14"/>
  <c r="J1545" i="14"/>
  <c r="R1545" i="14" s="1"/>
  <c r="N2061" i="14"/>
  <c r="R2062" i="14"/>
  <c r="R1779" i="14"/>
  <c r="N1778" i="14"/>
  <c r="N1753" i="14" s="1"/>
  <c r="S1228" i="14"/>
  <c r="S1244" i="14"/>
  <c r="S1280" i="14"/>
  <c r="S1583" i="14"/>
  <c r="S1593" i="14"/>
  <c r="S1610" i="14"/>
  <c r="S1617" i="14"/>
  <c r="S1625" i="14"/>
  <c r="R1727" i="14"/>
  <c r="S1888" i="14"/>
  <c r="S1907" i="14"/>
  <c r="S1914" i="14"/>
  <c r="S1938" i="14"/>
  <c r="S1968" i="14"/>
  <c r="R2049" i="14"/>
  <c r="S1569" i="14"/>
  <c r="S1633" i="14"/>
  <c r="R1801" i="14"/>
  <c r="S1872" i="14"/>
  <c r="S1880" i="14"/>
  <c r="S1921" i="14"/>
  <c r="S1964" i="14"/>
  <c r="S2000" i="14"/>
  <c r="S2012" i="14"/>
  <c r="S2016" i="14"/>
  <c r="S1451" i="14"/>
  <c r="S1695" i="14"/>
  <c r="R1852" i="14"/>
  <c r="S1982" i="14"/>
  <c r="S2008" i="14"/>
  <c r="S1181" i="14"/>
  <c r="S1419" i="14"/>
  <c r="S1177" i="14"/>
  <c r="S1193" i="14"/>
  <c r="S1367" i="14"/>
  <c r="S1415" i="14"/>
  <c r="S1087" i="14"/>
  <c r="S1153" i="14"/>
  <c r="S1189" i="14"/>
  <c r="S1371" i="14"/>
  <c r="S1439" i="14"/>
  <c r="S1443" i="14"/>
  <c r="S831" i="14"/>
  <c r="S892" i="14"/>
  <c r="S1129" i="14"/>
  <c r="S1145" i="14"/>
  <c r="S1161" i="14"/>
  <c r="S1185" i="14"/>
  <c r="S1525" i="14"/>
  <c r="S1763" i="14"/>
  <c r="S1771" i="14"/>
  <c r="S1775" i="14"/>
  <c r="S1780" i="14"/>
  <c r="S1788" i="14"/>
  <c r="S1796" i="14"/>
  <c r="S1823" i="14"/>
  <c r="S1835" i="14"/>
  <c r="S1957" i="14"/>
  <c r="S1383" i="14"/>
  <c r="S1403" i="14"/>
  <c r="S1584" i="14"/>
  <c r="S1618" i="14"/>
  <c r="R1635" i="14"/>
  <c r="S1693" i="14"/>
  <c r="S1703" i="14"/>
  <c r="S1707" i="14"/>
  <c r="S1728" i="14"/>
  <c r="S1745" i="14"/>
  <c r="S1755" i="14"/>
  <c r="S1764" i="14"/>
  <c r="S1772" i="14"/>
  <c r="S1777" i="14"/>
  <c r="S1781" i="14"/>
  <c r="S1789" i="14"/>
  <c r="S1805" i="14"/>
  <c r="S1816" i="14"/>
  <c r="S1824" i="14"/>
  <c r="S1836" i="14"/>
  <c r="S1848" i="14"/>
  <c r="S1936" i="14"/>
  <c r="S1961" i="14"/>
  <c r="S1967" i="14"/>
  <c r="S1983" i="14"/>
  <c r="S2003" i="14"/>
  <c r="S2009" i="14"/>
  <c r="S1335" i="14"/>
  <c r="S1347" i="14"/>
  <c r="S1312" i="14"/>
  <c r="S1316" i="14"/>
  <c r="S1427" i="14"/>
  <c r="S1699" i="14"/>
  <c r="S1827" i="14"/>
  <c r="S1875" i="14"/>
  <c r="S1962" i="14"/>
  <c r="S1973" i="14"/>
  <c r="S1999" i="14"/>
  <c r="S2011" i="14"/>
  <c r="S2015" i="14"/>
  <c r="S1691" i="14"/>
  <c r="S1705" i="14"/>
  <c r="S1757" i="14"/>
  <c r="S1790" i="14"/>
  <c r="S1837" i="14"/>
  <c r="S1855" i="14"/>
  <c r="S1203" i="14"/>
  <c r="S1343" i="14"/>
  <c r="S1359" i="14"/>
  <c r="S1399" i="14"/>
  <c r="S1411" i="14"/>
  <c r="S1423" i="14"/>
  <c r="S1431" i="14"/>
  <c r="S1461" i="14"/>
  <c r="S744" i="14"/>
  <c r="S860" i="14"/>
  <c r="S1044" i="14"/>
  <c r="S1526" i="14"/>
  <c r="S1615" i="14"/>
  <c r="S1870" i="14"/>
  <c r="S764" i="14"/>
  <c r="S768" i="14"/>
  <c r="S835" i="14"/>
  <c r="S868" i="14"/>
  <c r="S904" i="14"/>
  <c r="S784" i="14"/>
  <c r="S792" i="14"/>
  <c r="S796" i="14"/>
  <c r="S804" i="14"/>
  <c r="S812" i="14"/>
  <c r="S839" i="14"/>
  <c r="S847" i="14"/>
  <c r="S919" i="14"/>
  <c r="S927" i="14"/>
  <c r="S931" i="14"/>
  <c r="S935" i="14"/>
  <c r="S976" i="14"/>
  <c r="S984" i="14"/>
  <c r="S1002" i="14"/>
  <c r="S948" i="14"/>
  <c r="S953" i="14"/>
  <c r="S957" i="14"/>
  <c r="S973" i="14"/>
  <c r="S977" i="14"/>
  <c r="S985" i="14"/>
  <c r="S1021" i="14"/>
  <c r="S1046" i="14"/>
  <c r="S1054" i="14"/>
  <c r="S1058" i="14"/>
  <c r="S1053" i="14"/>
  <c r="S1057" i="14"/>
  <c r="S1065" i="14"/>
  <c r="S1074" i="14"/>
  <c r="S1078" i="14"/>
  <c r="S1320" i="14"/>
  <c r="S1521" i="14"/>
  <c r="S1527" i="14"/>
  <c r="S1532" i="14"/>
  <c r="S1536" i="14"/>
  <c r="S1540" i="14"/>
  <c r="S1562" i="14"/>
  <c r="S1580" i="14"/>
  <c r="S1586" i="14"/>
  <c r="S1597" i="14"/>
  <c r="S1608" i="14"/>
  <c r="S1612" i="14"/>
  <c r="S1616" i="14"/>
  <c r="S1619" i="14"/>
  <c r="S1634" i="14"/>
  <c r="S1692" i="14"/>
  <c r="S1697" i="14"/>
  <c r="S1702" i="14"/>
  <c r="S1706" i="14"/>
  <c r="S1750" i="14"/>
  <c r="S1760" i="14"/>
  <c r="S1768" i="14"/>
  <c r="S1774" i="14"/>
  <c r="S1791" i="14"/>
  <c r="S1838" i="14"/>
  <c r="S1873" i="14"/>
  <c r="S1885" i="14"/>
  <c r="S1927" i="14"/>
  <c r="S1333" i="14"/>
  <c r="S1116" i="14"/>
  <c r="S1522" i="14"/>
  <c r="S1533" i="14"/>
  <c r="S1537" i="14"/>
  <c r="S1541" i="14"/>
  <c r="S1548" i="14"/>
  <c r="S1604" i="14"/>
  <c r="S1624" i="14"/>
  <c r="S1698" i="14"/>
  <c r="S1754" i="14"/>
  <c r="S1802" i="14"/>
  <c r="S1844" i="14"/>
  <c r="S1869" i="14"/>
  <c r="S1874" i="14"/>
  <c r="S1886" i="14"/>
  <c r="S1911" i="14"/>
  <c r="S1325" i="14"/>
  <c r="S881" i="14"/>
  <c r="S773" i="14"/>
  <c r="S1011" i="14"/>
  <c r="S757" i="14"/>
  <c r="S857" i="14"/>
  <c r="S742" i="14"/>
  <c r="S750" i="14"/>
  <c r="S758" i="14"/>
  <c r="S766" i="14"/>
  <c r="S870" i="14"/>
  <c r="S894" i="14"/>
  <c r="S902" i="14"/>
  <c r="S1042" i="14"/>
  <c r="S1047" i="14"/>
  <c r="S1055" i="14"/>
  <c r="S1063" i="14"/>
  <c r="S1068" i="14"/>
  <c r="S1080" i="14"/>
  <c r="S1089" i="14"/>
  <c r="S1097" i="14"/>
  <c r="S1113" i="14"/>
  <c r="S1117" i="14"/>
  <c r="S1122" i="14"/>
  <c r="S1134" i="14"/>
  <c r="S1142" i="14"/>
  <c r="S1154" i="14"/>
  <c r="S1162" i="14"/>
  <c r="S1170" i="14"/>
  <c r="S1178" i="14"/>
  <c r="S1182" i="14"/>
  <c r="S1186" i="14"/>
  <c r="S1190" i="14"/>
  <c r="S1194" i="14"/>
  <c r="S1202" i="14"/>
  <c r="S1206" i="14"/>
  <c r="S1322" i="14"/>
  <c r="S1326" i="14"/>
  <c r="S1330" i="14"/>
  <c r="S1342" i="14"/>
  <c r="S1346" i="14"/>
  <c r="S1350" i="14"/>
  <c r="S1354" i="14"/>
  <c r="S1386" i="14"/>
  <c r="S1394" i="14"/>
  <c r="S1402" i="14"/>
  <c r="S1410" i="14"/>
  <c r="S786" i="14"/>
  <c r="S794" i="14"/>
  <c r="S810" i="14"/>
  <c r="S814" i="14"/>
  <c r="S825" i="14"/>
  <c r="S890" i="14"/>
  <c r="S1434" i="14"/>
  <c r="S1442" i="14"/>
  <c r="S1446" i="14"/>
  <c r="S1450" i="14"/>
  <c r="S1462" i="14"/>
  <c r="S1466" i="14"/>
  <c r="S1470" i="14"/>
  <c r="S1478" i="14"/>
  <c r="S874" i="14"/>
  <c r="S882" i="14"/>
  <c r="S947" i="14"/>
  <c r="S992" i="14"/>
  <c r="S1005" i="14"/>
  <c r="S1314" i="14"/>
  <c r="J2043" i="14"/>
  <c r="N1414" i="14"/>
  <c r="R1432" i="14"/>
  <c r="N1009" i="14"/>
  <c r="R1010" i="14"/>
  <c r="N1310" i="14"/>
  <c r="R1318" i="14"/>
  <c r="N836" i="14"/>
  <c r="R837" i="14"/>
  <c r="R1433" i="14"/>
  <c r="R1375" i="14"/>
  <c r="R1319" i="14"/>
  <c r="R1035" i="14"/>
  <c r="R965" i="14"/>
  <c r="J1623" i="14"/>
  <c r="R1626" i="14"/>
  <c r="J1523" i="14"/>
  <c r="R1524" i="14"/>
  <c r="N1523" i="14"/>
  <c r="R1542" i="14"/>
  <c r="N861" i="14"/>
  <c r="R862" i="14"/>
  <c r="N883" i="14"/>
  <c r="R893" i="14"/>
  <c r="S1631" i="14"/>
  <c r="N1721" i="14"/>
  <c r="R1723" i="14"/>
  <c r="J1833" i="14"/>
  <c r="R1834" i="14"/>
  <c r="N872" i="14"/>
  <c r="R873" i="14"/>
  <c r="N745" i="14"/>
  <c r="R746" i="14"/>
  <c r="R1376" i="14"/>
  <c r="R1036" i="14"/>
  <c r="R964" i="14"/>
  <c r="S1601" i="14"/>
  <c r="J1595" i="14"/>
  <c r="R1595" i="14" s="1"/>
  <c r="R1596" i="14"/>
  <c r="J1549" i="14"/>
  <c r="R1550" i="14"/>
  <c r="N1591" i="14"/>
  <c r="R1592" i="14"/>
  <c r="S1744" i="14"/>
  <c r="S1765" i="14"/>
  <c r="J1575" i="14"/>
  <c r="R1636" i="14"/>
  <c r="R1585" i="14"/>
  <c r="R1520" i="14"/>
  <c r="S1725" i="14"/>
  <c r="S1773" i="14"/>
  <c r="N1840" i="14"/>
  <c r="N1839" i="14" s="1"/>
  <c r="R1554" i="14"/>
  <c r="S1531" i="14"/>
  <c r="S1535" i="14"/>
  <c r="S1539" i="14"/>
  <c r="S1543" i="14"/>
  <c r="S1547" i="14"/>
  <c r="R1599" i="14"/>
  <c r="J1688" i="14"/>
  <c r="R1688" i="14" s="1"/>
  <c r="R1689" i="14"/>
  <c r="S1813" i="14"/>
  <c r="J1828" i="14"/>
  <c r="R1828" i="14" s="1"/>
  <c r="R1829" i="14"/>
  <c r="J1783" i="14"/>
  <c r="R1784" i="14"/>
  <c r="R1830" i="14"/>
  <c r="R1730" i="14"/>
  <c r="R1710" i="14"/>
  <c r="N1797" i="14"/>
  <c r="R1800" i="14"/>
  <c r="R1826" i="14"/>
  <c r="J1992" i="14"/>
  <c r="R1992" i="14" s="1"/>
  <c r="R1993" i="14"/>
  <c r="J1934" i="14"/>
  <c r="R1937" i="14"/>
  <c r="R1903" i="14"/>
  <c r="R1822" i="14"/>
  <c r="R2010" i="14"/>
  <c r="J1989" i="14"/>
  <c r="R1989" i="14" s="1"/>
  <c r="R1990" i="14"/>
  <c r="J1928" i="14"/>
  <c r="R1928" i="14" s="1"/>
  <c r="R1929" i="14"/>
  <c r="J1882" i="14"/>
  <c r="R1883" i="14"/>
  <c r="S1981" i="14"/>
  <c r="J1998" i="14"/>
  <c r="R2001" i="14"/>
  <c r="J1977" i="14"/>
  <c r="R1980" i="14"/>
  <c r="J1951" i="14"/>
  <c r="R1951" i="14" s="1"/>
  <c r="R1952" i="14"/>
  <c r="J1878" i="14"/>
  <c r="R1879" i="14"/>
  <c r="J1960" i="14"/>
  <c r="R1963" i="14"/>
  <c r="J1913" i="14"/>
  <c r="R1916" i="14"/>
  <c r="J1868" i="14"/>
  <c r="R1871" i="14"/>
  <c r="S1904" i="14"/>
  <c r="R1986" i="14"/>
  <c r="R1910" i="14"/>
  <c r="N1971" i="14"/>
  <c r="R1987" i="14"/>
  <c r="R1909" i="14"/>
  <c r="J1945" i="14"/>
  <c r="R1945" i="14" s="1"/>
  <c r="N1786" i="14"/>
  <c r="J1803" i="14"/>
  <c r="J1753" i="14"/>
  <c r="J1840" i="14"/>
  <c r="J1714" i="14"/>
  <c r="N1560" i="14"/>
  <c r="N1576" i="14"/>
  <c r="R1576" i="14" s="1"/>
  <c r="J1565" i="14"/>
  <c r="J721" i="14"/>
  <c r="J724" i="14"/>
  <c r="R724" i="14" s="1"/>
  <c r="J726" i="14"/>
  <c r="R726" i="14" s="1"/>
  <c r="J738" i="14"/>
  <c r="J749" i="14"/>
  <c r="R749" i="14" s="1"/>
  <c r="J754" i="14"/>
  <c r="R754" i="14" s="1"/>
  <c r="J763" i="14"/>
  <c r="R763" i="14" s="1"/>
  <c r="J772" i="14"/>
  <c r="J778" i="14"/>
  <c r="J783" i="14"/>
  <c r="J791" i="14"/>
  <c r="J800" i="14"/>
  <c r="R800" i="14" s="1"/>
  <c r="J809" i="14"/>
  <c r="R809" i="14" s="1"/>
  <c r="J821" i="14"/>
  <c r="J830" i="14"/>
  <c r="J843" i="14"/>
  <c r="R843" i="14" s="1"/>
  <c r="J856" i="14"/>
  <c r="J867" i="14"/>
  <c r="J878" i="14"/>
  <c r="J886" i="14"/>
  <c r="R886" i="14" s="1"/>
  <c r="J898" i="14"/>
  <c r="J906" i="14"/>
  <c r="J914" i="14"/>
  <c r="R914" i="14" s="1"/>
  <c r="J924" i="14"/>
  <c r="R924" i="14" s="1"/>
  <c r="J934" i="14"/>
  <c r="R934" i="14" s="1"/>
  <c r="J946" i="14"/>
  <c r="R946" i="14" s="1"/>
  <c r="J956" i="14"/>
  <c r="R956" i="14" s="1"/>
  <c r="J970" i="14"/>
  <c r="R970" i="14" s="1"/>
  <c r="J980" i="14"/>
  <c r="R980" i="14" s="1"/>
  <c r="J991" i="14"/>
  <c r="R991" i="14" s="1"/>
  <c r="J1001" i="14"/>
  <c r="R1001" i="14" s="1"/>
  <c r="J1016" i="14"/>
  <c r="R1016" i="14" s="1"/>
  <c r="J1026" i="14"/>
  <c r="R1026" i="14" s="1"/>
  <c r="J1041" i="14"/>
  <c r="R1041" i="14" s="1"/>
  <c r="J1051" i="14"/>
  <c r="R1051" i="14" s="1"/>
  <c r="J1062" i="14"/>
  <c r="R1062" i="14" s="1"/>
  <c r="J1073" i="14"/>
  <c r="R1073" i="14" s="1"/>
  <c r="J1085" i="14"/>
  <c r="R1085" i="14" s="1"/>
  <c r="J1094" i="14"/>
  <c r="J1103" i="14"/>
  <c r="J1115" i="14"/>
  <c r="J1126" i="14"/>
  <c r="J1133" i="14"/>
  <c r="J1141" i="14"/>
  <c r="R1141" i="14" s="1"/>
  <c r="J1149" i="14"/>
  <c r="R1149" i="14" s="1"/>
  <c r="J1158" i="14"/>
  <c r="J1167" i="14"/>
  <c r="J1175" i="14"/>
  <c r="J1183" i="14"/>
  <c r="J1191" i="14"/>
  <c r="J1199" i="14"/>
  <c r="J1209" i="14"/>
  <c r="J1219" i="14"/>
  <c r="J1227" i="14"/>
  <c r="J1234" i="14"/>
  <c r="J1241" i="14"/>
  <c r="J1248" i="14"/>
  <c r="J1255" i="14"/>
  <c r="J1263" i="14"/>
  <c r="J1270" i="14"/>
  <c r="J1277" i="14"/>
  <c r="J1285" i="14"/>
  <c r="J1289" i="14"/>
  <c r="R1289" i="14" s="1"/>
  <c r="J1299" i="14"/>
  <c r="J1306" i="14"/>
  <c r="J1313" i="14"/>
  <c r="J1324" i="14"/>
  <c r="J1332" i="14"/>
  <c r="J1341" i="14"/>
  <c r="R1341" i="14" s="1"/>
  <c r="J1349" i="14"/>
  <c r="R1349" i="14" s="1"/>
  <c r="J1356" i="14"/>
  <c r="J1358" i="14"/>
  <c r="R1358" i="14" s="1"/>
  <c r="J1363" i="14"/>
  <c r="J1370" i="14"/>
  <c r="R1370" i="14" s="1"/>
  <c r="J1381" i="14"/>
  <c r="R1381" i="14" s="1"/>
  <c r="J1389" i="14"/>
  <c r="R1389" i="14" s="1"/>
  <c r="J1398" i="14"/>
  <c r="J1407" i="14"/>
  <c r="R1407" i="14" s="1"/>
  <c r="J1417" i="14"/>
  <c r="R1417" i="14" s="1"/>
  <c r="J1425" i="14"/>
  <c r="J1438" i="14"/>
  <c r="R1438" i="14" s="1"/>
  <c r="J1445" i="14"/>
  <c r="R1445" i="14" s="1"/>
  <c r="J1454" i="14"/>
  <c r="R1454" i="14" s="1"/>
  <c r="J1455" i="14"/>
  <c r="J1456" i="14"/>
  <c r="R1456" i="14" s="1"/>
  <c r="J1458" i="14"/>
  <c r="R1458" i="14" s="1"/>
  <c r="J1463" i="14"/>
  <c r="J1474" i="14"/>
  <c r="R542" i="14"/>
  <c r="S542" i="14"/>
  <c r="R543" i="14"/>
  <c r="S543" i="14"/>
  <c r="R547" i="14"/>
  <c r="R548" i="14"/>
  <c r="S548" i="14"/>
  <c r="R549" i="14"/>
  <c r="R550" i="14"/>
  <c r="S550" i="14"/>
  <c r="R551" i="14"/>
  <c r="S551" i="14"/>
  <c r="R552" i="14"/>
  <c r="S552" i="14"/>
  <c r="R554" i="14"/>
  <c r="S554" i="14"/>
  <c r="R555" i="14"/>
  <c r="S555" i="14"/>
  <c r="R557" i="14"/>
  <c r="S557" i="14"/>
  <c r="R559" i="14"/>
  <c r="S559" i="14"/>
  <c r="R560" i="14"/>
  <c r="R561" i="14"/>
  <c r="S561" i="14"/>
  <c r="R562" i="14"/>
  <c r="R563" i="14"/>
  <c r="S563" i="14"/>
  <c r="R564" i="14"/>
  <c r="S564" i="14"/>
  <c r="R567" i="14"/>
  <c r="S567" i="14"/>
  <c r="R568" i="14"/>
  <c r="S568" i="14"/>
  <c r="R569" i="14"/>
  <c r="R570" i="14"/>
  <c r="R571" i="14"/>
  <c r="R574" i="14"/>
  <c r="S574" i="14"/>
  <c r="R580" i="14"/>
  <c r="S580" i="14"/>
  <c r="R581" i="14"/>
  <c r="S581" i="14"/>
  <c r="R582" i="14"/>
  <c r="S582" i="14"/>
  <c r="R583" i="14"/>
  <c r="S583" i="14"/>
  <c r="R584" i="14"/>
  <c r="R585" i="14"/>
  <c r="R586" i="14"/>
  <c r="S586" i="14"/>
  <c r="R587" i="14"/>
  <c r="S587" i="14"/>
  <c r="R588" i="14"/>
  <c r="R589" i="14"/>
  <c r="R590" i="14"/>
  <c r="R591" i="14"/>
  <c r="R592" i="14"/>
  <c r="S592" i="14"/>
  <c r="R593" i="14"/>
  <c r="S593" i="14"/>
  <c r="R594" i="14"/>
  <c r="S594" i="14"/>
  <c r="R595" i="14"/>
  <c r="S595" i="14"/>
  <c r="R596" i="14"/>
  <c r="R598" i="14"/>
  <c r="S598" i="14"/>
  <c r="R600" i="14"/>
  <c r="R601" i="14"/>
  <c r="R603" i="14"/>
  <c r="S603" i="14"/>
  <c r="R604" i="14"/>
  <c r="S604" i="14"/>
  <c r="R605" i="14"/>
  <c r="R606" i="14"/>
  <c r="S606" i="14"/>
  <c r="R607" i="14"/>
  <c r="S607" i="14"/>
  <c r="R608" i="14"/>
  <c r="S608" i="14"/>
  <c r="R609" i="14"/>
  <c r="S609" i="14"/>
  <c r="R610" i="14"/>
  <c r="S610" i="14"/>
  <c r="R611" i="14"/>
  <c r="R612" i="14"/>
  <c r="S612" i="14"/>
  <c r="R613" i="14"/>
  <c r="R614" i="14"/>
  <c r="S614" i="14"/>
  <c r="R615" i="14"/>
  <c r="R616" i="14"/>
  <c r="R617" i="14"/>
  <c r="S617" i="14"/>
  <c r="R618" i="14"/>
  <c r="S618" i="14"/>
  <c r="R619" i="14"/>
  <c r="S619" i="14"/>
  <c r="R620" i="14"/>
  <c r="R621" i="14"/>
  <c r="S621" i="14"/>
  <c r="R622" i="14"/>
  <c r="R623" i="14"/>
  <c r="S623" i="14"/>
  <c r="R624" i="14"/>
  <c r="S624" i="14"/>
  <c r="R625" i="14"/>
  <c r="S625" i="14"/>
  <c r="R626" i="14"/>
  <c r="S626" i="14"/>
  <c r="R627" i="14"/>
  <c r="R628" i="14"/>
  <c r="R629" i="14"/>
  <c r="R630" i="14"/>
  <c r="S630" i="14"/>
  <c r="R631" i="14"/>
  <c r="S631" i="14"/>
  <c r="R632" i="14"/>
  <c r="R633" i="14"/>
  <c r="S633" i="14"/>
  <c r="R634" i="14"/>
  <c r="R635" i="14"/>
  <c r="S635" i="14"/>
  <c r="R636" i="14"/>
  <c r="R637" i="14"/>
  <c r="S637" i="14"/>
  <c r="R638" i="14"/>
  <c r="R639" i="14"/>
  <c r="S639" i="14"/>
  <c r="R640" i="14"/>
  <c r="S640" i="14"/>
  <c r="R641" i="14"/>
  <c r="S641" i="14"/>
  <c r="R642" i="14"/>
  <c r="S642" i="14"/>
  <c r="R643" i="14"/>
  <c r="R644" i="14"/>
  <c r="S644" i="14"/>
  <c r="R645" i="14"/>
  <c r="R646" i="14"/>
  <c r="S646" i="14"/>
  <c r="R647" i="14"/>
  <c r="R648" i="14"/>
  <c r="S648" i="14"/>
  <c r="R649" i="14"/>
  <c r="S649" i="14"/>
  <c r="R650" i="14"/>
  <c r="S650" i="14"/>
  <c r="R651" i="14"/>
  <c r="R652" i="14"/>
  <c r="S652" i="14"/>
  <c r="R653" i="14"/>
  <c r="R654" i="14"/>
  <c r="S654" i="14"/>
  <c r="R655" i="14"/>
  <c r="S655" i="14"/>
  <c r="R656" i="14"/>
  <c r="R657" i="14"/>
  <c r="S657" i="14"/>
  <c r="R658" i="14"/>
  <c r="R659" i="14"/>
  <c r="S659" i="14"/>
  <c r="R660" i="14"/>
  <c r="S660" i="14"/>
  <c r="R661" i="14"/>
  <c r="S661" i="14"/>
  <c r="N573" i="14"/>
  <c r="N572" i="14" s="1"/>
  <c r="N565" i="14" s="1"/>
  <c r="N544" i="14" s="1"/>
  <c r="N579" i="14"/>
  <c r="N597" i="14"/>
  <c r="J541" i="14"/>
  <c r="J540" i="14" s="1"/>
  <c r="R540" i="14" s="1"/>
  <c r="J546" i="14"/>
  <c r="R546" i="14" s="1"/>
  <c r="J556" i="14"/>
  <c r="J566" i="14"/>
  <c r="J565" i="14" s="1"/>
  <c r="R423" i="14"/>
  <c r="S423" i="14"/>
  <c r="R424" i="14"/>
  <c r="S424" i="14"/>
  <c r="R426" i="14"/>
  <c r="S426" i="14"/>
  <c r="R427" i="14"/>
  <c r="S427" i="14"/>
  <c r="R428" i="14"/>
  <c r="R429" i="14"/>
  <c r="S429" i="14"/>
  <c r="R430" i="14"/>
  <c r="R431" i="14"/>
  <c r="R432" i="14"/>
  <c r="S432" i="14"/>
  <c r="R434" i="14"/>
  <c r="S434" i="14"/>
  <c r="R435" i="14"/>
  <c r="S435" i="14"/>
  <c r="R438" i="14"/>
  <c r="S438" i="14"/>
  <c r="R440" i="14"/>
  <c r="S440" i="14"/>
  <c r="R442" i="14"/>
  <c r="S442" i="14"/>
  <c r="R445" i="14"/>
  <c r="S445" i="14"/>
  <c r="R448" i="14"/>
  <c r="S448" i="14"/>
  <c r="R450" i="14"/>
  <c r="S450" i="14"/>
  <c r="R452" i="14"/>
  <c r="S452" i="14"/>
  <c r="R453" i="14"/>
  <c r="S453" i="14"/>
  <c r="R455" i="14"/>
  <c r="S455" i="14"/>
  <c r="R456" i="14"/>
  <c r="S456" i="14"/>
  <c r="R457" i="14"/>
  <c r="S457" i="14"/>
  <c r="R458" i="14"/>
  <c r="S458" i="14"/>
  <c r="R459" i="14"/>
  <c r="S459" i="14"/>
  <c r="R460" i="14"/>
  <c r="S460" i="14"/>
  <c r="R461" i="14"/>
  <c r="S461" i="14"/>
  <c r="R464" i="14"/>
  <c r="S464" i="14"/>
  <c r="R467" i="14"/>
  <c r="S467" i="14"/>
  <c r="R470" i="14"/>
  <c r="S470" i="14"/>
  <c r="R473" i="14"/>
  <c r="S473" i="14"/>
  <c r="R476" i="14"/>
  <c r="S476" i="14"/>
  <c r="R477" i="14"/>
  <c r="S477" i="14"/>
  <c r="R478" i="14"/>
  <c r="S478" i="14"/>
  <c r="R479" i="14"/>
  <c r="S479" i="14"/>
  <c r="R482" i="14"/>
  <c r="S482" i="14"/>
  <c r="R483" i="14"/>
  <c r="S483" i="14"/>
  <c r="R484" i="14"/>
  <c r="S484" i="14"/>
  <c r="N437" i="14"/>
  <c r="R437" i="14" s="1"/>
  <c r="N439" i="14"/>
  <c r="R439" i="14" s="1"/>
  <c r="N441" i="14"/>
  <c r="R441" i="14" s="1"/>
  <c r="N447" i="14"/>
  <c r="R447" i="14" s="1"/>
  <c r="N449" i="14"/>
  <c r="N463" i="14"/>
  <c r="N469" i="14"/>
  <c r="N468" i="14" s="1"/>
  <c r="N465" i="14" s="1"/>
  <c r="J425" i="14"/>
  <c r="R425" i="14" s="1"/>
  <c r="J433" i="14"/>
  <c r="R433" i="14" s="1"/>
  <c r="J444" i="14"/>
  <c r="R444" i="14" s="1"/>
  <c r="J454" i="14"/>
  <c r="J451" i="14" s="1"/>
  <c r="J466" i="14"/>
  <c r="J465" i="14" s="1"/>
  <c r="J472" i="14"/>
  <c r="J471" i="14" s="1"/>
  <c r="R471" i="14" s="1"/>
  <c r="J475" i="14"/>
  <c r="R475" i="14" s="1"/>
  <c r="J481" i="14"/>
  <c r="J480" i="14" s="1"/>
  <c r="R480" i="14" s="1"/>
  <c r="R305" i="14"/>
  <c r="S305" i="14"/>
  <c r="R307" i="14"/>
  <c r="S307" i="14"/>
  <c r="R308" i="14"/>
  <c r="S308" i="14"/>
  <c r="R310" i="14"/>
  <c r="R311" i="14"/>
  <c r="R313" i="14"/>
  <c r="S313" i="14"/>
  <c r="R314" i="14"/>
  <c r="S314" i="14"/>
  <c r="R315" i="14"/>
  <c r="R316" i="14"/>
  <c r="R317" i="14"/>
  <c r="S317" i="14"/>
  <c r="R318" i="14"/>
  <c r="S318" i="14"/>
  <c r="R319" i="14"/>
  <c r="S319" i="14"/>
  <c r="R321" i="14"/>
  <c r="S321" i="14"/>
  <c r="R322" i="14"/>
  <c r="S322" i="14"/>
  <c r="R324" i="14"/>
  <c r="S324" i="14"/>
  <c r="R325" i="14"/>
  <c r="S325" i="14"/>
  <c r="R326" i="14"/>
  <c r="S326" i="14"/>
  <c r="R327" i="14"/>
  <c r="S327" i="14"/>
  <c r="R328" i="14"/>
  <c r="S328" i="14"/>
  <c r="R331" i="14"/>
  <c r="S331" i="14"/>
  <c r="R332" i="14"/>
  <c r="S332" i="14"/>
  <c r="R334" i="14"/>
  <c r="S334" i="14"/>
  <c r="R335" i="14"/>
  <c r="S335" i="14"/>
  <c r="R336" i="14"/>
  <c r="S336" i="14"/>
  <c r="R337" i="14"/>
  <c r="S337" i="14"/>
  <c r="R338" i="14"/>
  <c r="S338" i="14"/>
  <c r="R341" i="14"/>
  <c r="S341" i="14"/>
  <c r="R342" i="14"/>
  <c r="S342" i="14"/>
  <c r="R344" i="14"/>
  <c r="S344" i="14"/>
  <c r="R345" i="14"/>
  <c r="S345" i="14"/>
  <c r="R346" i="14"/>
  <c r="S346" i="14"/>
  <c r="R347" i="14"/>
  <c r="S347" i="14"/>
  <c r="R348" i="14"/>
  <c r="S348" i="14"/>
  <c r="R349" i="14"/>
  <c r="S349" i="14"/>
  <c r="R352" i="14"/>
  <c r="S352" i="14"/>
  <c r="R353" i="14"/>
  <c r="S353" i="14"/>
  <c r="R354" i="14"/>
  <c r="S354" i="14"/>
  <c r="R355" i="14"/>
  <c r="R356" i="14"/>
  <c r="S356" i="14"/>
  <c r="R357" i="14"/>
  <c r="S357" i="14"/>
  <c r="R360" i="14"/>
  <c r="S360" i="14"/>
  <c r="R361" i="14"/>
  <c r="S361" i="14"/>
  <c r="R363" i="14"/>
  <c r="S363" i="14"/>
  <c r="R364" i="14"/>
  <c r="R368" i="14"/>
  <c r="S368" i="14"/>
  <c r="R369" i="14"/>
  <c r="S369" i="14"/>
  <c r="R370" i="14"/>
  <c r="S370" i="14"/>
  <c r="R371" i="14"/>
  <c r="S371" i="14"/>
  <c r="R275" i="14"/>
  <c r="S275" i="14"/>
  <c r="N339" i="14"/>
  <c r="N359" i="14"/>
  <c r="R359" i="14" s="1"/>
  <c r="N362" i="14"/>
  <c r="R362" i="14" s="1"/>
  <c r="J306" i="14"/>
  <c r="J312" i="14"/>
  <c r="J309" i="14" s="1"/>
  <c r="R309" i="14" s="1"/>
  <c r="J323" i="14"/>
  <c r="J320" i="14" s="1"/>
  <c r="R320" i="14" s="1"/>
  <c r="J333" i="14"/>
  <c r="J330" i="14" s="1"/>
  <c r="J329" i="14" s="1"/>
  <c r="R329" i="14" s="1"/>
  <c r="J343" i="14"/>
  <c r="J351" i="14"/>
  <c r="J350" i="14" s="1"/>
  <c r="J367" i="14"/>
  <c r="J366" i="14" s="1"/>
  <c r="J365" i="14" s="1"/>
  <c r="R365" i="14" s="1"/>
  <c r="R190" i="14"/>
  <c r="R194" i="14"/>
  <c r="S194" i="14"/>
  <c r="R197" i="14"/>
  <c r="S197" i="14"/>
  <c r="R198" i="14"/>
  <c r="R200" i="14"/>
  <c r="R203" i="14"/>
  <c r="S203" i="14"/>
  <c r="R204" i="14"/>
  <c r="R206" i="14"/>
  <c r="R209" i="14"/>
  <c r="S209" i="14"/>
  <c r="R210" i="14"/>
  <c r="S210" i="14"/>
  <c r="R213" i="14"/>
  <c r="R214" i="14"/>
  <c r="R215" i="14"/>
  <c r="R216" i="14"/>
  <c r="S216" i="14"/>
  <c r="R217" i="14"/>
  <c r="S217" i="14"/>
  <c r="R218" i="14"/>
  <c r="S218" i="14"/>
  <c r="R219" i="14"/>
  <c r="R222" i="14"/>
  <c r="S222" i="14"/>
  <c r="R223" i="14"/>
  <c r="S223" i="14"/>
  <c r="R224" i="14"/>
  <c r="S224" i="14"/>
  <c r="R226" i="14"/>
  <c r="S226" i="14"/>
  <c r="R227" i="14"/>
  <c r="R228" i="14"/>
  <c r="R229" i="14"/>
  <c r="S229" i="14"/>
  <c r="R230" i="14"/>
  <c r="S230" i="14"/>
  <c r="R233" i="14"/>
  <c r="R234" i="14"/>
  <c r="S234" i="14"/>
  <c r="R236" i="14"/>
  <c r="R237" i="14"/>
  <c r="R239" i="14"/>
  <c r="S239" i="14"/>
  <c r="R240" i="14"/>
  <c r="R241" i="14"/>
  <c r="S241" i="14"/>
  <c r="R242" i="14"/>
  <c r="R244" i="14"/>
  <c r="S244" i="14"/>
  <c r="R245" i="14"/>
  <c r="R247" i="14"/>
  <c r="R250" i="14"/>
  <c r="R253" i="14"/>
  <c r="S253" i="14"/>
  <c r="R255" i="14"/>
  <c r="S255" i="14"/>
  <c r="R258" i="14"/>
  <c r="S258" i="14"/>
  <c r="R259" i="14"/>
  <c r="S259" i="14"/>
  <c r="R260" i="14"/>
  <c r="R261" i="14"/>
  <c r="S261" i="14"/>
  <c r="R262" i="14"/>
  <c r="R265" i="14"/>
  <c r="R266" i="14"/>
  <c r="S266" i="14"/>
  <c r="R268" i="14"/>
  <c r="R271" i="14"/>
  <c r="R272" i="14"/>
  <c r="S272" i="14"/>
  <c r="N188" i="14"/>
  <c r="N199" i="14"/>
  <c r="N195" i="14" s="1"/>
  <c r="N201" i="14"/>
  <c r="N221" i="14"/>
  <c r="R221" i="14" s="1"/>
  <c r="N225" i="14"/>
  <c r="R225" i="14" s="1"/>
  <c r="N249" i="14"/>
  <c r="N248" i="14" s="1"/>
  <c r="N235" i="14" s="1"/>
  <c r="N264" i="14"/>
  <c r="R264" i="14" s="1"/>
  <c r="N267" i="14"/>
  <c r="R267" i="14" s="1"/>
  <c r="N274" i="14"/>
  <c r="N273" i="14" s="1"/>
  <c r="J189" i="14"/>
  <c r="J188" i="14" s="1"/>
  <c r="J193" i="14"/>
  <c r="J196" i="14"/>
  <c r="J195" i="14" s="1"/>
  <c r="J202" i="14"/>
  <c r="J201" i="14" s="1"/>
  <c r="J208" i="14"/>
  <c r="J207" i="14" s="1"/>
  <c r="R207" i="14" s="1"/>
  <c r="J212" i="14"/>
  <c r="J232" i="14"/>
  <c r="J231" i="14" s="1"/>
  <c r="R231" i="14" s="1"/>
  <c r="J238" i="14"/>
  <c r="J243" i="14"/>
  <c r="R243" i="14" s="1"/>
  <c r="J246" i="14"/>
  <c r="R246" i="14" s="1"/>
  <c r="J252" i="14"/>
  <c r="R252" i="14" s="1"/>
  <c r="J254" i="14"/>
  <c r="R254" i="14" s="1"/>
  <c r="J257" i="14"/>
  <c r="J256" i="14" s="1"/>
  <c r="J270" i="14"/>
  <c r="R131" i="14"/>
  <c r="S131" i="14"/>
  <c r="R133" i="14"/>
  <c r="R135" i="14"/>
  <c r="R137" i="14"/>
  <c r="S137" i="14"/>
  <c r="R138" i="14"/>
  <c r="S138" i="14"/>
  <c r="R141" i="14"/>
  <c r="S141" i="14"/>
  <c r="R144" i="14"/>
  <c r="S144" i="14"/>
  <c r="N128" i="14"/>
  <c r="H7" i="15" s="1"/>
  <c r="J130" i="14"/>
  <c r="R130" i="14" s="1"/>
  <c r="J132" i="14"/>
  <c r="R132" i="14" s="1"/>
  <c r="J134" i="14"/>
  <c r="R134" i="14" s="1"/>
  <c r="J136" i="14"/>
  <c r="R136" i="14" s="1"/>
  <c r="J140" i="14"/>
  <c r="R140" i="14" s="1"/>
  <c r="J143" i="14"/>
  <c r="J142" i="14" s="1"/>
  <c r="R142" i="14" s="1"/>
  <c r="R13" i="14"/>
  <c r="R14" i="14"/>
  <c r="R15" i="14"/>
  <c r="R16" i="14"/>
  <c r="R17" i="14"/>
  <c r="R20" i="14"/>
  <c r="R23" i="14"/>
  <c r="R25" i="14"/>
  <c r="R27" i="14"/>
  <c r="R28" i="14"/>
  <c r="R29" i="14"/>
  <c r="R31" i="14"/>
  <c r="R33" i="14"/>
  <c r="R34" i="14"/>
  <c r="R35" i="14"/>
  <c r="R36" i="14"/>
  <c r="R39" i="14"/>
  <c r="R41" i="14"/>
  <c r="R44" i="14"/>
  <c r="R47" i="14"/>
  <c r="R49" i="14"/>
  <c r="R50" i="14"/>
  <c r="R51" i="14"/>
  <c r="R52" i="14"/>
  <c r="R54" i="14"/>
  <c r="R56" i="14"/>
  <c r="R57" i="14"/>
  <c r="R58" i="14"/>
  <c r="R60" i="14"/>
  <c r="R63" i="14"/>
  <c r="R64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4" i="14"/>
  <c r="O43" i="14"/>
  <c r="O41" i="14"/>
  <c r="O39" i="14"/>
  <c r="O36" i="14"/>
  <c r="O35" i="14"/>
  <c r="O34" i="14"/>
  <c r="O33" i="14"/>
  <c r="O32" i="14"/>
  <c r="O31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N38" i="14"/>
  <c r="R38" i="14" s="1"/>
  <c r="N40" i="14"/>
  <c r="R40" i="14" s="1"/>
  <c r="N46" i="14"/>
  <c r="R46" i="14" s="1"/>
  <c r="N48" i="14"/>
  <c r="R48" i="14" s="1"/>
  <c r="K64" i="14"/>
  <c r="K63" i="14"/>
  <c r="K60" i="14"/>
  <c r="K57" i="14"/>
  <c r="K52" i="14"/>
  <c r="K51" i="14"/>
  <c r="K50" i="14"/>
  <c r="K49" i="14"/>
  <c r="K48" i="14"/>
  <c r="K47" i="14"/>
  <c r="K46" i="14"/>
  <c r="K45" i="14"/>
  <c r="K41" i="14"/>
  <c r="K40" i="14"/>
  <c r="K39" i="14"/>
  <c r="K38" i="14"/>
  <c r="K37" i="14"/>
  <c r="K35" i="14"/>
  <c r="K34" i="14"/>
  <c r="K33" i="14"/>
  <c r="K28" i="14"/>
  <c r="K27" i="14"/>
  <c r="K23" i="14"/>
  <c r="K20" i="14"/>
  <c r="K17" i="14"/>
  <c r="S17" i="14" s="1"/>
  <c r="K16" i="14"/>
  <c r="K15" i="14"/>
  <c r="S15" i="14" s="1"/>
  <c r="K14" i="14"/>
  <c r="S14" i="14" s="1"/>
  <c r="K13" i="14"/>
  <c r="J12" i="14"/>
  <c r="J11" i="14" s="1"/>
  <c r="R11" i="14" s="1"/>
  <c r="J19" i="14"/>
  <c r="J18" i="14" s="1"/>
  <c r="R18" i="14" s="1"/>
  <c r="J22" i="14"/>
  <c r="J21" i="14" s="1"/>
  <c r="R21" i="14" s="1"/>
  <c r="J26" i="14"/>
  <c r="R26" i="14" s="1"/>
  <c r="J32" i="14"/>
  <c r="R32" i="14" s="1"/>
  <c r="J43" i="14"/>
  <c r="J42" i="14" s="1"/>
  <c r="J55" i="14"/>
  <c r="J59" i="14"/>
  <c r="R59" i="14" s="1"/>
  <c r="J62" i="14"/>
  <c r="R62" i="14" s="1"/>
  <c r="I473" i="13"/>
  <c r="I462" i="13"/>
  <c r="I461" i="13"/>
  <c r="I460" i="13"/>
  <c r="I459" i="13"/>
  <c r="I458" i="13"/>
  <c r="I457" i="13"/>
  <c r="I456" i="13"/>
  <c r="I453" i="13"/>
  <c r="I436" i="13"/>
  <c r="I433" i="13"/>
  <c r="I430" i="13"/>
  <c r="I427" i="13"/>
  <c r="I424" i="13"/>
  <c r="I421" i="13"/>
  <c r="I416" i="13"/>
  <c r="I413" i="13"/>
  <c r="I412" i="13"/>
  <c r="I409" i="13"/>
  <c r="I408" i="13"/>
  <c r="I406" i="13"/>
  <c r="I405" i="13"/>
  <c r="I394" i="13"/>
  <c r="I392" i="13"/>
  <c r="I386" i="13"/>
  <c r="I382" i="13"/>
  <c r="I379" i="13"/>
  <c r="I376" i="13"/>
  <c r="I372" i="13"/>
  <c r="I369" i="13"/>
  <c r="I368" i="13"/>
  <c r="I367" i="13"/>
  <c r="I364" i="13"/>
  <c r="I360" i="13"/>
  <c r="I357" i="13"/>
  <c r="I356" i="13"/>
  <c r="I353" i="13"/>
  <c r="I349" i="13"/>
  <c r="I346" i="13"/>
  <c r="I344" i="13"/>
  <c r="I341" i="13"/>
  <c r="I337" i="13"/>
  <c r="I334" i="13"/>
  <c r="I333" i="13"/>
  <c r="I332" i="13"/>
  <c r="I329" i="13"/>
  <c r="I325" i="13"/>
  <c r="I322" i="13"/>
  <c r="I321" i="13"/>
  <c r="I320" i="13"/>
  <c r="I317" i="13"/>
  <c r="I313" i="13"/>
  <c r="I310" i="13"/>
  <c r="I307" i="13"/>
  <c r="I303" i="13"/>
  <c r="I301" i="13"/>
  <c r="I298" i="13"/>
  <c r="I294" i="13"/>
  <c r="I291" i="13"/>
  <c r="I288" i="13"/>
  <c r="I287" i="13"/>
  <c r="I286" i="13"/>
  <c r="I283" i="13"/>
  <c r="I279" i="13"/>
  <c r="I275" i="13"/>
  <c r="I274" i="13"/>
  <c r="I270" i="13"/>
  <c r="I269" i="13"/>
  <c r="I268" i="13"/>
  <c r="I264" i="13"/>
  <c r="I263" i="13"/>
  <c r="I262" i="13"/>
  <c r="I258" i="13"/>
  <c r="I257" i="13"/>
  <c r="I256" i="13"/>
  <c r="I253" i="13"/>
  <c r="I249" i="13"/>
  <c r="I248" i="13"/>
  <c r="I245" i="13"/>
  <c r="I241" i="13"/>
  <c r="I238" i="13"/>
  <c r="I234" i="13"/>
  <c r="I230" i="13"/>
  <c r="I226" i="13"/>
  <c r="I222" i="13"/>
  <c r="I221" i="13"/>
  <c r="I220" i="13"/>
  <c r="I216" i="13"/>
  <c r="I212" i="13"/>
  <c r="I209" i="13"/>
  <c r="I205" i="13"/>
  <c r="I201" i="13"/>
  <c r="I197" i="13"/>
  <c r="I193" i="13"/>
  <c r="I189" i="13"/>
  <c r="I188" i="13"/>
  <c r="I184" i="13"/>
  <c r="I183" i="13"/>
  <c r="I179" i="13"/>
  <c r="I178" i="13"/>
  <c r="I174" i="13"/>
  <c r="I173" i="13"/>
  <c r="I169" i="13"/>
  <c r="I168" i="13"/>
  <c r="I167" i="13"/>
  <c r="I163" i="13"/>
  <c r="I162" i="13"/>
  <c r="I158" i="13"/>
  <c r="I157" i="13"/>
  <c r="I153" i="13"/>
  <c r="I152" i="13"/>
  <c r="I148" i="13"/>
  <c r="I147" i="13"/>
  <c r="I143" i="13"/>
  <c r="I142" i="13"/>
  <c r="I138" i="13"/>
  <c r="I137" i="13"/>
  <c r="I133" i="13"/>
  <c r="I132" i="13"/>
  <c r="I128" i="13"/>
  <c r="I127" i="13"/>
  <c r="I122" i="13"/>
  <c r="I118" i="13"/>
  <c r="I115" i="13"/>
  <c r="I111" i="13"/>
  <c r="I108" i="13"/>
  <c r="I104" i="13"/>
  <c r="I101" i="13"/>
  <c r="I97" i="13"/>
  <c r="I93" i="13"/>
  <c r="I90" i="13"/>
  <c r="I79" i="13"/>
  <c r="I76" i="13"/>
  <c r="I75" i="13"/>
  <c r="I71" i="13"/>
  <c r="I68" i="13"/>
  <c r="I64" i="13"/>
  <c r="I63" i="13"/>
  <c r="I62" i="13"/>
  <c r="I59" i="13"/>
  <c r="I56" i="13"/>
  <c r="I52" i="13"/>
  <c r="I48" i="13"/>
  <c r="I47" i="13"/>
  <c r="I46" i="13"/>
  <c r="I45" i="13"/>
  <c r="I42" i="13"/>
  <c r="I39" i="13"/>
  <c r="I37" i="13"/>
  <c r="I33" i="13"/>
  <c r="I31" i="13"/>
  <c r="I30" i="13"/>
  <c r="I26" i="13"/>
  <c r="I21" i="13"/>
  <c r="I20" i="13"/>
  <c r="I19" i="13"/>
  <c r="I18" i="13"/>
  <c r="I15" i="13"/>
  <c r="I14" i="13"/>
  <c r="I13" i="13"/>
  <c r="H9" i="13"/>
  <c r="H8" i="13" s="1"/>
  <c r="H12" i="13"/>
  <c r="H11" i="13" s="1"/>
  <c r="H17" i="13"/>
  <c r="H16" i="13" s="1"/>
  <c r="H25" i="13"/>
  <c r="H24" i="13" s="1"/>
  <c r="H29" i="13"/>
  <c r="H32" i="13"/>
  <c r="H34" i="13"/>
  <c r="H38" i="13"/>
  <c r="H41" i="13"/>
  <c r="H40" i="13" s="1"/>
  <c r="H44" i="13"/>
  <c r="H43" i="13" s="1"/>
  <c r="H51" i="13"/>
  <c r="H50" i="13" s="1"/>
  <c r="H49" i="13" s="1"/>
  <c r="H55" i="13"/>
  <c r="H54" i="13" s="1"/>
  <c r="H58" i="13"/>
  <c r="H57" i="13" s="1"/>
  <c r="H61" i="13"/>
  <c r="H60" i="13" s="1"/>
  <c r="H67" i="13"/>
  <c r="H66" i="13" s="1"/>
  <c r="H70" i="13"/>
  <c r="H69" i="13" s="1"/>
  <c r="H74" i="13"/>
  <c r="H73" i="13" s="1"/>
  <c r="H78" i="13"/>
  <c r="H77" i="13" s="1"/>
  <c r="H82" i="13"/>
  <c r="H81" i="13" s="1"/>
  <c r="H85" i="13"/>
  <c r="H84" i="13" s="1"/>
  <c r="H89" i="13"/>
  <c r="H88" i="13" s="1"/>
  <c r="H92" i="13"/>
  <c r="H91" i="13" s="1"/>
  <c r="H96" i="13"/>
  <c r="H95" i="13" s="1"/>
  <c r="H94" i="13" s="1"/>
  <c r="H100" i="13"/>
  <c r="H99" i="13" s="1"/>
  <c r="H103" i="13"/>
  <c r="H107" i="13"/>
  <c r="H106" i="13" s="1"/>
  <c r="H110" i="13"/>
  <c r="H109" i="13" s="1"/>
  <c r="H114" i="13"/>
  <c r="H113" i="13" s="1"/>
  <c r="H117" i="13"/>
  <c r="H116" i="13" s="1"/>
  <c r="H121" i="13"/>
  <c r="H120" i="13" s="1"/>
  <c r="H119" i="13" s="1"/>
  <c r="H126" i="13"/>
  <c r="H125" i="13" s="1"/>
  <c r="H124" i="13" s="1"/>
  <c r="H131" i="13"/>
  <c r="H130" i="13" s="1"/>
  <c r="H129" i="13" s="1"/>
  <c r="H136" i="13"/>
  <c r="H135" i="13" s="1"/>
  <c r="H134" i="13" s="1"/>
  <c r="H141" i="13"/>
  <c r="H140" i="13" s="1"/>
  <c r="H139" i="13" s="1"/>
  <c r="H146" i="13"/>
  <c r="H145" i="13" s="1"/>
  <c r="H144" i="13" s="1"/>
  <c r="H151" i="13"/>
  <c r="H150" i="13" s="1"/>
  <c r="H149" i="13" s="1"/>
  <c r="H156" i="13"/>
  <c r="H155" i="13" s="1"/>
  <c r="H154" i="13" s="1"/>
  <c r="H161" i="13"/>
  <c r="H160" i="13" s="1"/>
  <c r="H159" i="13" s="1"/>
  <c r="H166" i="13"/>
  <c r="H165" i="13" s="1"/>
  <c r="H164" i="13" s="1"/>
  <c r="H172" i="13"/>
  <c r="H171" i="13" s="1"/>
  <c r="H170" i="13" s="1"/>
  <c r="H177" i="13"/>
  <c r="H176" i="13" s="1"/>
  <c r="H175" i="13" s="1"/>
  <c r="H182" i="13"/>
  <c r="H181" i="13" s="1"/>
  <c r="H180" i="13" s="1"/>
  <c r="H187" i="13"/>
  <c r="H186" i="13" s="1"/>
  <c r="H185" i="13" s="1"/>
  <c r="H192" i="13"/>
  <c r="H191" i="13" s="1"/>
  <c r="H190" i="13" s="1"/>
  <c r="H196" i="13"/>
  <c r="H195" i="13" s="1"/>
  <c r="H194" i="13" s="1"/>
  <c r="H200" i="13"/>
  <c r="H199" i="13" s="1"/>
  <c r="H198" i="13" s="1"/>
  <c r="H204" i="13"/>
  <c r="H203" i="13" s="1"/>
  <c r="H208" i="13"/>
  <c r="H207" i="13" s="1"/>
  <c r="H211" i="13"/>
  <c r="H210" i="13" s="1"/>
  <c r="H215" i="13"/>
  <c r="H214" i="13" s="1"/>
  <c r="H219" i="13"/>
  <c r="H218" i="13" s="1"/>
  <c r="H217" i="13" s="1"/>
  <c r="H225" i="13"/>
  <c r="H224" i="13" s="1"/>
  <c r="H223" i="13" s="1"/>
  <c r="H229" i="13"/>
  <c r="H228" i="13" s="1"/>
  <c r="H227" i="13" s="1"/>
  <c r="H233" i="13"/>
  <c r="H232" i="13" s="1"/>
  <c r="H231" i="13" s="1"/>
  <c r="H237" i="13"/>
  <c r="H236" i="13" s="1"/>
  <c r="H240" i="13"/>
  <c r="H239" i="13" s="1"/>
  <c r="H244" i="13"/>
  <c r="H243" i="13" s="1"/>
  <c r="H247" i="13"/>
  <c r="H246" i="13" s="1"/>
  <c r="H252" i="13"/>
  <c r="H251" i="13" s="1"/>
  <c r="H255" i="13"/>
  <c r="H254" i="13" s="1"/>
  <c r="H261" i="13"/>
  <c r="H260" i="13" s="1"/>
  <c r="H259" i="13" s="1"/>
  <c r="H267" i="13"/>
  <c r="H266" i="13" s="1"/>
  <c r="H265" i="13" s="1"/>
  <c r="H273" i="13"/>
  <c r="H272" i="13" s="1"/>
  <c r="H271" i="13" s="1"/>
  <c r="H278" i="13"/>
  <c r="H277" i="13" s="1"/>
  <c r="H276" i="13" s="1"/>
  <c r="H282" i="13"/>
  <c r="H281" i="13" s="1"/>
  <c r="H285" i="13"/>
  <c r="H284" i="13" s="1"/>
  <c r="H290" i="13"/>
  <c r="H289" i="13" s="1"/>
  <c r="H293" i="13"/>
  <c r="H292" i="13" s="1"/>
  <c r="H297" i="13"/>
  <c r="H296" i="13" s="1"/>
  <c r="H300" i="13"/>
  <c r="H299" i="13" s="1"/>
  <c r="H306" i="13"/>
  <c r="H305" i="13" s="1"/>
  <c r="H309" i="13"/>
  <c r="H308" i="13" s="1"/>
  <c r="H312" i="13"/>
  <c r="H311" i="13" s="1"/>
  <c r="H316" i="13"/>
  <c r="H315" i="13" s="1"/>
  <c r="H319" i="13"/>
  <c r="H318" i="13" s="1"/>
  <c r="H324" i="13"/>
  <c r="H323" i="13" s="1"/>
  <c r="H328" i="13"/>
  <c r="H327" i="13" s="1"/>
  <c r="H331" i="13"/>
  <c r="H330" i="13" s="1"/>
  <c r="H336" i="13"/>
  <c r="H340" i="13"/>
  <c r="H339" i="13" s="1"/>
  <c r="H343" i="13"/>
  <c r="H342" i="13" s="1"/>
  <c r="H348" i="13"/>
  <c r="H347" i="13" s="1"/>
  <c r="H352" i="13"/>
  <c r="H351" i="13" s="1"/>
  <c r="H355" i="13"/>
  <c r="H354" i="13" s="1"/>
  <c r="H359" i="13"/>
  <c r="H358" i="13" s="1"/>
  <c r="H363" i="13"/>
  <c r="H362" i="13" s="1"/>
  <c r="H366" i="13"/>
  <c r="H365" i="13" s="1"/>
  <c r="H371" i="13"/>
  <c r="H375" i="13"/>
  <c r="H374" i="13" s="1"/>
  <c r="H378" i="13"/>
  <c r="H377" i="13" s="1"/>
  <c r="H381" i="13"/>
  <c r="H380" i="13" s="1"/>
  <c r="H402" i="13"/>
  <c r="H411" i="13"/>
  <c r="H410" i="13" s="1"/>
  <c r="H417" i="13"/>
  <c r="H415" i="13" s="1"/>
  <c r="H414" i="13" s="1"/>
  <c r="H420" i="13"/>
  <c r="H419" i="13" s="1"/>
  <c r="H423" i="13"/>
  <c r="H422" i="13" s="1"/>
  <c r="H426" i="13"/>
  <c r="H425" i="13" s="1"/>
  <c r="H429" i="13"/>
  <c r="H428" i="13" s="1"/>
  <c r="H432" i="13"/>
  <c r="H431" i="13" s="1"/>
  <c r="H435" i="13"/>
  <c r="H434" i="13" s="1"/>
  <c r="H446" i="13"/>
  <c r="H448" i="13"/>
  <c r="H454" i="13"/>
  <c r="H452" i="13" s="1"/>
  <c r="H451" i="13" s="1"/>
  <c r="H472" i="13"/>
  <c r="H471" i="13" s="1"/>
  <c r="Q2064" i="14"/>
  <c r="Q2063" i="14"/>
  <c r="M2062" i="14"/>
  <c r="O2062" i="14" s="1"/>
  <c r="S2062" i="14" s="1"/>
  <c r="Q2060" i="14"/>
  <c r="Q2059" i="14"/>
  <c r="Q2058" i="14"/>
  <c r="Q2057" i="14"/>
  <c r="I2056" i="14"/>
  <c r="Q2055" i="14"/>
  <c r="Q2054" i="14"/>
  <c r="Q2052" i="14"/>
  <c r="Q2051" i="14"/>
  <c r="M2050" i="14"/>
  <c r="M2049" i="14" s="1"/>
  <c r="O2049" i="14" s="1"/>
  <c r="S2049" i="14" s="1"/>
  <c r="I2048" i="14"/>
  <c r="K2048" i="14" s="1"/>
  <c r="S2048" i="14" s="1"/>
  <c r="I2046" i="14"/>
  <c r="K2046" i="14" s="1"/>
  <c r="S2046" i="14" s="1"/>
  <c r="Q2045" i="14"/>
  <c r="B2041" i="14"/>
  <c r="B2042" i="14" s="1"/>
  <c r="B2043" i="14" s="1"/>
  <c r="B2044" i="14" s="1"/>
  <c r="B2045" i="14" s="1"/>
  <c r="B2046" i="14" s="1"/>
  <c r="B2047" i="14" s="1"/>
  <c r="B2048" i="14" s="1"/>
  <c r="B2049" i="14" s="1"/>
  <c r="B2050" i="14" s="1"/>
  <c r="B2051" i="14" s="1"/>
  <c r="B2052" i="14" s="1"/>
  <c r="B2053" i="14" s="1"/>
  <c r="B2054" i="14" s="1"/>
  <c r="B2055" i="14" s="1"/>
  <c r="B2056" i="14" s="1"/>
  <c r="B2057" i="14" s="1"/>
  <c r="B2058" i="14" s="1"/>
  <c r="B2059" i="14" s="1"/>
  <c r="B2060" i="14" s="1"/>
  <c r="B2061" i="14" s="1"/>
  <c r="B2062" i="14" s="1"/>
  <c r="B2063" i="14" s="1"/>
  <c r="B2064" i="14" s="1"/>
  <c r="Q2016" i="14"/>
  <c r="Q2015" i="14"/>
  <c r="Q2014" i="14"/>
  <c r="Q2013" i="14"/>
  <c r="Q2012" i="14"/>
  <c r="Q2011" i="14"/>
  <c r="I2010" i="14"/>
  <c r="I2007" i="14" s="1"/>
  <c r="Q2009" i="14"/>
  <c r="Q2008" i="14"/>
  <c r="Q2005" i="14"/>
  <c r="Q2004" i="14"/>
  <c r="Q2003" i="14"/>
  <c r="Q2002" i="14"/>
  <c r="I2001" i="14"/>
  <c r="Q2000" i="14"/>
  <c r="Q1999" i="14"/>
  <c r="I1996" i="14"/>
  <c r="I1994" i="14"/>
  <c r="I1991" i="14"/>
  <c r="Q1988" i="14"/>
  <c r="M1987" i="14"/>
  <c r="I1985" i="14"/>
  <c r="Q1984" i="14"/>
  <c r="Q1983" i="14"/>
  <c r="Q1982" i="14"/>
  <c r="Q1981" i="14"/>
  <c r="I1980" i="14"/>
  <c r="Q1979" i="14"/>
  <c r="Q1978" i="14"/>
  <c r="M1975" i="14"/>
  <c r="Q1973" i="14"/>
  <c r="M1972" i="14"/>
  <c r="I1970" i="14"/>
  <c r="Q1969" i="14"/>
  <c r="Q1968" i="14"/>
  <c r="Q1967" i="14"/>
  <c r="I1966" i="14"/>
  <c r="Q1965" i="14"/>
  <c r="Q1964" i="14"/>
  <c r="Q1962" i="14"/>
  <c r="Q1961" i="14"/>
  <c r="I1959" i="14"/>
  <c r="K1959" i="14" s="1"/>
  <c r="S1959" i="14" s="1"/>
  <c r="Q1957" i="14"/>
  <c r="I1956" i="14"/>
  <c r="I1955" i="14"/>
  <c r="I1953" i="14"/>
  <c r="I1952" i="14" s="1"/>
  <c r="I1950" i="14"/>
  <c r="I1949" i="14"/>
  <c r="I1948" i="14"/>
  <c r="I1947" i="14"/>
  <c r="Q1944" i="14"/>
  <c r="Q1943" i="14"/>
  <c r="Q1942" i="14"/>
  <c r="Q1941" i="14"/>
  <c r="I1940" i="14"/>
  <c r="K1940" i="14" s="1"/>
  <c r="S1940" i="14" s="1"/>
  <c r="Q1939" i="14"/>
  <c r="Q1938" i="14"/>
  <c r="Q1936" i="14"/>
  <c r="Q1935" i="14"/>
  <c r="Q1932" i="14"/>
  <c r="Q1931" i="14"/>
  <c r="Q1930" i="14"/>
  <c r="I1929" i="14"/>
  <c r="Q1929" i="14" s="1"/>
  <c r="Q1927" i="14"/>
  <c r="I1926" i="14"/>
  <c r="I1925" i="14"/>
  <c r="Q1921" i="14"/>
  <c r="I1920" i="14"/>
  <c r="Q1919" i="14"/>
  <c r="Q1918" i="14"/>
  <c r="Q1917" i="14"/>
  <c r="Q1915" i="14"/>
  <c r="Q1914" i="14"/>
  <c r="Q1911" i="14"/>
  <c r="M1910" i="14"/>
  <c r="Q1907" i="14"/>
  <c r="I1906" i="14"/>
  <c r="I1905" i="14"/>
  <c r="K1905" i="14" s="1"/>
  <c r="S1905" i="14" s="1"/>
  <c r="Q1904" i="14"/>
  <c r="Q1902" i="14"/>
  <c r="Q1901" i="14"/>
  <c r="Q1897" i="14"/>
  <c r="Q1896" i="14"/>
  <c r="Q1895" i="14"/>
  <c r="Q1894" i="14"/>
  <c r="Q1893" i="14"/>
  <c r="Q1892" i="14"/>
  <c r="Q1891" i="14"/>
  <c r="Q1890" i="14"/>
  <c r="I1889" i="14"/>
  <c r="Q1888" i="14"/>
  <c r="I1887" i="14"/>
  <c r="Q1886" i="14"/>
  <c r="Q1885" i="14"/>
  <c r="I1884" i="14"/>
  <c r="K1884" i="14" s="1"/>
  <c r="S1884" i="14" s="1"/>
  <c r="Q1880" i="14"/>
  <c r="I1879" i="14"/>
  <c r="I1876" i="14"/>
  <c r="K1876" i="14" s="1"/>
  <c r="S1876" i="14" s="1"/>
  <c r="Q1875" i="14"/>
  <c r="Q1874" i="14"/>
  <c r="Q1873" i="14"/>
  <c r="Q1872" i="14"/>
  <c r="I1871" i="14"/>
  <c r="Q1870" i="14"/>
  <c r="Q1869" i="14"/>
  <c r="B1866" i="14"/>
  <c r="B1867" i="14" s="1"/>
  <c r="B1868" i="14" s="1"/>
  <c r="B1869" i="14" s="1"/>
  <c r="B1870" i="14" s="1"/>
  <c r="B1871" i="14" s="1"/>
  <c r="B1872" i="14" s="1"/>
  <c r="B1873" i="14" s="1"/>
  <c r="B1874" i="14" s="1"/>
  <c r="B1875" i="14" s="1"/>
  <c r="B1876" i="14" s="1"/>
  <c r="B1877" i="14" s="1"/>
  <c r="B1878" i="14" s="1"/>
  <c r="B1879" i="14" s="1"/>
  <c r="B1880" i="14" s="1"/>
  <c r="B1881" i="14" s="1"/>
  <c r="B1882" i="14" s="1"/>
  <c r="B1883" i="14" s="1"/>
  <c r="B1884" i="14" s="1"/>
  <c r="B1885" i="14" s="1"/>
  <c r="B1886" i="14" s="1"/>
  <c r="B1887" i="14" s="1"/>
  <c r="B1888" i="14" s="1"/>
  <c r="B1889" i="14" s="1"/>
  <c r="B1890" i="14" s="1"/>
  <c r="B1891" i="14" s="1"/>
  <c r="B1892" i="14" s="1"/>
  <c r="B1893" i="14" s="1"/>
  <c r="Q1855" i="14"/>
  <c r="M1854" i="14"/>
  <c r="M1853" i="14"/>
  <c r="O1853" i="14" s="1"/>
  <c r="S1853" i="14" s="1"/>
  <c r="I1850" i="14"/>
  <c r="I1849" i="14"/>
  <c r="K1849" i="14" s="1"/>
  <c r="S1849" i="14" s="1"/>
  <c r="Q1848" i="14"/>
  <c r="I1847" i="14"/>
  <c r="I1846" i="14"/>
  <c r="K1846" i="14" s="1"/>
  <c r="S1846" i="14" s="1"/>
  <c r="I1845" i="14"/>
  <c r="K1845" i="14" s="1"/>
  <c r="S1845" i="14" s="1"/>
  <c r="Q1844" i="14"/>
  <c r="I1842" i="14"/>
  <c r="I1841" i="14"/>
  <c r="Q1838" i="14"/>
  <c r="Q1837" i="14"/>
  <c r="Q1836" i="14"/>
  <c r="Q1835" i="14"/>
  <c r="I1834" i="14"/>
  <c r="K1834" i="14" s="1"/>
  <c r="S1834" i="14" s="1"/>
  <c r="Q1831" i="14"/>
  <c r="I1830" i="14"/>
  <c r="Q1830" i="14" s="1"/>
  <c r="Q1827" i="14"/>
  <c r="I1826" i="14"/>
  <c r="I1825" i="14" s="1"/>
  <c r="Q1824" i="14"/>
  <c r="Q1823" i="14"/>
  <c r="M1822" i="14"/>
  <c r="O1822" i="14" s="1"/>
  <c r="S1822" i="14" s="1"/>
  <c r="Q1816" i="14"/>
  <c r="I1815" i="14"/>
  <c r="K1815" i="14" s="1"/>
  <c r="S1815" i="14" s="1"/>
  <c r="Q1814" i="14"/>
  <c r="Q1813" i="14"/>
  <c r="I1812" i="14"/>
  <c r="K1812" i="14" s="1"/>
  <c r="S1812" i="14" s="1"/>
  <c r="I1810" i="14"/>
  <c r="I1809" i="14"/>
  <c r="Q1807" i="14"/>
  <c r="I1806" i="14"/>
  <c r="Q1805" i="14"/>
  <c r="Q1802" i="14"/>
  <c r="M1801" i="14"/>
  <c r="O1801" i="14" s="1"/>
  <c r="S1801" i="14" s="1"/>
  <c r="Q1799" i="14"/>
  <c r="I1798" i="14"/>
  <c r="K1798" i="14" s="1"/>
  <c r="S1798" i="14" s="1"/>
  <c r="Q1796" i="14"/>
  <c r="M1795" i="14"/>
  <c r="O1795" i="14" s="1"/>
  <c r="S1795" i="14" s="1"/>
  <c r="M1794" i="14"/>
  <c r="M1793" i="14"/>
  <c r="Q1791" i="14"/>
  <c r="Q1790" i="14"/>
  <c r="Q1789" i="14"/>
  <c r="Q1788" i="14"/>
  <c r="M1787" i="14"/>
  <c r="O1787" i="14" s="1"/>
  <c r="S1787" i="14" s="1"/>
  <c r="I1785" i="14"/>
  <c r="Q1781" i="14"/>
  <c r="Q1780" i="14"/>
  <c r="M1779" i="14"/>
  <c r="O1779" i="14" s="1"/>
  <c r="S1779" i="14" s="1"/>
  <c r="Q1777" i="14"/>
  <c r="I1776" i="14"/>
  <c r="K1776" i="14" s="1"/>
  <c r="S1776" i="14" s="1"/>
  <c r="Q1775" i="14"/>
  <c r="Q1774" i="14"/>
  <c r="Q1773" i="14"/>
  <c r="Q1772" i="14"/>
  <c r="Q1771" i="14"/>
  <c r="I1770" i="14"/>
  <c r="I1769" i="14"/>
  <c r="K1769" i="14" s="1"/>
  <c r="S1769" i="14" s="1"/>
  <c r="Q1768" i="14"/>
  <c r="I1767" i="14"/>
  <c r="K1767" i="14" s="1"/>
  <c r="S1767" i="14" s="1"/>
  <c r="Q1765" i="14"/>
  <c r="Q1764" i="14"/>
  <c r="Q1763" i="14"/>
  <c r="I1762" i="14"/>
  <c r="I1761" i="14"/>
  <c r="K1761" i="14" s="1"/>
  <c r="S1761" i="14" s="1"/>
  <c r="Q1760" i="14"/>
  <c r="I1759" i="14"/>
  <c r="K1759" i="14" s="1"/>
  <c r="S1759" i="14" s="1"/>
  <c r="I1758" i="14"/>
  <c r="Q1757" i="14"/>
  <c r="Q1755" i="14"/>
  <c r="Q1754" i="14"/>
  <c r="Q1750" i="14"/>
  <c r="M1749" i="14"/>
  <c r="O1749" i="14" s="1"/>
  <c r="S1749" i="14" s="1"/>
  <c r="Q1748" i="14"/>
  <c r="Q1745" i="14"/>
  <c r="Q1744" i="14"/>
  <c r="I1743" i="14"/>
  <c r="B1741" i="14"/>
  <c r="B1742" i="14" s="1"/>
  <c r="B1743" i="14" s="1"/>
  <c r="B1744" i="14" s="1"/>
  <c r="Q1731" i="14"/>
  <c r="M1730" i="14"/>
  <c r="Q1728" i="14"/>
  <c r="I1727" i="14"/>
  <c r="Q1725" i="14"/>
  <c r="M1724" i="14"/>
  <c r="Q1722" i="14"/>
  <c r="I1720" i="14"/>
  <c r="Q1719" i="14"/>
  <c r="I1718" i="14"/>
  <c r="I1717" i="14"/>
  <c r="Q1715" i="14"/>
  <c r="I1712" i="14"/>
  <c r="K1712" i="14" s="1"/>
  <c r="S1712" i="14" s="1"/>
  <c r="I1711" i="14"/>
  <c r="K1711" i="14" s="1"/>
  <c r="S1711" i="14" s="1"/>
  <c r="Q1707" i="14"/>
  <c r="Q1706" i="14"/>
  <c r="Q1705" i="14"/>
  <c r="Q1704" i="14"/>
  <c r="Q1703" i="14"/>
  <c r="Q1702" i="14"/>
  <c r="I1701" i="14"/>
  <c r="Q1700" i="14"/>
  <c r="Q1699" i="14"/>
  <c r="Q1698" i="14"/>
  <c r="Q1697" i="14"/>
  <c r="I1696" i="14"/>
  <c r="Q1695" i="14"/>
  <c r="Q1694" i="14"/>
  <c r="Q1693" i="14"/>
  <c r="Q1692" i="14"/>
  <c r="Q1691" i="14"/>
  <c r="I1690" i="14"/>
  <c r="B1687" i="14"/>
  <c r="B1688" i="14" s="1"/>
  <c r="B1689" i="14" s="1"/>
  <c r="B1690" i="14" s="1"/>
  <c r="M1637" i="14"/>
  <c r="Q1634" i="14"/>
  <c r="Q1633" i="14"/>
  <c r="I1632" i="14"/>
  <c r="K1632" i="14" s="1"/>
  <c r="S1632" i="14" s="1"/>
  <c r="Q1631" i="14"/>
  <c r="Q1630" i="14"/>
  <c r="Q1629" i="14"/>
  <c r="Q1628" i="14"/>
  <c r="I1627" i="14"/>
  <c r="Q1625" i="14"/>
  <c r="Q1624" i="14"/>
  <c r="Q1619" i="14"/>
  <c r="Q1618" i="14"/>
  <c r="Q1617" i="14"/>
  <c r="Q1616" i="14"/>
  <c r="Q1615" i="14"/>
  <c r="M1614" i="14"/>
  <c r="Q1614" i="14" s="1"/>
  <c r="Q1612" i="14"/>
  <c r="M1611" i="14"/>
  <c r="O1611" i="14" s="1"/>
  <c r="S1611" i="14" s="1"/>
  <c r="Q1610" i="14"/>
  <c r="M1609" i="14"/>
  <c r="Q1608" i="14"/>
  <c r="Q1604" i="14"/>
  <c r="I1603" i="14"/>
  <c r="Q1602" i="14"/>
  <c r="Q1601" i="14"/>
  <c r="Q1600" i="14"/>
  <c r="I1599" i="14"/>
  <c r="Q1598" i="14"/>
  <c r="Q1597" i="14"/>
  <c r="M1594" i="14"/>
  <c r="O1594" i="14" s="1"/>
  <c r="S1594" i="14" s="1"/>
  <c r="Q1593" i="14"/>
  <c r="Q1590" i="14"/>
  <c r="Q1589" i="14"/>
  <c r="I1588" i="14"/>
  <c r="Q1587" i="14"/>
  <c r="Q1586" i="14"/>
  <c r="Q1584" i="14"/>
  <c r="Q1583" i="14"/>
  <c r="M1581" i="14"/>
  <c r="Q1580" i="14"/>
  <c r="Q1578" i="14"/>
  <c r="M1577" i="14"/>
  <c r="I1574" i="14"/>
  <c r="I1573" i="14"/>
  <c r="I1572" i="14"/>
  <c r="I1571" i="14"/>
  <c r="K1571" i="14" s="1"/>
  <c r="S1571" i="14" s="1"/>
  <c r="I1570" i="14"/>
  <c r="Q1569" i="14"/>
  <c r="I1567" i="14"/>
  <c r="I1566" i="14"/>
  <c r="M1564" i="14"/>
  <c r="Q1562" i="14"/>
  <c r="M1561" i="14"/>
  <c r="Q1559" i="14"/>
  <c r="I1558" i="14"/>
  <c r="M1556" i="14"/>
  <c r="M1554" i="14" s="1"/>
  <c r="Q1555" i="14"/>
  <c r="Q1553" i="14"/>
  <c r="Q1552" i="14"/>
  <c r="I1551" i="14"/>
  <c r="Q1548" i="14"/>
  <c r="Q1547" i="14"/>
  <c r="I1546" i="14"/>
  <c r="Q1543" i="14"/>
  <c r="M1542" i="14"/>
  <c r="M1523" i="14" s="1"/>
  <c r="O1523" i="14" s="1"/>
  <c r="Q1541" i="14"/>
  <c r="Q1540" i="14"/>
  <c r="Q1539" i="14"/>
  <c r="Q1538" i="14"/>
  <c r="Q1537" i="14"/>
  <c r="Q1536" i="14"/>
  <c r="Q1535" i="14"/>
  <c r="Q1534" i="14"/>
  <c r="Q1533" i="14"/>
  <c r="Q1532" i="14"/>
  <c r="Q1531" i="14"/>
  <c r="I1530" i="14"/>
  <c r="Q1529" i="14"/>
  <c r="Q1528" i="14"/>
  <c r="Q1527" i="14"/>
  <c r="Q1526" i="14"/>
  <c r="Q1525" i="14"/>
  <c r="Q1522" i="14"/>
  <c r="Q1521" i="14"/>
  <c r="I1520" i="14"/>
  <c r="B1518" i="14"/>
  <c r="B1519" i="14" s="1"/>
  <c r="B1520" i="14" s="1"/>
  <c r="B1521" i="14" s="1"/>
  <c r="Q1481" i="14"/>
  <c r="I1480" i="14"/>
  <c r="K1480" i="14" s="1"/>
  <c r="S1480" i="14" s="1"/>
  <c r="Q1479" i="14"/>
  <c r="Q1478" i="14"/>
  <c r="Q1477" i="14"/>
  <c r="Q1476" i="14"/>
  <c r="Q1475" i="14"/>
  <c r="Q1473" i="14"/>
  <c r="I1472" i="14"/>
  <c r="Q1470" i="14"/>
  <c r="Q1469" i="14"/>
  <c r="Q1468" i="14"/>
  <c r="Q1467" i="14"/>
  <c r="Q1466" i="14"/>
  <c r="I1465" i="14"/>
  <c r="Q1464" i="14"/>
  <c r="Q1462" i="14"/>
  <c r="Q1461" i="14"/>
  <c r="Q1459" i="14"/>
  <c r="I1458" i="14"/>
  <c r="Q1458" i="14" s="1"/>
  <c r="Q1457" i="14"/>
  <c r="I1456" i="14"/>
  <c r="I1455" i="14"/>
  <c r="I1454" i="14"/>
  <c r="Q1451" i="14"/>
  <c r="Q1450" i="14"/>
  <c r="Q1449" i="14"/>
  <c r="I1448" i="14"/>
  <c r="K1448" i="14" s="1"/>
  <c r="S1448" i="14" s="1"/>
  <c r="Q1447" i="14"/>
  <c r="Q1446" i="14"/>
  <c r="Q1444" i="14"/>
  <c r="Q1443" i="14"/>
  <c r="Q1442" i="14"/>
  <c r="Q1441" i="14"/>
  <c r="Q1440" i="14"/>
  <c r="Q1439" i="14"/>
  <c r="I1438" i="14"/>
  <c r="Q1437" i="14"/>
  <c r="Q1436" i="14"/>
  <c r="Q1434" i="14"/>
  <c r="M1433" i="14"/>
  <c r="O1433" i="14" s="1"/>
  <c r="S1433" i="14" s="1"/>
  <c r="Q1431" i="14"/>
  <c r="Q1430" i="14"/>
  <c r="Q1429" i="14"/>
  <c r="Q1428" i="14"/>
  <c r="Q1427" i="14"/>
  <c r="Q1426" i="14"/>
  <c r="I1425" i="14"/>
  <c r="Q1424" i="14"/>
  <c r="Q1423" i="14"/>
  <c r="Q1422" i="14"/>
  <c r="Q1421" i="14"/>
  <c r="Q1420" i="14"/>
  <c r="Q1419" i="14"/>
  <c r="Q1418" i="14"/>
  <c r="I1417" i="14"/>
  <c r="Q1416" i="14"/>
  <c r="Q1415" i="14"/>
  <c r="Q1413" i="14"/>
  <c r="Q1412" i="14"/>
  <c r="Q1411" i="14"/>
  <c r="Q1410" i="14"/>
  <c r="Q1409" i="14"/>
  <c r="Q1408" i="14"/>
  <c r="I1407" i="14"/>
  <c r="I1406" i="14"/>
  <c r="I1405" i="14"/>
  <c r="Q1404" i="14"/>
  <c r="Q1403" i="14"/>
  <c r="Q1402" i="14"/>
  <c r="Q1401" i="14"/>
  <c r="Q1400" i="14"/>
  <c r="Q1399" i="14"/>
  <c r="I1398" i="14"/>
  <c r="I1397" i="14"/>
  <c r="I1396" i="14"/>
  <c r="K1396" i="14" s="1"/>
  <c r="S1396" i="14" s="1"/>
  <c r="Q1394" i="14"/>
  <c r="Q1393" i="14"/>
  <c r="I1392" i="14"/>
  <c r="K1392" i="14" s="1"/>
  <c r="S1392" i="14" s="1"/>
  <c r="Q1391" i="14"/>
  <c r="I1390" i="14"/>
  <c r="I1388" i="14"/>
  <c r="I1387" i="14"/>
  <c r="Q1386" i="14"/>
  <c r="Q1385" i="14"/>
  <c r="I1384" i="14"/>
  <c r="K1384" i="14" s="1"/>
  <c r="S1384" i="14" s="1"/>
  <c r="Q1383" i="14"/>
  <c r="I1382" i="14"/>
  <c r="K1382" i="14" s="1"/>
  <c r="S1382" i="14" s="1"/>
  <c r="I1380" i="14"/>
  <c r="K1380" i="14" s="1"/>
  <c r="S1380" i="14" s="1"/>
  <c r="I1379" i="14"/>
  <c r="M1377" i="14"/>
  <c r="M1376" i="14" s="1"/>
  <c r="O1376" i="14" s="1"/>
  <c r="S1376" i="14" s="1"/>
  <c r="I1374" i="14"/>
  <c r="Q1373" i="14"/>
  <c r="I1372" i="14"/>
  <c r="K1372" i="14" s="1"/>
  <c r="S1372" i="14" s="1"/>
  <c r="Q1371" i="14"/>
  <c r="I1369" i="14"/>
  <c r="I1368" i="14"/>
  <c r="Q1367" i="14"/>
  <c r="Q1366" i="14"/>
  <c r="I1365" i="14"/>
  <c r="I1363" i="14" s="1"/>
  <c r="Q1364" i="14"/>
  <c r="I1362" i="14"/>
  <c r="I1361" i="14"/>
  <c r="K1361" i="14" s="1"/>
  <c r="S1361" i="14" s="1"/>
  <c r="Q1359" i="14"/>
  <c r="I1358" i="14"/>
  <c r="Q1357" i="14"/>
  <c r="I1356" i="14"/>
  <c r="Q1354" i="14"/>
  <c r="Q1353" i="14"/>
  <c r="Q1352" i="14"/>
  <c r="I1351" i="14"/>
  <c r="Q1350" i="14"/>
  <c r="Q1348" i="14"/>
  <c r="Q1347" i="14"/>
  <c r="Q1346" i="14"/>
  <c r="Q1345" i="14"/>
  <c r="Q1344" i="14"/>
  <c r="Q1343" i="14"/>
  <c r="Q1342" i="14"/>
  <c r="I1341" i="14"/>
  <c r="I1340" i="14"/>
  <c r="I1339" i="14"/>
  <c r="K1339" i="14" s="1"/>
  <c r="S1339" i="14" s="1"/>
  <c r="Q1337" i="14"/>
  <c r="Q1336" i="14"/>
  <c r="Q1335" i="14"/>
  <c r="I1334" i="14"/>
  <c r="K1334" i="14" s="1"/>
  <c r="S1334" i="14" s="1"/>
  <c r="Q1333" i="14"/>
  <c r="Q1331" i="14"/>
  <c r="Q1330" i="14"/>
  <c r="Q1329" i="14"/>
  <c r="Q1328" i="14"/>
  <c r="Q1327" i="14"/>
  <c r="Q1326" i="14"/>
  <c r="Q1325" i="14"/>
  <c r="I1324" i="14"/>
  <c r="Q1323" i="14"/>
  <c r="Q1322" i="14"/>
  <c r="Q1320" i="14"/>
  <c r="M1319" i="14"/>
  <c r="M1318" i="14" s="1"/>
  <c r="O1318" i="14" s="1"/>
  <c r="S1318" i="14" s="1"/>
  <c r="Q1317" i="14"/>
  <c r="Q1316" i="14"/>
  <c r="Q1315" i="14"/>
  <c r="Q1314" i="14"/>
  <c r="I1313" i="14"/>
  <c r="Q1312" i="14"/>
  <c r="Q1311" i="14"/>
  <c r="Q1309" i="14"/>
  <c r="Q1308" i="14"/>
  <c r="Q1307" i="14"/>
  <c r="I1306" i="14"/>
  <c r="Q1305" i="14"/>
  <c r="Q1304" i="14"/>
  <c r="Q1302" i="14"/>
  <c r="Q1301" i="14"/>
  <c r="Q1300" i="14"/>
  <c r="I1299" i="14"/>
  <c r="Q1298" i="14"/>
  <c r="Q1297" i="14"/>
  <c r="Q1295" i="14"/>
  <c r="Q1294" i="14"/>
  <c r="Q1293" i="14"/>
  <c r="Q1292" i="14"/>
  <c r="Q1291" i="14"/>
  <c r="Q1290" i="14"/>
  <c r="I1289" i="14"/>
  <c r="Q1288" i="14"/>
  <c r="Q1287" i="14"/>
  <c r="Q1286" i="14"/>
  <c r="I1285" i="14"/>
  <c r="Q1284" i="14"/>
  <c r="Q1283" i="14"/>
  <c r="Q1281" i="14"/>
  <c r="Q1280" i="14"/>
  <c r="Q1279" i="14"/>
  <c r="Q1278" i="14"/>
  <c r="I1277" i="14"/>
  <c r="Q1276" i="14"/>
  <c r="Q1275" i="14"/>
  <c r="Q1273" i="14"/>
  <c r="Q1272" i="14"/>
  <c r="Q1271" i="14"/>
  <c r="I1270" i="14"/>
  <c r="Q1269" i="14"/>
  <c r="Q1268" i="14"/>
  <c r="Q1266" i="14"/>
  <c r="I1265" i="14"/>
  <c r="I1264" i="14"/>
  <c r="K1264" i="14" s="1"/>
  <c r="S1264" i="14" s="1"/>
  <c r="Q1262" i="14"/>
  <c r="Q1261" i="14"/>
  <c r="Q1259" i="14"/>
  <c r="Q1258" i="14"/>
  <c r="Q1257" i="14"/>
  <c r="Q1256" i="14"/>
  <c r="I1255" i="14"/>
  <c r="Q1254" i="14"/>
  <c r="Q1253" i="14"/>
  <c r="Q1251" i="14"/>
  <c r="Q1250" i="14"/>
  <c r="Q1249" i="14"/>
  <c r="I1248" i="14"/>
  <c r="Q1247" i="14"/>
  <c r="Q1246" i="14"/>
  <c r="Q1244" i="14"/>
  <c r="Q1243" i="14"/>
  <c r="Q1242" i="14"/>
  <c r="I1241" i="14"/>
  <c r="Q1240" i="14"/>
  <c r="Q1239" i="14"/>
  <c r="Q1237" i="14"/>
  <c r="Q1236" i="14"/>
  <c r="Q1235" i="14"/>
  <c r="I1234" i="14"/>
  <c r="I1231" i="14" s="1"/>
  <c r="Q1233" i="14"/>
  <c r="Q1232" i="14"/>
  <c r="Q1230" i="14"/>
  <c r="Q1229" i="14"/>
  <c r="Q1228" i="14"/>
  <c r="I1227" i="14"/>
  <c r="Q1226" i="14"/>
  <c r="Q1225" i="14"/>
  <c r="Q1223" i="14"/>
  <c r="Q1222" i="14"/>
  <c r="Q1221" i="14"/>
  <c r="Q1220" i="14"/>
  <c r="I1219" i="14"/>
  <c r="Q1218" i="14"/>
  <c r="Q1217" i="14"/>
  <c r="I1214" i="14"/>
  <c r="I1213" i="14"/>
  <c r="I1212" i="14"/>
  <c r="I1211" i="14"/>
  <c r="I1210" i="14"/>
  <c r="Q1206" i="14"/>
  <c r="Q1205" i="14"/>
  <c r="Q1204" i="14"/>
  <c r="Q1203" i="14"/>
  <c r="Q1202" i="14"/>
  <c r="Q1201" i="14"/>
  <c r="Q1200" i="14"/>
  <c r="I1199" i="14"/>
  <c r="I1198" i="14"/>
  <c r="I1197" i="14"/>
  <c r="Q1195" i="14"/>
  <c r="Q1194" i="14"/>
  <c r="Q1193" i="14"/>
  <c r="Q1192" i="14"/>
  <c r="I1191" i="14"/>
  <c r="Q1190" i="14"/>
  <c r="Q1189" i="14"/>
  <c r="Q1187" i="14"/>
  <c r="Q1186" i="14"/>
  <c r="Q1185" i="14"/>
  <c r="Q1184" i="14"/>
  <c r="I1183" i="14"/>
  <c r="Q1182" i="14"/>
  <c r="Q1181" i="14"/>
  <c r="Q1179" i="14"/>
  <c r="Q1178" i="14"/>
  <c r="Q1177" i="14"/>
  <c r="Q1176" i="14"/>
  <c r="I1175" i="14"/>
  <c r="I1174" i="14"/>
  <c r="I1173" i="14"/>
  <c r="K1173" i="14" s="1"/>
  <c r="S1173" i="14" s="1"/>
  <c r="Q1171" i="14"/>
  <c r="Q1170" i="14"/>
  <c r="Q1169" i="14"/>
  <c r="Q1168" i="14"/>
  <c r="I1167" i="14"/>
  <c r="I1166" i="14"/>
  <c r="I1165" i="14"/>
  <c r="K1165" i="14" s="1"/>
  <c r="S1165" i="14" s="1"/>
  <c r="Q1163" i="14"/>
  <c r="Q1162" i="14"/>
  <c r="Q1161" i="14"/>
  <c r="Q1160" i="14"/>
  <c r="Q1159" i="14"/>
  <c r="I1158" i="14"/>
  <c r="I1157" i="14"/>
  <c r="I1156" i="14"/>
  <c r="K1156" i="14" s="1"/>
  <c r="S1156" i="14" s="1"/>
  <c r="Q1154" i="14"/>
  <c r="Q1153" i="14"/>
  <c r="I1152" i="14"/>
  <c r="K1152" i="14" s="1"/>
  <c r="S1152" i="14" s="1"/>
  <c r="Q1151" i="14"/>
  <c r="I1150" i="14"/>
  <c r="K1150" i="14" s="1"/>
  <c r="S1150" i="14" s="1"/>
  <c r="I1148" i="14"/>
  <c r="I1147" i="14"/>
  <c r="Q1145" i="14"/>
  <c r="Q1144" i="14"/>
  <c r="Q1143" i="14"/>
  <c r="Q1142" i="14"/>
  <c r="I1141" i="14"/>
  <c r="I1140" i="14"/>
  <c r="K1140" i="14" s="1"/>
  <c r="S1140" i="14" s="1"/>
  <c r="I1139" i="14"/>
  <c r="K1139" i="14" s="1"/>
  <c r="S1139" i="14" s="1"/>
  <c r="Q1137" i="14"/>
  <c r="Q1136" i="14"/>
  <c r="Q1135" i="14"/>
  <c r="Q1134" i="14"/>
  <c r="I1133" i="14"/>
  <c r="Q1132" i="14"/>
  <c r="Q1131" i="14"/>
  <c r="Q1129" i="14"/>
  <c r="Q1128" i="14"/>
  <c r="Q1127" i="14"/>
  <c r="I1126" i="14"/>
  <c r="I1125" i="14"/>
  <c r="I1124" i="14"/>
  <c r="K1124" i="14" s="1"/>
  <c r="S1124" i="14" s="1"/>
  <c r="Q1122" i="14"/>
  <c r="I1121" i="14"/>
  <c r="I1120" i="14"/>
  <c r="I1118" i="14"/>
  <c r="Q1117" i="14"/>
  <c r="Q1116" i="14"/>
  <c r="Q1114" i="14"/>
  <c r="Q1113" i="14"/>
  <c r="I1111" i="14"/>
  <c r="I1110" i="14"/>
  <c r="I1109" i="14"/>
  <c r="I1108" i="14"/>
  <c r="I1107" i="14"/>
  <c r="I1106" i="14"/>
  <c r="I1105" i="14"/>
  <c r="I1104" i="14"/>
  <c r="K1104" i="14" s="1"/>
  <c r="S1104" i="14" s="1"/>
  <c r="Q1100" i="14"/>
  <c r="Q1099" i="14"/>
  <c r="I1098" i="14"/>
  <c r="K1098" i="14" s="1"/>
  <c r="S1098" i="14" s="1"/>
  <c r="Q1097" i="14"/>
  <c r="I1096" i="14"/>
  <c r="Q1095" i="14"/>
  <c r="I1093" i="14"/>
  <c r="I1092" i="14"/>
  <c r="Q1091" i="14"/>
  <c r="Q1090" i="14"/>
  <c r="Q1089" i="14"/>
  <c r="Q1087" i="14"/>
  <c r="Q1086" i="14"/>
  <c r="I1085" i="14"/>
  <c r="I1084" i="14"/>
  <c r="I1083" i="14"/>
  <c r="K1083" i="14" s="1"/>
  <c r="S1083" i="14" s="1"/>
  <c r="Q1081" i="14"/>
  <c r="Q1080" i="14"/>
  <c r="I1079" i="14"/>
  <c r="Q1078" i="14"/>
  <c r="Q1077" i="14"/>
  <c r="I1076" i="14"/>
  <c r="Q1075" i="14"/>
  <c r="Q1074" i="14"/>
  <c r="I1072" i="14"/>
  <c r="I1071" i="14"/>
  <c r="I1070" i="14"/>
  <c r="Q1069" i="14"/>
  <c r="Q1068" i="14"/>
  <c r="I1067" i="14"/>
  <c r="Q1065" i="14"/>
  <c r="Q1064" i="14"/>
  <c r="Q1063" i="14"/>
  <c r="I1061" i="14"/>
  <c r="I1060" i="14"/>
  <c r="K1060" i="14" s="1"/>
  <c r="S1060" i="14" s="1"/>
  <c r="Q1058" i="14"/>
  <c r="Q1057" i="14"/>
  <c r="I1056" i="14"/>
  <c r="K1056" i="14" s="1"/>
  <c r="S1056" i="14" s="1"/>
  <c r="Q1055" i="14"/>
  <c r="Q1054" i="14"/>
  <c r="Q1053" i="14"/>
  <c r="Q1052" i="14"/>
  <c r="I1050" i="14"/>
  <c r="I1049" i="14"/>
  <c r="Q1048" i="14"/>
  <c r="Q1047" i="14"/>
  <c r="Q1046" i="14"/>
  <c r="Q1044" i="14"/>
  <c r="I1043" i="14"/>
  <c r="Q1042" i="14"/>
  <c r="I1040" i="14"/>
  <c r="I1039" i="14"/>
  <c r="K1039" i="14" s="1"/>
  <c r="S1039" i="14" s="1"/>
  <c r="M1037" i="14"/>
  <c r="Q1034" i="14"/>
  <c r="I1033" i="14"/>
  <c r="Q1032" i="14"/>
  <c r="Q1031" i="14"/>
  <c r="Q1030" i="14"/>
  <c r="I1029" i="14"/>
  <c r="I1028" i="14"/>
  <c r="K1028" i="14" s="1"/>
  <c r="S1028" i="14" s="1"/>
  <c r="Q1027" i="14"/>
  <c r="I1025" i="14"/>
  <c r="I1024" i="14"/>
  <c r="I1023" i="14"/>
  <c r="Q1022" i="14"/>
  <c r="Q1021" i="14"/>
  <c r="I1019" i="14"/>
  <c r="Q1018" i="14"/>
  <c r="Q1017" i="14"/>
  <c r="I1015" i="14"/>
  <c r="K1015" i="14" s="1"/>
  <c r="S1015" i="14" s="1"/>
  <c r="I1014" i="14"/>
  <c r="Q1012" i="14"/>
  <c r="Q1011" i="14"/>
  <c r="M1010" i="14"/>
  <c r="O1010" i="14" s="1"/>
  <c r="S1010" i="14" s="1"/>
  <c r="Q1008" i="14"/>
  <c r="I1007" i="14"/>
  <c r="I1006" i="14"/>
  <c r="Q1005" i="14"/>
  <c r="I1004" i="14"/>
  <c r="I1003" i="14"/>
  <c r="K1003" i="14" s="1"/>
  <c r="S1003" i="14" s="1"/>
  <c r="Q1002" i="14"/>
  <c r="I1000" i="14"/>
  <c r="I999" i="14"/>
  <c r="K999" i="14" s="1"/>
  <c r="S999" i="14" s="1"/>
  <c r="I998" i="14"/>
  <c r="I997" i="14"/>
  <c r="Q996" i="14"/>
  <c r="I994" i="14"/>
  <c r="I993" i="14"/>
  <c r="Q992" i="14"/>
  <c r="I990" i="14"/>
  <c r="I989" i="14"/>
  <c r="Q987" i="14"/>
  <c r="Q986" i="14"/>
  <c r="Q985" i="14"/>
  <c r="Q984" i="14"/>
  <c r="I983" i="14"/>
  <c r="K983" i="14" s="1"/>
  <c r="S983" i="14" s="1"/>
  <c r="Q982" i="14"/>
  <c r="Q981" i="14"/>
  <c r="I979" i="14"/>
  <c r="I978" i="14"/>
  <c r="Q977" i="14"/>
  <c r="Q976" i="14"/>
  <c r="Q975" i="14"/>
  <c r="Q974" i="14"/>
  <c r="Q973" i="14"/>
  <c r="I972" i="14"/>
  <c r="K972" i="14" s="1"/>
  <c r="S972" i="14" s="1"/>
  <c r="Q971" i="14"/>
  <c r="I969" i="14"/>
  <c r="K969" i="14" s="1"/>
  <c r="S969" i="14" s="1"/>
  <c r="I968" i="14"/>
  <c r="M966" i="14"/>
  <c r="Q963" i="14"/>
  <c r="Q962" i="14"/>
  <c r="I961" i="14"/>
  <c r="K961" i="14" s="1"/>
  <c r="S961" i="14" s="1"/>
  <c r="I960" i="14"/>
  <c r="I959" i="14"/>
  <c r="Q958" i="14"/>
  <c r="Q957" i="14"/>
  <c r="I955" i="14"/>
  <c r="I954" i="14"/>
  <c r="Q953" i="14"/>
  <c r="I952" i="14"/>
  <c r="K952" i="14" s="1"/>
  <c r="S952" i="14" s="1"/>
  <c r="I951" i="14"/>
  <c r="I949" i="14"/>
  <c r="Q948" i="14"/>
  <c r="Q947" i="14"/>
  <c r="I945" i="14"/>
  <c r="K945" i="14" s="1"/>
  <c r="S945" i="14" s="1"/>
  <c r="I944" i="14"/>
  <c r="Q942" i="14"/>
  <c r="Q941" i="14"/>
  <c r="I940" i="14"/>
  <c r="I939" i="14"/>
  <c r="K939" i="14" s="1"/>
  <c r="S939" i="14" s="1"/>
  <c r="Q938" i="14"/>
  <c r="I937" i="14"/>
  <c r="I936" i="14"/>
  <c r="K936" i="14" s="1"/>
  <c r="S936" i="14" s="1"/>
  <c r="Q935" i="14"/>
  <c r="I933" i="14"/>
  <c r="I932" i="14"/>
  <c r="Q931" i="14"/>
  <c r="Q930" i="14"/>
  <c r="Q929" i="14"/>
  <c r="Q928" i="14"/>
  <c r="Q927" i="14"/>
  <c r="I926" i="14"/>
  <c r="Q925" i="14"/>
  <c r="I923" i="14"/>
  <c r="I922" i="14"/>
  <c r="K922" i="14" s="1"/>
  <c r="S922" i="14" s="1"/>
  <c r="Q920" i="14"/>
  <c r="Q919" i="14"/>
  <c r="Q918" i="14"/>
  <c r="I916" i="14"/>
  <c r="K916" i="14" s="1"/>
  <c r="S916" i="14" s="1"/>
  <c r="Q915" i="14"/>
  <c r="I913" i="14"/>
  <c r="I912" i="14"/>
  <c r="Q909" i="14"/>
  <c r="Q908" i="14"/>
  <c r="I907" i="14"/>
  <c r="K907" i="14" s="1"/>
  <c r="S907" i="14" s="1"/>
  <c r="Q904" i="14"/>
  <c r="Q903" i="14"/>
  <c r="Q902" i="14"/>
  <c r="I901" i="14"/>
  <c r="I900" i="14"/>
  <c r="Q899" i="14"/>
  <c r="I897" i="14"/>
  <c r="I896" i="14"/>
  <c r="K896" i="14" s="1"/>
  <c r="S896" i="14" s="1"/>
  <c r="Q894" i="14"/>
  <c r="M893" i="14"/>
  <c r="Q892" i="14"/>
  <c r="Q891" i="14"/>
  <c r="Q890" i="14"/>
  <c r="Q889" i="14"/>
  <c r="I888" i="14"/>
  <c r="K888" i="14" s="1"/>
  <c r="S888" i="14" s="1"/>
  <c r="Q887" i="14"/>
  <c r="I885" i="14"/>
  <c r="I884" i="14"/>
  <c r="Q882" i="14"/>
  <c r="Q881" i="14"/>
  <c r="I880" i="14"/>
  <c r="K880" i="14" s="1"/>
  <c r="S880" i="14" s="1"/>
  <c r="Q879" i="14"/>
  <c r="I877" i="14"/>
  <c r="I876" i="14"/>
  <c r="Q874" i="14"/>
  <c r="M873" i="14"/>
  <c r="Q871" i="14"/>
  <c r="Q870" i="14"/>
  <c r="I869" i="14"/>
  <c r="K869" i="14" s="1"/>
  <c r="S869" i="14" s="1"/>
  <c r="Q868" i="14"/>
  <c r="I866" i="14"/>
  <c r="K866" i="14" s="1"/>
  <c r="S866" i="14" s="1"/>
  <c r="I865" i="14"/>
  <c r="M863" i="14"/>
  <c r="Q860" i="14"/>
  <c r="Q859" i="14"/>
  <c r="I858" i="14"/>
  <c r="Q857" i="14"/>
  <c r="I855" i="14"/>
  <c r="I854" i="14"/>
  <c r="Q847" i="14"/>
  <c r="Q846" i="14"/>
  <c r="I845" i="14"/>
  <c r="Q844" i="14"/>
  <c r="I842" i="14"/>
  <c r="I841" i="14"/>
  <c r="K841" i="14" s="1"/>
  <c r="S841" i="14" s="1"/>
  <c r="Q839" i="14"/>
  <c r="M838" i="14"/>
  <c r="O838" i="14" s="1"/>
  <c r="S838" i="14" s="1"/>
  <c r="Q835" i="14"/>
  <c r="Q834" i="14"/>
  <c r="I833" i="14"/>
  <c r="I832" i="14"/>
  <c r="Q831" i="14"/>
  <c r="I829" i="14"/>
  <c r="K829" i="14" s="1"/>
  <c r="S829" i="14" s="1"/>
  <c r="I828" i="14"/>
  <c r="Q826" i="14"/>
  <c r="Q825" i="14"/>
  <c r="Q824" i="14"/>
  <c r="I823" i="14"/>
  <c r="Q822" i="14"/>
  <c r="I820" i="14"/>
  <c r="K820" i="14" s="1"/>
  <c r="S820" i="14" s="1"/>
  <c r="I819" i="14"/>
  <c r="Q814" i="14"/>
  <c r="Q813" i="14"/>
  <c r="Q812" i="14"/>
  <c r="I811" i="14"/>
  <c r="Q810" i="14"/>
  <c r="I808" i="14"/>
  <c r="K808" i="14" s="1"/>
  <c r="S808" i="14" s="1"/>
  <c r="I807" i="14"/>
  <c r="Q805" i="14"/>
  <c r="Q804" i="14"/>
  <c r="Q803" i="14"/>
  <c r="I802" i="14"/>
  <c r="Q801" i="14"/>
  <c r="I799" i="14"/>
  <c r="I798" i="14"/>
  <c r="K798" i="14" s="1"/>
  <c r="S798" i="14" s="1"/>
  <c r="Q796" i="14"/>
  <c r="Q795" i="14"/>
  <c r="Q794" i="14"/>
  <c r="I793" i="14"/>
  <c r="Q793" i="14" s="1"/>
  <c r="Q792" i="14"/>
  <c r="I790" i="14"/>
  <c r="I789" i="14"/>
  <c r="K789" i="14" s="1"/>
  <c r="S789" i="14" s="1"/>
  <c r="Q787" i="14"/>
  <c r="Q786" i="14"/>
  <c r="I785" i="14"/>
  <c r="Q784" i="14"/>
  <c r="I782" i="14"/>
  <c r="I781" i="14"/>
  <c r="Q779" i="14"/>
  <c r="M778" i="14"/>
  <c r="I778" i="14"/>
  <c r="Q776" i="14"/>
  <c r="I775" i="14"/>
  <c r="I774" i="14"/>
  <c r="K774" i="14" s="1"/>
  <c r="S774" i="14" s="1"/>
  <c r="Q773" i="14"/>
  <c r="I771" i="14"/>
  <c r="I770" i="14"/>
  <c r="Q768" i="14"/>
  <c r="Q767" i="14"/>
  <c r="Q766" i="14"/>
  <c r="I765" i="14"/>
  <c r="Q765" i="14" s="1"/>
  <c r="Q764" i="14"/>
  <c r="I762" i="14"/>
  <c r="I761" i="14"/>
  <c r="Q759" i="14"/>
  <c r="Q758" i="14"/>
  <c r="Q757" i="14"/>
  <c r="I756" i="14"/>
  <c r="Q755" i="14"/>
  <c r="I753" i="14"/>
  <c r="K753" i="14" s="1"/>
  <c r="S753" i="14" s="1"/>
  <c r="I752" i="14"/>
  <c r="K752" i="14" s="1"/>
  <c r="S752" i="14" s="1"/>
  <c r="Q750" i="14"/>
  <c r="I749" i="14"/>
  <c r="M747" i="14"/>
  <c r="Q744" i="14"/>
  <c r="I743" i="14"/>
  <c r="Q742" i="14"/>
  <c r="I741" i="14"/>
  <c r="I740" i="14"/>
  <c r="Q739" i="14"/>
  <c r="I737" i="14"/>
  <c r="I736" i="14"/>
  <c r="K736" i="14" s="1"/>
  <c r="S736" i="14" s="1"/>
  <c r="I734" i="14"/>
  <c r="I733" i="14"/>
  <c r="I732" i="14"/>
  <c r="I731" i="14"/>
  <c r="I730" i="14"/>
  <c r="I729" i="14"/>
  <c r="I728" i="14"/>
  <c r="I727" i="14"/>
  <c r="I725" i="14"/>
  <c r="I722" i="14"/>
  <c r="B720" i="14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Q661" i="14"/>
  <c r="Q660" i="14"/>
  <c r="Q659" i="14"/>
  <c r="M658" i="14"/>
  <c r="Q657" i="14"/>
  <c r="Q655" i="14"/>
  <c r="Q654" i="14"/>
  <c r="M653" i="14"/>
  <c r="Q652" i="14"/>
  <c r="Q650" i="14"/>
  <c r="Q649" i="14"/>
  <c r="Q648" i="14"/>
  <c r="Q646" i="14"/>
  <c r="Q644" i="14"/>
  <c r="M643" i="14"/>
  <c r="Q642" i="14"/>
  <c r="Q641" i="14"/>
  <c r="Q640" i="14"/>
  <c r="Q639" i="14"/>
  <c r="Q637" i="14"/>
  <c r="M636" i="14"/>
  <c r="Q635" i="14"/>
  <c r="M634" i="14"/>
  <c r="Q633" i="14"/>
  <c r="M632" i="14"/>
  <c r="Q631" i="14"/>
  <c r="Q630" i="14"/>
  <c r="M629" i="14"/>
  <c r="M628" i="14"/>
  <c r="M627" i="14"/>
  <c r="Q626" i="14"/>
  <c r="Q625" i="14"/>
  <c r="Q624" i="14"/>
  <c r="Q623" i="14"/>
  <c r="M622" i="14"/>
  <c r="Q621" i="14"/>
  <c r="M620" i="14"/>
  <c r="Q619" i="14"/>
  <c r="Q618" i="14"/>
  <c r="Q617" i="14"/>
  <c r="M616" i="14"/>
  <c r="M615" i="14"/>
  <c r="Q614" i="14"/>
  <c r="M613" i="14"/>
  <c r="Q612" i="14"/>
  <c r="Q610" i="14"/>
  <c r="Q609" i="14"/>
  <c r="Q608" i="14"/>
  <c r="Q607" i="14"/>
  <c r="Q606" i="14"/>
  <c r="M605" i="14"/>
  <c r="Q604" i="14"/>
  <c r="Q603" i="14"/>
  <c r="M601" i="14"/>
  <c r="M600" i="14"/>
  <c r="Q598" i="14"/>
  <c r="M596" i="14"/>
  <c r="Q595" i="14"/>
  <c r="Q594" i="14"/>
  <c r="Q593" i="14"/>
  <c r="Q592" i="14"/>
  <c r="M591" i="14"/>
  <c r="M590" i="14"/>
  <c r="M589" i="14"/>
  <c r="M588" i="14"/>
  <c r="Q587" i="14"/>
  <c r="Q586" i="14"/>
  <c r="M585" i="14"/>
  <c r="M584" i="14"/>
  <c r="Q583" i="14"/>
  <c r="Q582" i="14"/>
  <c r="Q581" i="14"/>
  <c r="Q580" i="14"/>
  <c r="Q574" i="14"/>
  <c r="M573" i="14"/>
  <c r="I571" i="14"/>
  <c r="K571" i="14" s="1"/>
  <c r="S571" i="14" s="1"/>
  <c r="I570" i="14"/>
  <c r="Q568" i="14"/>
  <c r="Q567" i="14"/>
  <c r="Q564" i="14"/>
  <c r="Q563" i="14"/>
  <c r="I562" i="14"/>
  <c r="Q561" i="14"/>
  <c r="I560" i="14"/>
  <c r="Q559" i="14"/>
  <c r="Q557" i="14"/>
  <c r="Q555" i="14"/>
  <c r="Q554" i="14"/>
  <c r="Q552" i="14"/>
  <c r="Q551" i="14"/>
  <c r="Q550" i="14"/>
  <c r="I549" i="14"/>
  <c r="Q548" i="14"/>
  <c r="I547" i="14"/>
  <c r="K547" i="14" s="1"/>
  <c r="S547" i="14" s="1"/>
  <c r="Q543" i="14"/>
  <c r="Q542" i="14"/>
  <c r="I541" i="14"/>
  <c r="B540" i="14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Q484" i="14"/>
  <c r="Q483" i="14"/>
  <c r="Q482" i="14"/>
  <c r="I481" i="14"/>
  <c r="Q479" i="14"/>
  <c r="Q478" i="14"/>
  <c r="Q477" i="14"/>
  <c r="Q476" i="14"/>
  <c r="I475" i="14"/>
  <c r="Q473" i="14"/>
  <c r="I472" i="14"/>
  <c r="Q470" i="14"/>
  <c r="M469" i="14"/>
  <c r="Q467" i="14"/>
  <c r="I466" i="14"/>
  <c r="Q464" i="14"/>
  <c r="M463" i="14"/>
  <c r="Q461" i="14"/>
  <c r="Q460" i="14"/>
  <c r="Q459" i="14"/>
  <c r="Q458" i="14"/>
  <c r="Q457" i="14"/>
  <c r="Q456" i="14"/>
  <c r="Q455" i="14"/>
  <c r="I454" i="14"/>
  <c r="Q453" i="14"/>
  <c r="Q452" i="14"/>
  <c r="Q450" i="14"/>
  <c r="M449" i="14"/>
  <c r="Q448" i="14"/>
  <c r="M447" i="14"/>
  <c r="Q445" i="14"/>
  <c r="I444" i="14"/>
  <c r="Q442" i="14"/>
  <c r="M441" i="14"/>
  <c r="Q440" i="14"/>
  <c r="M439" i="14"/>
  <c r="Q438" i="14"/>
  <c r="M437" i="14"/>
  <c r="Q435" i="14"/>
  <c r="Q434" i="14"/>
  <c r="I433" i="14"/>
  <c r="Q432" i="14"/>
  <c r="I431" i="14"/>
  <c r="I430" i="14"/>
  <c r="Q429" i="14"/>
  <c r="I428" i="14"/>
  <c r="Q427" i="14"/>
  <c r="Q426" i="14"/>
  <c r="Q424" i="14"/>
  <c r="Q423" i="14"/>
  <c r="B422" i="14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B458" i="14" s="1"/>
  <c r="B459" i="14" s="1"/>
  <c r="B460" i="14" s="1"/>
  <c r="B461" i="14" s="1"/>
  <c r="B462" i="14" s="1"/>
  <c r="B463" i="14" s="1"/>
  <c r="B464" i="14" s="1"/>
  <c r="B465" i="14" s="1"/>
  <c r="B466" i="14" s="1"/>
  <c r="B467" i="14" s="1"/>
  <c r="B468" i="14" s="1"/>
  <c r="B469" i="14" s="1"/>
  <c r="B470" i="14" s="1"/>
  <c r="B471" i="14" s="1"/>
  <c r="B472" i="14" s="1"/>
  <c r="B473" i="14" s="1"/>
  <c r="B474" i="14" s="1"/>
  <c r="B475" i="14" s="1"/>
  <c r="B476" i="14" s="1"/>
  <c r="B477" i="14" s="1"/>
  <c r="B478" i="14" s="1"/>
  <c r="B479" i="14" s="1"/>
  <c r="B480" i="14" s="1"/>
  <c r="B481" i="14" s="1"/>
  <c r="B482" i="14" s="1"/>
  <c r="B483" i="14" s="1"/>
  <c r="B484" i="14" s="1"/>
  <c r="Q371" i="14"/>
  <c r="Q370" i="14"/>
  <c r="Q369" i="14"/>
  <c r="Q368" i="14"/>
  <c r="I367" i="14"/>
  <c r="M364" i="14"/>
  <c r="Q363" i="14"/>
  <c r="Q361" i="14"/>
  <c r="Q360" i="14"/>
  <c r="M359" i="14"/>
  <c r="Q357" i="14"/>
  <c r="Q356" i="14"/>
  <c r="I355" i="14"/>
  <c r="Q354" i="14"/>
  <c r="Q353" i="14"/>
  <c r="Q352" i="14"/>
  <c r="Q349" i="14"/>
  <c r="Q348" i="14"/>
  <c r="Q347" i="14"/>
  <c r="Q346" i="14"/>
  <c r="Q345" i="14"/>
  <c r="Q344" i="14"/>
  <c r="I343" i="14"/>
  <c r="Q343" i="14" s="1"/>
  <c r="Q342" i="14"/>
  <c r="Q341" i="14"/>
  <c r="M339" i="14"/>
  <c r="Q338" i="14"/>
  <c r="Q337" i="14"/>
  <c r="Q336" i="14"/>
  <c r="Q335" i="14"/>
  <c r="Q334" i="14"/>
  <c r="I333" i="14"/>
  <c r="Q332" i="14"/>
  <c r="Q331" i="14"/>
  <c r="Q328" i="14"/>
  <c r="Q327" i="14"/>
  <c r="Q326" i="14"/>
  <c r="Q325" i="14"/>
  <c r="Q324" i="14"/>
  <c r="I323" i="14"/>
  <c r="Q322" i="14"/>
  <c r="Q321" i="14"/>
  <c r="Q319" i="14"/>
  <c r="Q318" i="14"/>
  <c r="Q317" i="14"/>
  <c r="I316" i="14"/>
  <c r="I315" i="14"/>
  <c r="K315" i="14" s="1"/>
  <c r="S315" i="14" s="1"/>
  <c r="Q314" i="14"/>
  <c r="Q313" i="14"/>
  <c r="I311" i="14"/>
  <c r="K311" i="14" s="1"/>
  <c r="S311" i="14" s="1"/>
  <c r="I310" i="14"/>
  <c r="Q308" i="14"/>
  <c r="Q307" i="14"/>
  <c r="I306" i="14"/>
  <c r="Q305" i="14"/>
  <c r="B304" i="14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Q275" i="14"/>
  <c r="M274" i="14"/>
  <c r="Q272" i="14"/>
  <c r="I271" i="14"/>
  <c r="M268" i="14"/>
  <c r="O268" i="14" s="1"/>
  <c r="S268" i="14" s="1"/>
  <c r="Q266" i="14"/>
  <c r="M265" i="14"/>
  <c r="I262" i="14"/>
  <c r="Q261" i="14"/>
  <c r="I260" i="14"/>
  <c r="Q259" i="14"/>
  <c r="Q258" i="14"/>
  <c r="Q255" i="14"/>
  <c r="I254" i="14"/>
  <c r="Q253" i="14"/>
  <c r="I252" i="14"/>
  <c r="M250" i="14"/>
  <c r="I247" i="14"/>
  <c r="I245" i="14"/>
  <c r="Q244" i="14"/>
  <c r="I243" i="14"/>
  <c r="I242" i="14"/>
  <c r="Q241" i="14"/>
  <c r="I240" i="14"/>
  <c r="Q239" i="14"/>
  <c r="I237" i="14"/>
  <c r="I236" i="14"/>
  <c r="Q234" i="14"/>
  <c r="I233" i="14"/>
  <c r="Q233" i="14" s="1"/>
  <c r="Q230" i="14"/>
  <c r="Q229" i="14"/>
  <c r="M228" i="14"/>
  <c r="M227" i="14"/>
  <c r="O227" i="14" s="1"/>
  <c r="S227" i="14" s="1"/>
  <c r="Q226" i="14"/>
  <c r="Q224" i="14"/>
  <c r="Q223" i="14"/>
  <c r="Q222" i="14"/>
  <c r="M221" i="14"/>
  <c r="Q221" i="14" s="1"/>
  <c r="I219" i="14"/>
  <c r="K219" i="14" s="1"/>
  <c r="S219" i="14" s="1"/>
  <c r="Q218" i="14"/>
  <c r="Q217" i="14"/>
  <c r="Q216" i="14"/>
  <c r="I215" i="14"/>
  <c r="I214" i="14"/>
  <c r="I213" i="14"/>
  <c r="Q210" i="14"/>
  <c r="Q209" i="14"/>
  <c r="I208" i="14"/>
  <c r="M206" i="14"/>
  <c r="I204" i="14"/>
  <c r="I202" i="14" s="1"/>
  <c r="Q203" i="14"/>
  <c r="M200" i="14"/>
  <c r="M199" i="14" s="1"/>
  <c r="I198" i="14"/>
  <c r="Q197" i="14"/>
  <c r="Q194" i="14"/>
  <c r="I193" i="14"/>
  <c r="Q193" i="14" s="1"/>
  <c r="I190" i="14"/>
  <c r="M188" i="14"/>
  <c r="B188" i="14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Q144" i="14"/>
  <c r="I143" i="14"/>
  <c r="Q141" i="14"/>
  <c r="I140" i="14"/>
  <c r="Q138" i="14"/>
  <c r="Q137" i="14"/>
  <c r="I136" i="14"/>
  <c r="I135" i="14"/>
  <c r="K135" i="14" s="1"/>
  <c r="S135" i="14" s="1"/>
  <c r="I133" i="14"/>
  <c r="Q131" i="14"/>
  <c r="I130" i="14"/>
  <c r="B129" i="14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B144" i="14" s="1"/>
  <c r="M128" i="14"/>
  <c r="R579" i="14" l="1"/>
  <c r="N577" i="14"/>
  <c r="N1746" i="14"/>
  <c r="R1746" i="14" s="1"/>
  <c r="R597" i="14"/>
  <c r="N576" i="14"/>
  <c r="K1690" i="14"/>
  <c r="S1690" i="14" s="1"/>
  <c r="I1689" i="14"/>
  <c r="B807" i="14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R721" i="14"/>
  <c r="B1894" i="14"/>
  <c r="B1895" i="14" s="1"/>
  <c r="B1896" i="14" s="1"/>
  <c r="B1897" i="14" s="1"/>
  <c r="B1898" i="14" s="1"/>
  <c r="B1899" i="14" s="1"/>
  <c r="B1900" i="14" s="1"/>
  <c r="B1901" i="14" s="1"/>
  <c r="B1902" i="14" s="1"/>
  <c r="B1903" i="14" s="1"/>
  <c r="B1904" i="14" s="1"/>
  <c r="B1905" i="14" s="1"/>
  <c r="B1906" i="14" s="1"/>
  <c r="B1907" i="14" s="1"/>
  <c r="B1908" i="14" s="1"/>
  <c r="B1909" i="14" s="1"/>
  <c r="B1910" i="14" s="1"/>
  <c r="B1911" i="14" s="1"/>
  <c r="B1912" i="14" s="1"/>
  <c r="B1913" i="14" s="1"/>
  <c r="B1914" i="14" s="1"/>
  <c r="B1915" i="14" s="1"/>
  <c r="B1916" i="14" s="1"/>
  <c r="B1917" i="14" s="1"/>
  <c r="B1918" i="14" s="1"/>
  <c r="B1919" i="14" s="1"/>
  <c r="B1920" i="14" s="1"/>
  <c r="B1921" i="14" s="1"/>
  <c r="B1922" i="14" s="1"/>
  <c r="B1923" i="14" s="1"/>
  <c r="B1924" i="14" s="1"/>
  <c r="B1925" i="14" s="1"/>
  <c r="B1926" i="14" s="1"/>
  <c r="B1927" i="14" s="1"/>
  <c r="B1928" i="14" s="1"/>
  <c r="B1929" i="14" s="1"/>
  <c r="B1930" i="14" s="1"/>
  <c r="B1931" i="14" s="1"/>
  <c r="B1932" i="14" s="1"/>
  <c r="B1933" i="14" s="1"/>
  <c r="B1934" i="14" s="1"/>
  <c r="B1935" i="14" s="1"/>
  <c r="B1936" i="14" s="1"/>
  <c r="B1745" i="14"/>
  <c r="K1219" i="14"/>
  <c r="S1219" i="14" s="1"/>
  <c r="B1691" i="14"/>
  <c r="B1692" i="14" s="1"/>
  <c r="B1693" i="14" s="1"/>
  <c r="B1694" i="14" s="1"/>
  <c r="B1695" i="14" s="1"/>
  <c r="B1696" i="14" s="1"/>
  <c r="B1697" i="14" s="1"/>
  <c r="B1698" i="14" s="1"/>
  <c r="B1699" i="14" s="1"/>
  <c r="B1700" i="14" s="1"/>
  <c r="B1701" i="14" s="1"/>
  <c r="B1702" i="14" s="1"/>
  <c r="B1703" i="14" s="1"/>
  <c r="B1704" i="14" s="1"/>
  <c r="B1705" i="14" s="1"/>
  <c r="B1706" i="14" s="1"/>
  <c r="K1356" i="14"/>
  <c r="S1356" i="14" s="1"/>
  <c r="R1797" i="14"/>
  <c r="K466" i="14"/>
  <c r="S466" i="14" s="1"/>
  <c r="K1191" i="14"/>
  <c r="S1191" i="14" s="1"/>
  <c r="B1522" i="14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B1542" i="14" s="1"/>
  <c r="B1543" i="14" s="1"/>
  <c r="B1544" i="14" s="1"/>
  <c r="B1545" i="14" s="1"/>
  <c r="B1546" i="14" s="1"/>
  <c r="B1547" i="14" s="1"/>
  <c r="B1548" i="14" s="1"/>
  <c r="B1549" i="14" s="1"/>
  <c r="K1255" i="14"/>
  <c r="S1255" i="14" s="1"/>
  <c r="K1285" i="14"/>
  <c r="S1285" i="14" s="1"/>
  <c r="R1778" i="14"/>
  <c r="O206" i="14"/>
  <c r="S206" i="14" s="1"/>
  <c r="M205" i="14"/>
  <c r="R1817" i="14"/>
  <c r="K1277" i="14"/>
  <c r="S1277" i="14" s="1"/>
  <c r="B200" i="14"/>
  <c r="B201" i="14" s="1"/>
  <c r="B202" i="14" s="1"/>
  <c r="B203" i="14" s="1"/>
  <c r="B204" i="14" s="1"/>
  <c r="B205" i="14" s="1"/>
  <c r="B206" i="14" s="1"/>
  <c r="B207" i="14" s="1"/>
  <c r="B208" i="14" s="1"/>
  <c r="B209" i="14" s="1"/>
  <c r="B210" i="14" s="1"/>
  <c r="B211" i="14" s="1"/>
  <c r="B212" i="14" s="1"/>
  <c r="B213" i="14" s="1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R1747" i="14"/>
  <c r="K252" i="14"/>
  <c r="S252" i="14" s="1"/>
  <c r="K306" i="14"/>
  <c r="S306" i="14" s="1"/>
  <c r="K1183" i="14"/>
  <c r="S1183" i="14" s="1"/>
  <c r="K1306" i="14"/>
  <c r="S1306" i="14" s="1"/>
  <c r="R1753" i="14"/>
  <c r="M1800" i="14"/>
  <c r="O1800" i="14" s="1"/>
  <c r="S1800" i="14" s="1"/>
  <c r="R1523" i="14"/>
  <c r="R1803" i="14"/>
  <c r="Q1876" i="14"/>
  <c r="O188" i="14"/>
  <c r="Q1779" i="14"/>
  <c r="Q1795" i="14"/>
  <c r="Q972" i="14"/>
  <c r="Q1098" i="14"/>
  <c r="Q1104" i="14"/>
  <c r="R195" i="14"/>
  <c r="I134" i="14"/>
  <c r="K134" i="14" s="1"/>
  <c r="S134" i="14" s="1"/>
  <c r="O221" i="14"/>
  <c r="S221" i="14" s="1"/>
  <c r="Q252" i="14"/>
  <c r="K1241" i="14"/>
  <c r="S1241" i="14" s="1"/>
  <c r="K1455" i="14"/>
  <c r="S1455" i="14" s="1"/>
  <c r="Q1834" i="14"/>
  <c r="O339" i="14"/>
  <c r="Q939" i="14"/>
  <c r="Q969" i="14"/>
  <c r="S16" i="14"/>
  <c r="R330" i="14"/>
  <c r="R481" i="14"/>
  <c r="R466" i="14"/>
  <c r="K1199" i="14"/>
  <c r="S1199" i="14" s="1"/>
  <c r="Q1455" i="14"/>
  <c r="Q1571" i="14"/>
  <c r="Q1711" i="14"/>
  <c r="R201" i="14"/>
  <c r="R367" i="14"/>
  <c r="N446" i="14"/>
  <c r="R446" i="14" s="1"/>
  <c r="R468" i="14"/>
  <c r="Q135" i="14"/>
  <c r="Q1003" i="14"/>
  <c r="Q1139" i="14"/>
  <c r="Q1152" i="14"/>
  <c r="Q1156" i="14"/>
  <c r="Q1611" i="14"/>
  <c r="I1808" i="14"/>
  <c r="N1207" i="14"/>
  <c r="Q219" i="14"/>
  <c r="Q315" i="14"/>
  <c r="S41" i="14"/>
  <c r="S13" i="14"/>
  <c r="R12" i="14"/>
  <c r="S28" i="14"/>
  <c r="S20" i="14"/>
  <c r="S33" i="14"/>
  <c r="S39" i="14"/>
  <c r="S50" i="14"/>
  <c r="I201" i="14"/>
  <c r="K201" i="14" s="1"/>
  <c r="K202" i="14"/>
  <c r="S202" i="14" s="1"/>
  <c r="Q136" i="14"/>
  <c r="K136" i="14"/>
  <c r="S136" i="14" s="1"/>
  <c r="Q588" i="14"/>
  <c r="O588" i="14"/>
  <c r="S588" i="14" s="1"/>
  <c r="Q596" i="14"/>
  <c r="O596" i="14"/>
  <c r="S596" i="14" s="1"/>
  <c r="Q611" i="14"/>
  <c r="O611" i="14"/>
  <c r="S611" i="14" s="1"/>
  <c r="Q615" i="14"/>
  <c r="O615" i="14"/>
  <c r="S615" i="14" s="1"/>
  <c r="Q627" i="14"/>
  <c r="O627" i="14"/>
  <c r="S627" i="14" s="1"/>
  <c r="Q658" i="14"/>
  <c r="O658" i="14"/>
  <c r="S658" i="14" s="1"/>
  <c r="I189" i="14"/>
  <c r="K189" i="14" s="1"/>
  <c r="S189" i="14" s="1"/>
  <c r="K190" i="14"/>
  <c r="S190" i="14" s="1"/>
  <c r="O200" i="14"/>
  <c r="S200" i="14" s="1"/>
  <c r="Q200" i="14"/>
  <c r="Q431" i="14"/>
  <c r="K431" i="14"/>
  <c r="S431" i="14" s="1"/>
  <c r="Q475" i="14"/>
  <c r="K475" i="14"/>
  <c r="S475" i="14" s="1"/>
  <c r="Q585" i="14"/>
  <c r="O585" i="14"/>
  <c r="S585" i="14" s="1"/>
  <c r="Q213" i="14"/>
  <c r="K213" i="14"/>
  <c r="S213" i="14" s="1"/>
  <c r="Q240" i="14"/>
  <c r="K240" i="14"/>
  <c r="S240" i="14" s="1"/>
  <c r="I312" i="14"/>
  <c r="I309" i="14" s="1"/>
  <c r="K316" i="14"/>
  <c r="S316" i="14" s="1"/>
  <c r="Q359" i="14"/>
  <c r="O359" i="14"/>
  <c r="S359" i="14" s="1"/>
  <c r="Q428" i="14"/>
  <c r="K428" i="14"/>
  <c r="S428" i="14" s="1"/>
  <c r="Q437" i="14"/>
  <c r="O437" i="14"/>
  <c r="S437" i="14" s="1"/>
  <c r="Q441" i="14"/>
  <c r="O441" i="14"/>
  <c r="S441" i="14" s="1"/>
  <c r="Q447" i="14"/>
  <c r="O447" i="14"/>
  <c r="S447" i="14" s="1"/>
  <c r="Q481" i="14"/>
  <c r="K481" i="14"/>
  <c r="S481" i="14" s="1"/>
  <c r="Q573" i="14"/>
  <c r="O573" i="14"/>
  <c r="S573" i="14" s="1"/>
  <c r="Q590" i="14"/>
  <c r="O590" i="14"/>
  <c r="S590" i="14" s="1"/>
  <c r="Q600" i="14"/>
  <c r="O600" i="14"/>
  <c r="S600" i="14" s="1"/>
  <c r="Q605" i="14"/>
  <c r="O605" i="14"/>
  <c r="S605" i="14" s="1"/>
  <c r="O613" i="14"/>
  <c r="S613" i="14" s="1"/>
  <c r="Q613" i="14"/>
  <c r="Q629" i="14"/>
  <c r="O629" i="14"/>
  <c r="S629" i="14" s="1"/>
  <c r="Q656" i="14"/>
  <c r="O656" i="14"/>
  <c r="S656" i="14" s="1"/>
  <c r="Q722" i="14"/>
  <c r="K722" i="14"/>
  <c r="S722" i="14" s="1"/>
  <c r="I721" i="14"/>
  <c r="K854" i="14"/>
  <c r="S854" i="14" s="1"/>
  <c r="Q854" i="14"/>
  <c r="Q990" i="14"/>
  <c r="K990" i="14"/>
  <c r="S990" i="14" s="1"/>
  <c r="Q1000" i="14"/>
  <c r="K1000" i="14"/>
  <c r="S1000" i="14" s="1"/>
  <c r="Q1004" i="14"/>
  <c r="K1004" i="14"/>
  <c r="S1004" i="14" s="1"/>
  <c r="Q1023" i="14"/>
  <c r="K1023" i="14"/>
  <c r="S1023" i="14" s="1"/>
  <c r="Q1212" i="14"/>
  <c r="K1212" i="14"/>
  <c r="S1212" i="14" s="1"/>
  <c r="Q1227" i="14"/>
  <c r="K1227" i="14"/>
  <c r="S1227" i="14" s="1"/>
  <c r="Q1231" i="14"/>
  <c r="K1438" i="14"/>
  <c r="S1438" i="14" s="1"/>
  <c r="Q1438" i="14"/>
  <c r="K1947" i="14"/>
  <c r="S1947" i="14" s="1"/>
  <c r="Q1947" i="14"/>
  <c r="K1991" i="14"/>
  <c r="S1991" i="14" s="1"/>
  <c r="I1990" i="14"/>
  <c r="K1990" i="14" s="1"/>
  <c r="S1990" i="14" s="1"/>
  <c r="Q1991" i="14"/>
  <c r="R738" i="14"/>
  <c r="J735" i="14"/>
  <c r="Q140" i="14"/>
  <c r="K140" i="14"/>
  <c r="S140" i="14" s="1"/>
  <c r="Q198" i="14"/>
  <c r="K198" i="14"/>
  <c r="S198" i="14" s="1"/>
  <c r="Q208" i="14"/>
  <c r="K208" i="14"/>
  <c r="S208" i="14" s="1"/>
  <c r="Q214" i="14"/>
  <c r="K214" i="14"/>
  <c r="S214" i="14" s="1"/>
  <c r="Q236" i="14"/>
  <c r="K236" i="14"/>
  <c r="S236" i="14" s="1"/>
  <c r="Q245" i="14"/>
  <c r="K245" i="14"/>
  <c r="S245" i="14" s="1"/>
  <c r="Q262" i="14"/>
  <c r="K262" i="14"/>
  <c r="S262" i="14" s="1"/>
  <c r="Q271" i="14"/>
  <c r="K271" i="14"/>
  <c r="S271" i="14" s="1"/>
  <c r="I351" i="14"/>
  <c r="K351" i="14" s="1"/>
  <c r="S351" i="14" s="1"/>
  <c r="K355" i="14"/>
  <c r="S355" i="14" s="1"/>
  <c r="Q364" i="14"/>
  <c r="O364" i="14"/>
  <c r="S364" i="14" s="1"/>
  <c r="Q433" i="14"/>
  <c r="K433" i="14"/>
  <c r="S433" i="14" s="1"/>
  <c r="Q622" i="14"/>
  <c r="O622" i="14"/>
  <c r="S622" i="14" s="1"/>
  <c r="Q634" i="14"/>
  <c r="O634" i="14"/>
  <c r="S634" i="14" s="1"/>
  <c r="Q638" i="14"/>
  <c r="O638" i="14"/>
  <c r="S638" i="14" s="1"/>
  <c r="Q645" i="14"/>
  <c r="O645" i="14"/>
  <c r="S645" i="14" s="1"/>
  <c r="Q653" i="14"/>
  <c r="O653" i="14"/>
  <c r="S653" i="14" s="1"/>
  <c r="Q725" i="14"/>
  <c r="K725" i="14"/>
  <c r="S725" i="14" s="1"/>
  <c r="I724" i="14"/>
  <c r="Q730" i="14"/>
  <c r="K730" i="14"/>
  <c r="S730" i="14" s="1"/>
  <c r="Q734" i="14"/>
  <c r="K734" i="14"/>
  <c r="S734" i="14" s="1"/>
  <c r="Q740" i="14"/>
  <c r="K740" i="14"/>
  <c r="S740" i="14" s="1"/>
  <c r="I754" i="14"/>
  <c r="I751" i="14" s="1"/>
  <c r="K756" i="14"/>
  <c r="S756" i="14" s="1"/>
  <c r="Q761" i="14"/>
  <c r="K761" i="14"/>
  <c r="S761" i="14" s="1"/>
  <c r="Q770" i="14"/>
  <c r="K770" i="14"/>
  <c r="S770" i="14" s="1"/>
  <c r="Q775" i="14"/>
  <c r="K775" i="14"/>
  <c r="S775" i="14" s="1"/>
  <c r="Q785" i="14"/>
  <c r="K785" i="14"/>
  <c r="S785" i="14" s="1"/>
  <c r="K790" i="14"/>
  <c r="S790" i="14" s="1"/>
  <c r="Q790" i="14"/>
  <c r="Q823" i="14"/>
  <c r="K823" i="14"/>
  <c r="S823" i="14" s="1"/>
  <c r="Q828" i="14"/>
  <c r="K828" i="14"/>
  <c r="S828" i="14" s="1"/>
  <c r="Q833" i="14"/>
  <c r="K833" i="14"/>
  <c r="S833" i="14" s="1"/>
  <c r="I843" i="14"/>
  <c r="K845" i="14"/>
  <c r="S845" i="14" s="1"/>
  <c r="Q845" i="14"/>
  <c r="Q944" i="14"/>
  <c r="K944" i="14"/>
  <c r="S944" i="14" s="1"/>
  <c r="Q949" i="14"/>
  <c r="K949" i="14"/>
  <c r="S949" i="14" s="1"/>
  <c r="Q954" i="14"/>
  <c r="K954" i="14"/>
  <c r="S954" i="14" s="1"/>
  <c r="Q959" i="14"/>
  <c r="K959" i="14"/>
  <c r="S959" i="14" s="1"/>
  <c r="K1019" i="14"/>
  <c r="S1019" i="14" s="1"/>
  <c r="Q1019" i="14"/>
  <c r="Q1157" i="14"/>
  <c r="K1157" i="14"/>
  <c r="S1157" i="14" s="1"/>
  <c r="Q1166" i="14"/>
  <c r="K1166" i="14"/>
  <c r="S1166" i="14" s="1"/>
  <c r="Q1175" i="14"/>
  <c r="K1175" i="14"/>
  <c r="S1175" i="14" s="1"/>
  <c r="K1198" i="14"/>
  <c r="S1198" i="14" s="1"/>
  <c r="Q1198" i="14"/>
  <c r="K1417" i="14"/>
  <c r="S1417" i="14" s="1"/>
  <c r="Q1417" i="14"/>
  <c r="K1558" i="14"/>
  <c r="S1558" i="14" s="1"/>
  <c r="Q1558" i="14"/>
  <c r="K343" i="14"/>
  <c r="S343" i="14" s="1"/>
  <c r="J304" i="14"/>
  <c r="R304" i="14" s="1"/>
  <c r="R306" i="14"/>
  <c r="R878" i="14"/>
  <c r="J875" i="14"/>
  <c r="R875" i="14" s="1"/>
  <c r="Q727" i="14"/>
  <c r="K727" i="14"/>
  <c r="S727" i="14" s="1"/>
  <c r="Q731" i="14"/>
  <c r="K731" i="14"/>
  <c r="S731" i="14" s="1"/>
  <c r="Q741" i="14"/>
  <c r="K741" i="14"/>
  <c r="S741" i="14" s="1"/>
  <c r="Q752" i="14"/>
  <c r="Q762" i="14"/>
  <c r="K762" i="14"/>
  <c r="S762" i="14" s="1"/>
  <c r="Q771" i="14"/>
  <c r="K771" i="14"/>
  <c r="S771" i="14" s="1"/>
  <c r="K781" i="14"/>
  <c r="S781" i="14" s="1"/>
  <c r="Q781" i="14"/>
  <c r="I809" i="14"/>
  <c r="I806" i="14" s="1"/>
  <c r="K811" i="14"/>
  <c r="S811" i="14" s="1"/>
  <c r="Q811" i="14"/>
  <c r="Q885" i="14"/>
  <c r="K885" i="14"/>
  <c r="S885" i="14" s="1"/>
  <c r="I1016" i="14"/>
  <c r="Q1076" i="14"/>
  <c r="K1076" i="14"/>
  <c r="S1076" i="14" s="1"/>
  <c r="I1073" i="14"/>
  <c r="Q1085" i="14"/>
  <c r="K1085" i="14"/>
  <c r="S1085" i="14" s="1"/>
  <c r="Q1108" i="14"/>
  <c r="K1108" i="14"/>
  <c r="S1108" i="14" s="1"/>
  <c r="I1115" i="14"/>
  <c r="K1115" i="14" s="1"/>
  <c r="S1115" i="14" s="1"/>
  <c r="K1118" i="14"/>
  <c r="S1118" i="14" s="1"/>
  <c r="Q1118" i="14"/>
  <c r="Q1472" i="14"/>
  <c r="K1472" i="14"/>
  <c r="S1472" i="14" s="1"/>
  <c r="K1530" i="14"/>
  <c r="S1530" i="14" s="1"/>
  <c r="Q1530" i="14"/>
  <c r="K1966" i="14"/>
  <c r="S1966" i="14" s="1"/>
  <c r="Q1966" i="14"/>
  <c r="I1963" i="14"/>
  <c r="I1960" i="14" s="1"/>
  <c r="Q2056" i="14"/>
  <c r="K2056" i="14"/>
  <c r="S2056" i="14" s="1"/>
  <c r="I2053" i="14"/>
  <c r="K2053" i="14" s="1"/>
  <c r="R472" i="14"/>
  <c r="R1313" i="14"/>
  <c r="J1310" i="14"/>
  <c r="R1310" i="14" s="1"/>
  <c r="J2042" i="14"/>
  <c r="R2043" i="14"/>
  <c r="G7" i="15"/>
  <c r="I7" i="15" s="1"/>
  <c r="O128" i="14"/>
  <c r="Q133" i="14"/>
  <c r="K133" i="14"/>
  <c r="S133" i="14" s="1"/>
  <c r="Q199" i="14"/>
  <c r="O199" i="14"/>
  <c r="S199" i="14" s="1"/>
  <c r="K204" i="14"/>
  <c r="S204" i="14" s="1"/>
  <c r="Q204" i="14"/>
  <c r="O469" i="14"/>
  <c r="S469" i="14" s="1"/>
  <c r="M468" i="14"/>
  <c r="M465" i="14" s="1"/>
  <c r="Q584" i="14"/>
  <c r="O584" i="14"/>
  <c r="S584" i="14" s="1"/>
  <c r="Q143" i="14"/>
  <c r="K143" i="14"/>
  <c r="S143" i="14" s="1"/>
  <c r="I196" i="14"/>
  <c r="I195" i="14" s="1"/>
  <c r="Q228" i="14"/>
  <c r="O228" i="14"/>
  <c r="S228" i="14" s="1"/>
  <c r="Q243" i="14"/>
  <c r="K243" i="14"/>
  <c r="S243" i="14" s="1"/>
  <c r="M249" i="14"/>
  <c r="O249" i="14" s="1"/>
  <c r="S249" i="14" s="1"/>
  <c r="O250" i="14"/>
  <c r="S250" i="14" s="1"/>
  <c r="Q254" i="14"/>
  <c r="K254" i="14"/>
  <c r="S254" i="14" s="1"/>
  <c r="Q260" i="14"/>
  <c r="K260" i="14"/>
  <c r="S260" i="14" s="1"/>
  <c r="Q274" i="14"/>
  <c r="O274" i="14"/>
  <c r="S274" i="14" s="1"/>
  <c r="Q469" i="14"/>
  <c r="Q589" i="14"/>
  <c r="O589" i="14"/>
  <c r="S589" i="14" s="1"/>
  <c r="O616" i="14"/>
  <c r="S616" i="14" s="1"/>
  <c r="Q616" i="14"/>
  <c r="I791" i="14"/>
  <c r="I788" i="14" s="1"/>
  <c r="K793" i="14"/>
  <c r="S793" i="14" s="1"/>
  <c r="Q802" i="14"/>
  <c r="K802" i="14"/>
  <c r="S802" i="14" s="1"/>
  <c r="I800" i="14"/>
  <c r="I797" i="14" s="1"/>
  <c r="Q807" i="14"/>
  <c r="K807" i="14"/>
  <c r="S807" i="14" s="1"/>
  <c r="Q858" i="14"/>
  <c r="K858" i="14"/>
  <c r="S858" i="14" s="1"/>
  <c r="Q865" i="14"/>
  <c r="K865" i="14"/>
  <c r="S865" i="14" s="1"/>
  <c r="K876" i="14"/>
  <c r="S876" i="14" s="1"/>
  <c r="Q876" i="14"/>
  <c r="Q1043" i="14"/>
  <c r="K1043" i="14"/>
  <c r="S1043" i="14" s="1"/>
  <c r="I1041" i="14"/>
  <c r="Q1072" i="14"/>
  <c r="K1072" i="14"/>
  <c r="S1072" i="14" s="1"/>
  <c r="Q1313" i="14"/>
  <c r="K1313" i="14"/>
  <c r="S1313" i="14" s="1"/>
  <c r="I1310" i="14"/>
  <c r="Q1340" i="14"/>
  <c r="K1340" i="14"/>
  <c r="S1340" i="14" s="1"/>
  <c r="Q1358" i="14"/>
  <c r="K1358" i="14"/>
  <c r="S1358" i="14" s="1"/>
  <c r="Q1363" i="14"/>
  <c r="K1363" i="14"/>
  <c r="S1363" i="14" s="1"/>
  <c r="Q799" i="14"/>
  <c r="K799" i="14"/>
  <c r="S799" i="14" s="1"/>
  <c r="Q819" i="14"/>
  <c r="K819" i="14"/>
  <c r="S819" i="14" s="1"/>
  <c r="Q900" i="14"/>
  <c r="K900" i="14"/>
  <c r="S900" i="14" s="1"/>
  <c r="Q912" i="14"/>
  <c r="K912" i="14"/>
  <c r="S912" i="14" s="1"/>
  <c r="Q923" i="14"/>
  <c r="K923" i="14"/>
  <c r="S923" i="14" s="1"/>
  <c r="Q932" i="14"/>
  <c r="K932" i="14"/>
  <c r="S932" i="14" s="1"/>
  <c r="Q937" i="14"/>
  <c r="K937" i="14"/>
  <c r="S937" i="14" s="1"/>
  <c r="Q940" i="14"/>
  <c r="K940" i="14"/>
  <c r="S940" i="14" s="1"/>
  <c r="Q951" i="14"/>
  <c r="K951" i="14"/>
  <c r="S951" i="14" s="1"/>
  <c r="Q955" i="14"/>
  <c r="K955" i="14"/>
  <c r="S955" i="14" s="1"/>
  <c r="Q960" i="14"/>
  <c r="K960" i="14"/>
  <c r="S960" i="14" s="1"/>
  <c r="I970" i="14"/>
  <c r="Q997" i="14"/>
  <c r="K997" i="14"/>
  <c r="S997" i="14" s="1"/>
  <c r="M1009" i="14"/>
  <c r="Q1024" i="14"/>
  <c r="K1024" i="14"/>
  <c r="S1024" i="14" s="1"/>
  <c r="Q1029" i="14"/>
  <c r="K1029" i="14"/>
  <c r="S1029" i="14" s="1"/>
  <c r="Q1033" i="14"/>
  <c r="K1033" i="14"/>
  <c r="S1033" i="14" s="1"/>
  <c r="Q1040" i="14"/>
  <c r="K1040" i="14"/>
  <c r="S1040" i="14" s="1"/>
  <c r="Q1049" i="14"/>
  <c r="K1049" i="14"/>
  <c r="S1049" i="14" s="1"/>
  <c r="I1094" i="14"/>
  <c r="Q1094" i="14" s="1"/>
  <c r="K1096" i="14"/>
  <c r="S1096" i="14" s="1"/>
  <c r="Q1105" i="14"/>
  <c r="K1105" i="14"/>
  <c r="S1105" i="14" s="1"/>
  <c r="Q1109" i="14"/>
  <c r="K1109" i="14"/>
  <c r="S1109" i="14" s="1"/>
  <c r="Q1133" i="14"/>
  <c r="K1133" i="14"/>
  <c r="S1133" i="14" s="1"/>
  <c r="Q1141" i="14"/>
  <c r="K1141" i="14"/>
  <c r="S1141" i="14" s="1"/>
  <c r="Q1158" i="14"/>
  <c r="K1158" i="14"/>
  <c r="S1158" i="14" s="1"/>
  <c r="Q1167" i="14"/>
  <c r="K1167" i="14"/>
  <c r="S1167" i="14" s="1"/>
  <c r="Q1213" i="14"/>
  <c r="K1213" i="14"/>
  <c r="S1213" i="14" s="1"/>
  <c r="Q1265" i="14"/>
  <c r="K1265" i="14"/>
  <c r="S1265" i="14" s="1"/>
  <c r="I1267" i="14"/>
  <c r="K1270" i="14"/>
  <c r="S1270" i="14" s="1"/>
  <c r="Q1341" i="14"/>
  <c r="K1341" i="14"/>
  <c r="S1341" i="14" s="1"/>
  <c r="Q1368" i="14"/>
  <c r="K1368" i="14"/>
  <c r="S1368" i="14" s="1"/>
  <c r="Q1379" i="14"/>
  <c r="K1379" i="14"/>
  <c r="S1379" i="14" s="1"/>
  <c r="Q1387" i="14"/>
  <c r="K1387" i="14"/>
  <c r="S1387" i="14" s="1"/>
  <c r="Q1397" i="14"/>
  <c r="K1397" i="14"/>
  <c r="S1397" i="14" s="1"/>
  <c r="Q1405" i="14"/>
  <c r="K1405" i="14"/>
  <c r="S1405" i="14" s="1"/>
  <c r="Q1425" i="14"/>
  <c r="K1425" i="14"/>
  <c r="S1425" i="14" s="1"/>
  <c r="Q1456" i="14"/>
  <c r="K1456" i="14"/>
  <c r="S1456" i="14" s="1"/>
  <c r="I1463" i="14"/>
  <c r="I1460" i="14" s="1"/>
  <c r="Q1460" i="14" s="1"/>
  <c r="K1465" i="14"/>
  <c r="S1465" i="14" s="1"/>
  <c r="S34" i="14"/>
  <c r="R465" i="14"/>
  <c r="R454" i="14"/>
  <c r="Q728" i="14"/>
  <c r="K728" i="14"/>
  <c r="S728" i="14" s="1"/>
  <c r="Q732" i="14"/>
  <c r="K732" i="14"/>
  <c r="S732" i="14" s="1"/>
  <c r="Q737" i="14"/>
  <c r="K737" i="14"/>
  <c r="S737" i="14" s="1"/>
  <c r="Q749" i="14"/>
  <c r="K749" i="14"/>
  <c r="S749" i="14" s="1"/>
  <c r="I777" i="14"/>
  <c r="K778" i="14"/>
  <c r="Q130" i="14"/>
  <c r="K130" i="14"/>
  <c r="S130" i="14" s="1"/>
  <c r="I192" i="14"/>
  <c r="K193" i="14"/>
  <c r="S193" i="14" s="1"/>
  <c r="Q215" i="14"/>
  <c r="K215" i="14"/>
  <c r="S215" i="14" s="1"/>
  <c r="I232" i="14"/>
  <c r="K233" i="14"/>
  <c r="S233" i="14" s="1"/>
  <c r="Q237" i="14"/>
  <c r="K237" i="14"/>
  <c r="S237" i="14" s="1"/>
  <c r="Q242" i="14"/>
  <c r="K242" i="14"/>
  <c r="S242" i="14" s="1"/>
  <c r="Q247" i="14"/>
  <c r="K247" i="14"/>
  <c r="S247" i="14" s="1"/>
  <c r="M264" i="14"/>
  <c r="O264" i="14" s="1"/>
  <c r="S264" i="14" s="1"/>
  <c r="O265" i="14"/>
  <c r="S265" i="14" s="1"/>
  <c r="Q310" i="14"/>
  <c r="K310" i="14"/>
  <c r="S310" i="14" s="1"/>
  <c r="Q323" i="14"/>
  <c r="K323" i="14"/>
  <c r="S323" i="14" s="1"/>
  <c r="Q333" i="14"/>
  <c r="K333" i="14"/>
  <c r="S333" i="14" s="1"/>
  <c r="I366" i="14"/>
  <c r="K366" i="14" s="1"/>
  <c r="S366" i="14" s="1"/>
  <c r="K367" i="14"/>
  <c r="S367" i="14" s="1"/>
  <c r="Q430" i="14"/>
  <c r="K430" i="14"/>
  <c r="S430" i="14" s="1"/>
  <c r="Q439" i="14"/>
  <c r="O439" i="14"/>
  <c r="S439" i="14" s="1"/>
  <c r="Q444" i="14"/>
  <c r="K444" i="14"/>
  <c r="S444" i="14" s="1"/>
  <c r="O449" i="14"/>
  <c r="S449" i="14" s="1"/>
  <c r="Q454" i="14"/>
  <c r="K454" i="14"/>
  <c r="S454" i="14" s="1"/>
  <c r="Q463" i="14"/>
  <c r="O463" i="14"/>
  <c r="S463" i="14" s="1"/>
  <c r="I471" i="14"/>
  <c r="K472" i="14"/>
  <c r="S472" i="14" s="1"/>
  <c r="Q591" i="14"/>
  <c r="O591" i="14"/>
  <c r="S591" i="14" s="1"/>
  <c r="Q601" i="14"/>
  <c r="O601" i="14"/>
  <c r="S601" i="14" s="1"/>
  <c r="Q620" i="14"/>
  <c r="O620" i="14"/>
  <c r="S620" i="14" s="1"/>
  <c r="Q628" i="14"/>
  <c r="O628" i="14"/>
  <c r="S628" i="14" s="1"/>
  <c r="Q632" i="14"/>
  <c r="O632" i="14"/>
  <c r="S632" i="14" s="1"/>
  <c r="Q636" i="14"/>
  <c r="O636" i="14"/>
  <c r="S636" i="14" s="1"/>
  <c r="Q643" i="14"/>
  <c r="O643" i="14"/>
  <c r="S643" i="14" s="1"/>
  <c r="Q647" i="14"/>
  <c r="O647" i="14"/>
  <c r="S647" i="14" s="1"/>
  <c r="Q651" i="14"/>
  <c r="O651" i="14"/>
  <c r="S651" i="14" s="1"/>
  <c r="Q729" i="14"/>
  <c r="K729" i="14"/>
  <c r="S729" i="14" s="1"/>
  <c r="Q733" i="14"/>
  <c r="K733" i="14"/>
  <c r="S733" i="14" s="1"/>
  <c r="Q743" i="14"/>
  <c r="K743" i="14"/>
  <c r="S743" i="14" s="1"/>
  <c r="I763" i="14"/>
  <c r="I760" i="14" s="1"/>
  <c r="K765" i="14"/>
  <c r="S765" i="14" s="1"/>
  <c r="Q782" i="14"/>
  <c r="K782" i="14"/>
  <c r="S782" i="14" s="1"/>
  <c r="Q808" i="14"/>
  <c r="Q842" i="14"/>
  <c r="K842" i="14"/>
  <c r="S842" i="14" s="1"/>
  <c r="Q855" i="14"/>
  <c r="K855" i="14"/>
  <c r="S855" i="14" s="1"/>
  <c r="Q877" i="14"/>
  <c r="K877" i="14"/>
  <c r="S877" i="14" s="1"/>
  <c r="Q896" i="14"/>
  <c r="Q901" i="14"/>
  <c r="K901" i="14"/>
  <c r="S901" i="14" s="1"/>
  <c r="Q913" i="14"/>
  <c r="K913" i="14"/>
  <c r="S913" i="14" s="1"/>
  <c r="Q933" i="14"/>
  <c r="K933" i="14"/>
  <c r="S933" i="14" s="1"/>
  <c r="Q968" i="14"/>
  <c r="K968" i="14"/>
  <c r="S968" i="14" s="1"/>
  <c r="Q978" i="14"/>
  <c r="K978" i="14"/>
  <c r="S978" i="14" s="1"/>
  <c r="Q993" i="14"/>
  <c r="K993" i="14"/>
  <c r="S993" i="14" s="1"/>
  <c r="Q998" i="14"/>
  <c r="K998" i="14"/>
  <c r="S998" i="14" s="1"/>
  <c r="Q1006" i="14"/>
  <c r="K1006" i="14"/>
  <c r="S1006" i="14" s="1"/>
  <c r="Q1014" i="14"/>
  <c r="K1014" i="14"/>
  <c r="S1014" i="14" s="1"/>
  <c r="Q1025" i="14"/>
  <c r="K1025" i="14"/>
  <c r="S1025" i="14" s="1"/>
  <c r="Q1050" i="14"/>
  <c r="K1050" i="14"/>
  <c r="S1050" i="14" s="1"/>
  <c r="Q1070" i="14"/>
  <c r="K1070" i="14"/>
  <c r="S1070" i="14" s="1"/>
  <c r="Q1092" i="14"/>
  <c r="K1092" i="14"/>
  <c r="S1092" i="14" s="1"/>
  <c r="Q1106" i="14"/>
  <c r="K1106" i="14"/>
  <c r="S1106" i="14" s="1"/>
  <c r="Q1110" i="14"/>
  <c r="K1110" i="14"/>
  <c r="S1110" i="14" s="1"/>
  <c r="Q1120" i="14"/>
  <c r="K1120" i="14"/>
  <c r="S1120" i="14" s="1"/>
  <c r="Q1125" i="14"/>
  <c r="K1125" i="14"/>
  <c r="S1125" i="14" s="1"/>
  <c r="Q1147" i="14"/>
  <c r="K1147" i="14"/>
  <c r="S1147" i="14" s="1"/>
  <c r="Q1210" i="14"/>
  <c r="K1210" i="14"/>
  <c r="S1210" i="14" s="1"/>
  <c r="Q1214" i="14"/>
  <c r="K1214" i="14"/>
  <c r="S1214" i="14" s="1"/>
  <c r="Q1289" i="14"/>
  <c r="K1289" i="14"/>
  <c r="S1289" i="14" s="1"/>
  <c r="Q1351" i="14"/>
  <c r="K1351" i="14"/>
  <c r="S1351" i="14" s="1"/>
  <c r="Q1365" i="14"/>
  <c r="K1365" i="14"/>
  <c r="S1365" i="14" s="1"/>
  <c r="Q1369" i="14"/>
  <c r="K1369" i="14"/>
  <c r="S1369" i="14" s="1"/>
  <c r="Q1374" i="14"/>
  <c r="K1374" i="14"/>
  <c r="S1374" i="14" s="1"/>
  <c r="Q1384" i="14"/>
  <c r="Q1388" i="14"/>
  <c r="K1388" i="14"/>
  <c r="S1388" i="14" s="1"/>
  <c r="Q1398" i="14"/>
  <c r="K1398" i="14"/>
  <c r="S1398" i="14" s="1"/>
  <c r="Q1406" i="14"/>
  <c r="K1406" i="14"/>
  <c r="S1406" i="14" s="1"/>
  <c r="Q1454" i="14"/>
  <c r="K1454" i="14"/>
  <c r="S1454" i="14" s="1"/>
  <c r="Q1465" i="14"/>
  <c r="Q1767" i="14"/>
  <c r="M1778" i="14"/>
  <c r="O1778" i="14" s="1"/>
  <c r="S1778" i="14" s="1"/>
  <c r="I1833" i="14"/>
  <c r="Q1833" i="14" s="1"/>
  <c r="M1852" i="14"/>
  <c r="O1852" i="14" s="1"/>
  <c r="S1852" i="14" s="1"/>
  <c r="Q2050" i="14"/>
  <c r="O2050" i="14"/>
  <c r="S2050" i="14" s="1"/>
  <c r="R188" i="14"/>
  <c r="R312" i="14"/>
  <c r="R469" i="14"/>
  <c r="R565" i="14"/>
  <c r="N2053" i="14"/>
  <c r="R2061" i="14"/>
  <c r="Q832" i="14"/>
  <c r="K832" i="14"/>
  <c r="S832" i="14" s="1"/>
  <c r="Q884" i="14"/>
  <c r="K884" i="14"/>
  <c r="S884" i="14" s="1"/>
  <c r="Q897" i="14"/>
  <c r="K897" i="14"/>
  <c r="S897" i="14" s="1"/>
  <c r="I924" i="14"/>
  <c r="K926" i="14"/>
  <c r="S926" i="14" s="1"/>
  <c r="Q979" i="14"/>
  <c r="K979" i="14"/>
  <c r="S979" i="14" s="1"/>
  <c r="Q989" i="14"/>
  <c r="K989" i="14"/>
  <c r="S989" i="14" s="1"/>
  <c r="Q994" i="14"/>
  <c r="K994" i="14"/>
  <c r="S994" i="14" s="1"/>
  <c r="Q1007" i="14"/>
  <c r="K1007" i="14"/>
  <c r="S1007" i="14" s="1"/>
  <c r="Q1061" i="14"/>
  <c r="K1061" i="14"/>
  <c r="S1061" i="14" s="1"/>
  <c r="I1062" i="14"/>
  <c r="K1067" i="14"/>
  <c r="S1067" i="14" s="1"/>
  <c r="Q1071" i="14"/>
  <c r="K1071" i="14"/>
  <c r="S1071" i="14" s="1"/>
  <c r="Q1079" i="14"/>
  <c r="K1079" i="14"/>
  <c r="S1079" i="14" s="1"/>
  <c r="Q1084" i="14"/>
  <c r="K1084" i="14"/>
  <c r="S1084" i="14" s="1"/>
  <c r="Q1093" i="14"/>
  <c r="K1093" i="14"/>
  <c r="S1093" i="14" s="1"/>
  <c r="Q1107" i="14"/>
  <c r="K1107" i="14"/>
  <c r="S1107" i="14" s="1"/>
  <c r="Q1111" i="14"/>
  <c r="K1111" i="14"/>
  <c r="S1111" i="14" s="1"/>
  <c r="Q1121" i="14"/>
  <c r="K1121" i="14"/>
  <c r="S1121" i="14" s="1"/>
  <c r="Q1126" i="14"/>
  <c r="K1126" i="14"/>
  <c r="S1126" i="14" s="1"/>
  <c r="Q1148" i="14"/>
  <c r="K1148" i="14"/>
  <c r="S1148" i="14" s="1"/>
  <c r="Q1174" i="14"/>
  <c r="K1174" i="14"/>
  <c r="S1174" i="14" s="1"/>
  <c r="Q1197" i="14"/>
  <c r="K1197" i="14"/>
  <c r="S1197" i="14" s="1"/>
  <c r="Q1211" i="14"/>
  <c r="K1211" i="14"/>
  <c r="S1211" i="14" s="1"/>
  <c r="Q1234" i="14"/>
  <c r="K1234" i="14"/>
  <c r="S1234" i="14" s="1"/>
  <c r="Q1248" i="14"/>
  <c r="K1248" i="14"/>
  <c r="S1248" i="14" s="1"/>
  <c r="I1296" i="14"/>
  <c r="K1299" i="14"/>
  <c r="S1299" i="14" s="1"/>
  <c r="Q1362" i="14"/>
  <c r="K1362" i="14"/>
  <c r="S1362" i="14" s="1"/>
  <c r="Q1390" i="14"/>
  <c r="K1390" i="14"/>
  <c r="S1390" i="14" s="1"/>
  <c r="Q1407" i="14"/>
  <c r="K1407" i="14"/>
  <c r="S1407" i="14" s="1"/>
  <c r="K1458" i="14"/>
  <c r="S1458" i="14" s="1"/>
  <c r="J1923" i="14"/>
  <c r="R1923" i="14" s="1"/>
  <c r="B558" i="14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R238" i="14"/>
  <c r="S23" i="14"/>
  <c r="S57" i="14"/>
  <c r="R1332" i="14"/>
  <c r="R1324" i="14"/>
  <c r="K1324" i="14"/>
  <c r="S1324" i="14" s="1"/>
  <c r="J61" i="14"/>
  <c r="R61" i="14" s="1"/>
  <c r="S27" i="14"/>
  <c r="S35" i="14"/>
  <c r="S51" i="14"/>
  <c r="S63" i="14"/>
  <c r="S60" i="14"/>
  <c r="S52" i="14"/>
  <c r="S64" i="14"/>
  <c r="R1094" i="14"/>
  <c r="R906" i="14"/>
  <c r="H370" i="13"/>
  <c r="H361" i="13" s="1"/>
  <c r="H335" i="13"/>
  <c r="H202" i="13"/>
  <c r="H102" i="13"/>
  <c r="Q449" i="14"/>
  <c r="M446" i="14"/>
  <c r="K541" i="14"/>
  <c r="S541" i="14" s="1"/>
  <c r="I540" i="14"/>
  <c r="Q541" i="14"/>
  <c r="Q1255" i="14"/>
  <c r="I1252" i="14"/>
  <c r="M1563" i="14"/>
  <c r="M1560" i="14" s="1"/>
  <c r="O1564" i="14"/>
  <c r="S1564" i="14" s="1"/>
  <c r="Q1564" i="14"/>
  <c r="M1792" i="14"/>
  <c r="Q1792" i="14" s="1"/>
  <c r="O1793" i="14"/>
  <c r="S1793" i="14" s="1"/>
  <c r="Q1793" i="14"/>
  <c r="K1887" i="14"/>
  <c r="S1887" i="14" s="1"/>
  <c r="Q1887" i="14"/>
  <c r="J269" i="14"/>
  <c r="R270" i="14"/>
  <c r="J1196" i="14"/>
  <c r="R1199" i="14"/>
  <c r="R1133" i="14"/>
  <c r="J1130" i="14"/>
  <c r="R1130" i="14" s="1"/>
  <c r="Q206" i="14"/>
  <c r="M201" i="14"/>
  <c r="I304" i="14"/>
  <c r="Q306" i="14"/>
  <c r="Q893" i="14"/>
  <c r="O893" i="14"/>
  <c r="S893" i="14" s="1"/>
  <c r="Q1037" i="14"/>
  <c r="O1037" i="14"/>
  <c r="S1037" i="14" s="1"/>
  <c r="Q1520" i="14"/>
  <c r="K1520" i="14"/>
  <c r="S1520" i="14" s="1"/>
  <c r="Q1551" i="14"/>
  <c r="K1551" i="14"/>
  <c r="S1551" i="14" s="1"/>
  <c r="Q1556" i="14"/>
  <c r="O1556" i="14"/>
  <c r="S1556" i="14" s="1"/>
  <c r="Q1809" i="14"/>
  <c r="K1809" i="14"/>
  <c r="K2010" i="14"/>
  <c r="Q2010" i="14"/>
  <c r="J1395" i="14"/>
  <c r="R1395" i="14" s="1"/>
  <c r="R1398" i="14"/>
  <c r="J1360" i="14"/>
  <c r="R1360" i="14" s="1"/>
  <c r="R1363" i="14"/>
  <c r="J1282" i="14"/>
  <c r="R1282" i="14" s="1"/>
  <c r="R1285" i="14"/>
  <c r="R1255" i="14"/>
  <c r="J1252" i="14"/>
  <c r="R1252" i="14" s="1"/>
  <c r="J827" i="14"/>
  <c r="R830" i="14"/>
  <c r="Q1191" i="14"/>
  <c r="I1188" i="14"/>
  <c r="K1758" i="14"/>
  <c r="S1758" i="14" s="1"/>
  <c r="Q1758" i="14"/>
  <c r="Q1770" i="14"/>
  <c r="K1770" i="14"/>
  <c r="S1770" i="14" s="1"/>
  <c r="Q1871" i="14"/>
  <c r="K1871" i="14"/>
  <c r="S1871" i="14" s="1"/>
  <c r="J211" i="14"/>
  <c r="R212" i="14"/>
  <c r="R343" i="14"/>
  <c r="J340" i="14"/>
  <c r="J1231" i="14"/>
  <c r="R1231" i="14" s="1"/>
  <c r="R1234" i="14"/>
  <c r="J1164" i="14"/>
  <c r="R1164" i="14" s="1"/>
  <c r="R1167" i="14"/>
  <c r="M267" i="14"/>
  <c r="Q268" i="14"/>
  <c r="Q466" i="14"/>
  <c r="I465" i="14"/>
  <c r="K465" i="14" s="1"/>
  <c r="Q798" i="14"/>
  <c r="Q880" i="14"/>
  <c r="I878" i="14"/>
  <c r="K878" i="14" s="1"/>
  <c r="S878" i="14" s="1"/>
  <c r="Q1140" i="14"/>
  <c r="I1138" i="14"/>
  <c r="Q1277" i="14"/>
  <c r="I1274" i="14"/>
  <c r="Q1701" i="14"/>
  <c r="K1701" i="14"/>
  <c r="S1701" i="14" s="1"/>
  <c r="Q1717" i="14"/>
  <c r="K1717" i="14"/>
  <c r="S1717" i="14" s="1"/>
  <c r="K1743" i="14"/>
  <c r="S1743" i="14" s="1"/>
  <c r="Q1743" i="14"/>
  <c r="K1785" i="14"/>
  <c r="S1785" i="14" s="1"/>
  <c r="I1784" i="14"/>
  <c r="K1784" i="14" s="1"/>
  <c r="S1784" i="14" s="1"/>
  <c r="Q1785" i="14"/>
  <c r="Q1949" i="14"/>
  <c r="K1949" i="14"/>
  <c r="S1949" i="14" s="1"/>
  <c r="Q1955" i="14"/>
  <c r="K1955" i="14"/>
  <c r="S1955" i="14" s="1"/>
  <c r="Q1980" i="14"/>
  <c r="K1980" i="14"/>
  <c r="S1980" i="14" s="1"/>
  <c r="Q1990" i="14"/>
  <c r="Q1996" i="14"/>
  <c r="K1996" i="14"/>
  <c r="S1996" i="14" s="1"/>
  <c r="I2006" i="14"/>
  <c r="Q2007" i="14"/>
  <c r="J53" i="14"/>
  <c r="R53" i="14" s="1"/>
  <c r="R55" i="14"/>
  <c r="N269" i="14"/>
  <c r="R273" i="14"/>
  <c r="N462" i="14"/>
  <c r="R463" i="14"/>
  <c r="J1471" i="14"/>
  <c r="R1471" i="14" s="1"/>
  <c r="R1474" i="14"/>
  <c r="R1455" i="14"/>
  <c r="J1453" i="14"/>
  <c r="R1453" i="14" s="1"/>
  <c r="Q778" i="14"/>
  <c r="O778" i="14"/>
  <c r="J192" i="14"/>
  <c r="R192" i="14" s="1"/>
  <c r="R193" i="14"/>
  <c r="J553" i="14"/>
  <c r="R553" i="14" s="1"/>
  <c r="R556" i="14"/>
  <c r="Q562" i="14"/>
  <c r="K562" i="14"/>
  <c r="S562" i="14" s="1"/>
  <c r="Q1241" i="14"/>
  <c r="I1238" i="14"/>
  <c r="I1245" i="14"/>
  <c r="I1370" i="14"/>
  <c r="I1360" i="14" s="1"/>
  <c r="Q1372" i="14"/>
  <c r="Q1572" i="14"/>
  <c r="K1572" i="14"/>
  <c r="S1572" i="14" s="1"/>
  <c r="Q1627" i="14"/>
  <c r="K1627" i="14"/>
  <c r="S1627" i="14" s="1"/>
  <c r="M1797" i="14"/>
  <c r="O1797" i="14" s="1"/>
  <c r="Q1825" i="14"/>
  <c r="K1825" i="14"/>
  <c r="S1825" i="14" s="1"/>
  <c r="Q1906" i="14"/>
  <c r="K1906" i="14"/>
  <c r="S1906" i="14" s="1"/>
  <c r="K1926" i="14"/>
  <c r="S1926" i="14" s="1"/>
  <c r="Q1926" i="14"/>
  <c r="I2047" i="14"/>
  <c r="K2047" i="14" s="1"/>
  <c r="Q2048" i="14"/>
  <c r="R22" i="14"/>
  <c r="J1102" i="14"/>
  <c r="R1102" i="14" s="1"/>
  <c r="R1103" i="14"/>
  <c r="J788" i="14"/>
  <c r="R788" i="14" s="1"/>
  <c r="R791" i="14"/>
  <c r="J1687" i="14"/>
  <c r="E14" i="15" s="1"/>
  <c r="J1867" i="14"/>
  <c r="R1867" i="14" s="1"/>
  <c r="R1868" i="14"/>
  <c r="J2006" i="14"/>
  <c r="R2006" i="14" s="1"/>
  <c r="R2007" i="14"/>
  <c r="N864" i="14"/>
  <c r="R872" i="14"/>
  <c r="J1832" i="14"/>
  <c r="R1832" i="14" s="1"/>
  <c r="R1833" i="14"/>
  <c r="M225" i="14"/>
  <c r="O225" i="14" s="1"/>
  <c r="S225" i="14" s="1"/>
  <c r="Q569" i="14"/>
  <c r="K569" i="14"/>
  <c r="S569" i="14" s="1"/>
  <c r="I783" i="14"/>
  <c r="I856" i="14"/>
  <c r="I853" i="14" s="1"/>
  <c r="Q873" i="14"/>
  <c r="O873" i="14"/>
  <c r="S873" i="14" s="1"/>
  <c r="I898" i="14"/>
  <c r="I895" i="14" s="1"/>
  <c r="I991" i="14"/>
  <c r="Q1319" i="14"/>
  <c r="O1319" i="14"/>
  <c r="S1319" i="14" s="1"/>
  <c r="Q1377" i="14"/>
  <c r="O1377" i="14"/>
  <c r="S1377" i="14" s="1"/>
  <c r="Q1546" i="14"/>
  <c r="K1546" i="14"/>
  <c r="S1546" i="14" s="1"/>
  <c r="O1561" i="14"/>
  <c r="S1561" i="14" s="1"/>
  <c r="Q1570" i="14"/>
  <c r="K1570" i="14"/>
  <c r="S1570" i="14" s="1"/>
  <c r="Q1573" i="14"/>
  <c r="K1573" i="14"/>
  <c r="S1573" i="14" s="1"/>
  <c r="Q1609" i="14"/>
  <c r="O1609" i="14"/>
  <c r="S1609" i="14" s="1"/>
  <c r="Q1637" i="14"/>
  <c r="O1637" i="14"/>
  <c r="S1637" i="14" s="1"/>
  <c r="Q1718" i="14"/>
  <c r="K1718" i="14"/>
  <c r="S1718" i="14" s="1"/>
  <c r="Q1724" i="14"/>
  <c r="O1724" i="14"/>
  <c r="S1724" i="14" s="1"/>
  <c r="M1729" i="14"/>
  <c r="O1730" i="14"/>
  <c r="S1730" i="14" s="1"/>
  <c r="Q1810" i="14"/>
  <c r="K1810" i="14"/>
  <c r="S1810" i="14" s="1"/>
  <c r="Q1826" i="14"/>
  <c r="K1826" i="14"/>
  <c r="S1826" i="14" s="1"/>
  <c r="Q1841" i="14"/>
  <c r="K1841" i="14"/>
  <c r="S1841" i="14" s="1"/>
  <c r="Q1920" i="14"/>
  <c r="K1920" i="14"/>
  <c r="S1920" i="14" s="1"/>
  <c r="Q1950" i="14"/>
  <c r="K1950" i="14"/>
  <c r="S1950" i="14" s="1"/>
  <c r="Q1956" i="14"/>
  <c r="K1956" i="14"/>
  <c r="S1956" i="14" s="1"/>
  <c r="Q1975" i="14"/>
  <c r="O1975" i="14"/>
  <c r="S1975" i="14" s="1"/>
  <c r="Q1985" i="14"/>
  <c r="K1985" i="14"/>
  <c r="S1985" i="14" s="1"/>
  <c r="R143" i="14"/>
  <c r="R274" i="14"/>
  <c r="R248" i="14"/>
  <c r="R232" i="14"/>
  <c r="R208" i="14"/>
  <c r="R205" i="14"/>
  <c r="R199" i="14"/>
  <c r="R189" i="14"/>
  <c r="R573" i="14"/>
  <c r="J1460" i="14"/>
  <c r="R1463" i="14"/>
  <c r="J1414" i="14"/>
  <c r="R1414" i="14" s="1"/>
  <c r="R1425" i="14"/>
  <c r="J1303" i="14"/>
  <c r="R1303" i="14" s="1"/>
  <c r="R1306" i="14"/>
  <c r="J1274" i="14"/>
  <c r="R1274" i="14" s="1"/>
  <c r="R1277" i="14"/>
  <c r="J1224" i="14"/>
  <c r="R1224" i="14" s="1"/>
  <c r="R1227" i="14"/>
  <c r="J1188" i="14"/>
  <c r="R1188" i="14" s="1"/>
  <c r="R1191" i="14"/>
  <c r="J1155" i="14"/>
  <c r="R1155" i="14" s="1"/>
  <c r="R1158" i="14"/>
  <c r="J895" i="14"/>
  <c r="R895" i="14" s="1"/>
  <c r="R898" i="14"/>
  <c r="J864" i="14"/>
  <c r="R867" i="14"/>
  <c r="J818" i="14"/>
  <c r="R818" i="14" s="1"/>
  <c r="R821" i="14"/>
  <c r="J780" i="14"/>
  <c r="R780" i="14" s="1"/>
  <c r="R783" i="14"/>
  <c r="N1605" i="14"/>
  <c r="R1606" i="14"/>
  <c r="J1997" i="14"/>
  <c r="R1997" i="14" s="1"/>
  <c r="R1998" i="14"/>
  <c r="J1899" i="14"/>
  <c r="R1900" i="14"/>
  <c r="R1549" i="14"/>
  <c r="N827" i="14"/>
  <c r="R836" i="14"/>
  <c r="N988" i="14"/>
  <c r="N905" i="14" s="1"/>
  <c r="R1009" i="14"/>
  <c r="I821" i="14"/>
  <c r="I818" i="14" s="1"/>
  <c r="Q863" i="14"/>
  <c r="O863" i="14"/>
  <c r="S863" i="14" s="1"/>
  <c r="Q926" i="14"/>
  <c r="Q1010" i="14"/>
  <c r="Q1561" i="14"/>
  <c r="Q1566" i="14"/>
  <c r="K1566" i="14"/>
  <c r="S1566" i="14" s="1"/>
  <c r="Q1574" i="14"/>
  <c r="K1574" i="14"/>
  <c r="S1574" i="14" s="1"/>
  <c r="Q1581" i="14"/>
  <c r="O1581" i="14"/>
  <c r="S1581" i="14" s="1"/>
  <c r="Q1599" i="14"/>
  <c r="K1599" i="14"/>
  <c r="S1599" i="14" s="1"/>
  <c r="Q1603" i="14"/>
  <c r="K1603" i="14"/>
  <c r="S1603" i="14" s="1"/>
  <c r="M1613" i="14"/>
  <c r="O1614" i="14"/>
  <c r="S1614" i="14" s="1"/>
  <c r="Q1632" i="14"/>
  <c r="Q1713" i="14"/>
  <c r="K1713" i="14"/>
  <c r="S1713" i="14" s="1"/>
  <c r="Q1761" i="14"/>
  <c r="Q1794" i="14"/>
  <c r="O1794" i="14"/>
  <c r="S1794" i="14" s="1"/>
  <c r="I1804" i="14"/>
  <c r="K1804" i="14" s="1"/>
  <c r="S1804" i="14" s="1"/>
  <c r="K1806" i="14"/>
  <c r="S1806" i="14" s="1"/>
  <c r="Q1842" i="14"/>
  <c r="K1842" i="14"/>
  <c r="S1842" i="14" s="1"/>
  <c r="Q1846" i="14"/>
  <c r="Q1849" i="14"/>
  <c r="Q1853" i="14"/>
  <c r="Q1910" i="14"/>
  <c r="O1910" i="14"/>
  <c r="S1910" i="14" s="1"/>
  <c r="Q1952" i="14"/>
  <c r="K1952" i="14"/>
  <c r="S1952" i="14" s="1"/>
  <c r="Q1970" i="14"/>
  <c r="K1970" i="14"/>
  <c r="S1970" i="14" s="1"/>
  <c r="Q1987" i="14"/>
  <c r="O1987" i="14"/>
  <c r="S1987" i="14" s="1"/>
  <c r="R43" i="14"/>
  <c r="R19" i="14"/>
  <c r="R366" i="14"/>
  <c r="R351" i="14"/>
  <c r="R333" i="14"/>
  <c r="R323" i="14"/>
  <c r="R449" i="14"/>
  <c r="J1355" i="14"/>
  <c r="R1355" i="14" s="1"/>
  <c r="R1356" i="14"/>
  <c r="J1296" i="14"/>
  <c r="R1296" i="14" s="1"/>
  <c r="R1299" i="14"/>
  <c r="J1267" i="14"/>
  <c r="R1267" i="14" s="1"/>
  <c r="R1270" i="14"/>
  <c r="J1245" i="14"/>
  <c r="R1245" i="14" s="1"/>
  <c r="R1248" i="14"/>
  <c r="J1216" i="14"/>
  <c r="R1216" i="14" s="1"/>
  <c r="R1219" i="14"/>
  <c r="J1180" i="14"/>
  <c r="R1180" i="14" s="1"/>
  <c r="R1183" i="14"/>
  <c r="J1123" i="14"/>
  <c r="R1123" i="14" s="1"/>
  <c r="R1126" i="14"/>
  <c r="J853" i="14"/>
  <c r="R856" i="14"/>
  <c r="J777" i="14"/>
  <c r="R777" i="14" s="1"/>
  <c r="R778" i="14"/>
  <c r="J1742" i="14"/>
  <c r="N1960" i="14"/>
  <c r="N1954" i="14" s="1"/>
  <c r="N1866" i="14" s="1"/>
  <c r="H16" i="15" s="1"/>
  <c r="R1971" i="14"/>
  <c r="J1912" i="14"/>
  <c r="R1912" i="14" s="1"/>
  <c r="R1913" i="14"/>
  <c r="J1881" i="14"/>
  <c r="R1881" i="14" s="1"/>
  <c r="R1882" i="14"/>
  <c r="N735" i="14"/>
  <c r="R745" i="14"/>
  <c r="J1782" i="14"/>
  <c r="N1714" i="14"/>
  <c r="N1687" i="14" s="1"/>
  <c r="H14" i="15" s="1"/>
  <c r="R1721" i="14"/>
  <c r="N853" i="14"/>
  <c r="R861" i="14"/>
  <c r="J1605" i="14"/>
  <c r="R1623" i="14"/>
  <c r="Q549" i="14"/>
  <c r="K549" i="14"/>
  <c r="S549" i="14" s="1"/>
  <c r="Q560" i="14"/>
  <c r="K560" i="14"/>
  <c r="S560" i="14" s="1"/>
  <c r="Q570" i="14"/>
  <c r="K570" i="14"/>
  <c r="S570" i="14" s="1"/>
  <c r="I251" i="14"/>
  <c r="I320" i="14"/>
  <c r="Q747" i="14"/>
  <c r="O747" i="14"/>
  <c r="S747" i="14" s="1"/>
  <c r="Q966" i="14"/>
  <c r="O966" i="14"/>
  <c r="S966" i="14" s="1"/>
  <c r="I1263" i="14"/>
  <c r="K1263" i="14" s="1"/>
  <c r="S1263" i="14" s="1"/>
  <c r="Q1542" i="14"/>
  <c r="O1542" i="14"/>
  <c r="S1542" i="14" s="1"/>
  <c r="Q1567" i="14"/>
  <c r="K1567" i="14"/>
  <c r="S1567" i="14" s="1"/>
  <c r="Q1577" i="14"/>
  <c r="O1577" i="14"/>
  <c r="S1577" i="14" s="1"/>
  <c r="Q1588" i="14"/>
  <c r="K1588" i="14"/>
  <c r="S1588" i="14" s="1"/>
  <c r="Q1696" i="14"/>
  <c r="K1696" i="14"/>
  <c r="S1696" i="14" s="1"/>
  <c r="Q1720" i="14"/>
  <c r="K1720" i="14"/>
  <c r="S1720" i="14" s="1"/>
  <c r="Q1727" i="14"/>
  <c r="K1727" i="14"/>
  <c r="S1727" i="14" s="1"/>
  <c r="Q1749" i="14"/>
  <c r="Q1759" i="14"/>
  <c r="Q1762" i="14"/>
  <c r="K1762" i="14"/>
  <c r="S1762" i="14" s="1"/>
  <c r="Q1769" i="14"/>
  <c r="Q1776" i="14"/>
  <c r="Q1787" i="14"/>
  <c r="Q1801" i="14"/>
  <c r="Q1812" i="14"/>
  <c r="Q1815" i="14"/>
  <c r="I1829" i="14"/>
  <c r="I1828" i="14" s="1"/>
  <c r="K1830" i="14"/>
  <c r="S1830" i="14" s="1"/>
  <c r="Q1847" i="14"/>
  <c r="K1847" i="14"/>
  <c r="S1847" i="14" s="1"/>
  <c r="Q1850" i="14"/>
  <c r="K1850" i="14"/>
  <c r="S1850" i="14" s="1"/>
  <c r="Q1854" i="14"/>
  <c r="O1854" i="14"/>
  <c r="S1854" i="14" s="1"/>
  <c r="Q1879" i="14"/>
  <c r="K1879" i="14"/>
  <c r="S1879" i="14" s="1"/>
  <c r="Q1889" i="14"/>
  <c r="K1889" i="14"/>
  <c r="S1889" i="14" s="1"/>
  <c r="Q1925" i="14"/>
  <c r="K1925" i="14"/>
  <c r="S1925" i="14" s="1"/>
  <c r="I1928" i="14"/>
  <c r="K1929" i="14"/>
  <c r="S1929" i="14" s="1"/>
  <c r="I1946" i="14"/>
  <c r="K1946" i="14" s="1"/>
  <c r="S1946" i="14" s="1"/>
  <c r="K1948" i="14"/>
  <c r="S1948" i="14" s="1"/>
  <c r="Q1953" i="14"/>
  <c r="K1953" i="14"/>
  <c r="S1953" i="14" s="1"/>
  <c r="Q1972" i="14"/>
  <c r="O1972" i="14"/>
  <c r="S1972" i="14" s="1"/>
  <c r="Q1994" i="14"/>
  <c r="K1994" i="14"/>
  <c r="S1994" i="14" s="1"/>
  <c r="Q2001" i="14"/>
  <c r="K2001" i="14"/>
  <c r="S2001" i="14" s="1"/>
  <c r="R257" i="14"/>
  <c r="R249" i="14"/>
  <c r="R202" i="14"/>
  <c r="R196" i="14"/>
  <c r="R572" i="14"/>
  <c r="R566" i="14"/>
  <c r="R541" i="14"/>
  <c r="J1260" i="14"/>
  <c r="R1260" i="14" s="1"/>
  <c r="R1263" i="14"/>
  <c r="J1238" i="14"/>
  <c r="R1238" i="14" s="1"/>
  <c r="R1241" i="14"/>
  <c r="J1208" i="14"/>
  <c r="R1208" i="14" s="1"/>
  <c r="R1209" i="14"/>
  <c r="J1172" i="14"/>
  <c r="R1172" i="14" s="1"/>
  <c r="R1175" i="14"/>
  <c r="J1112" i="14"/>
  <c r="R1115" i="14"/>
  <c r="J943" i="14"/>
  <c r="R943" i="14" s="1"/>
  <c r="J911" i="14"/>
  <c r="J769" i="14"/>
  <c r="R769" i="14" s="1"/>
  <c r="R772" i="14"/>
  <c r="J1557" i="14"/>
  <c r="R1565" i="14"/>
  <c r="N1557" i="14"/>
  <c r="R1560" i="14"/>
  <c r="J1839" i="14"/>
  <c r="R1839" i="14" s="1"/>
  <c r="R1840" i="14"/>
  <c r="N1783" i="14"/>
  <c r="N1782" i="14" s="1"/>
  <c r="R1786" i="14"/>
  <c r="J1877" i="14"/>
  <c r="R1877" i="14" s="1"/>
  <c r="R1878" i="14"/>
  <c r="J1976" i="14"/>
  <c r="R1976" i="14" s="1"/>
  <c r="R1977" i="14"/>
  <c r="J1954" i="14"/>
  <c r="J1933" i="14"/>
  <c r="R1933" i="14" s="1"/>
  <c r="R1934" i="14"/>
  <c r="N1582" i="14"/>
  <c r="R1591" i="14"/>
  <c r="J751" i="14"/>
  <c r="R751" i="14" s="1"/>
  <c r="J760" i="14"/>
  <c r="R760" i="14" s="1"/>
  <c r="J797" i="14"/>
  <c r="R797" i="14" s="1"/>
  <c r="J883" i="14"/>
  <c r="R883" i="14" s="1"/>
  <c r="J921" i="14"/>
  <c r="R921" i="14" s="1"/>
  <c r="J988" i="14"/>
  <c r="J1013" i="14"/>
  <c r="J1059" i="14"/>
  <c r="R1059" i="14" s="1"/>
  <c r="J1138" i="14"/>
  <c r="R1138" i="14" s="1"/>
  <c r="J1321" i="14"/>
  <c r="J1378" i="14"/>
  <c r="R1378" i="14" s="1"/>
  <c r="J1435" i="14"/>
  <c r="R1435" i="14" s="1"/>
  <c r="J1082" i="14"/>
  <c r="J1038" i="14"/>
  <c r="R1038" i="14" s="1"/>
  <c r="J806" i="14"/>
  <c r="R806" i="14" s="1"/>
  <c r="J723" i="14"/>
  <c r="R723" i="14" s="1"/>
  <c r="J1338" i="14"/>
  <c r="R1338" i="14" s="1"/>
  <c r="J1146" i="14"/>
  <c r="J967" i="14"/>
  <c r="R967" i="14" s="1"/>
  <c r="J840" i="14"/>
  <c r="R840" i="14" s="1"/>
  <c r="N436" i="14"/>
  <c r="J422" i="14"/>
  <c r="J443" i="14"/>
  <c r="J474" i="14"/>
  <c r="R474" i="14" s="1"/>
  <c r="N358" i="14"/>
  <c r="N220" i="14"/>
  <c r="N263" i="14"/>
  <c r="N191" i="14"/>
  <c r="J235" i="14"/>
  <c r="J251" i="14"/>
  <c r="R251" i="14" s="1"/>
  <c r="J139" i="14"/>
  <c r="R139" i="14" s="1"/>
  <c r="J129" i="14"/>
  <c r="R129" i="14" s="1"/>
  <c r="N37" i="14"/>
  <c r="N45" i="14"/>
  <c r="J30" i="14"/>
  <c r="J24" i="14"/>
  <c r="Q264" i="14"/>
  <c r="M862" i="14"/>
  <c r="O862" i="14" s="1"/>
  <c r="S862" i="14" s="1"/>
  <c r="M872" i="14"/>
  <c r="O872" i="14" s="1"/>
  <c r="S872" i="14" s="1"/>
  <c r="I934" i="14"/>
  <c r="Q936" i="14"/>
  <c r="I1026" i="14"/>
  <c r="Q1028" i="14"/>
  <c r="I1051" i="14"/>
  <c r="Q1056" i="14"/>
  <c r="Q1798" i="14"/>
  <c r="I1797" i="14"/>
  <c r="K1797" i="14" s="1"/>
  <c r="M1817" i="14"/>
  <c r="O1817" i="14" s="1"/>
  <c r="S1817" i="14" s="1"/>
  <c r="Q1822" i="14"/>
  <c r="I1843" i="14"/>
  <c r="K1843" i="14" s="1"/>
  <c r="S1843" i="14" s="1"/>
  <c r="Q1845" i="14"/>
  <c r="Q1940" i="14"/>
  <c r="I1937" i="14"/>
  <c r="Q2046" i="14"/>
  <c r="I2044" i="14"/>
  <c r="K2044" i="14" s="1"/>
  <c r="S2044" i="14" s="1"/>
  <c r="Q2049" i="14"/>
  <c r="M2043" i="14"/>
  <c r="O2043" i="14" s="1"/>
  <c r="M2061" i="14"/>
  <c r="O2061" i="14" s="1"/>
  <c r="S2061" i="14" s="1"/>
  <c r="Q2062" i="14"/>
  <c r="I886" i="14"/>
  <c r="Q888" i="14"/>
  <c r="Q1712" i="14"/>
  <c r="I1710" i="14"/>
  <c r="M1747" i="14"/>
  <c r="O1747" i="14" s="1"/>
  <c r="S1747" i="14" s="1"/>
  <c r="Q250" i="14"/>
  <c r="Q316" i="14"/>
  <c r="Q472" i="14"/>
  <c r="I566" i="14"/>
  <c r="K566" i="14" s="1"/>
  <c r="S566" i="14" s="1"/>
  <c r="Q227" i="14"/>
  <c r="I238" i="14"/>
  <c r="Q238" i="14" s="1"/>
  <c r="Q265" i="14"/>
  <c r="Q367" i="14"/>
  <c r="I451" i="14"/>
  <c r="K451" i="14" s="1"/>
  <c r="M572" i="14"/>
  <c r="O572" i="14" s="1"/>
  <c r="S572" i="14" s="1"/>
  <c r="M746" i="14"/>
  <c r="O746" i="14" s="1"/>
  <c r="S746" i="14" s="1"/>
  <c r="I772" i="14"/>
  <c r="Q774" i="14"/>
  <c r="Q1039" i="14"/>
  <c r="M1310" i="14"/>
  <c r="Q1318" i="14"/>
  <c r="M1375" i="14"/>
  <c r="Q1375" i="14" s="1"/>
  <c r="Q1376" i="14"/>
  <c r="I1389" i="14"/>
  <c r="Q1392" i="14"/>
  <c r="M1432" i="14"/>
  <c r="O1432" i="14" s="1"/>
  <c r="S1432" i="14" s="1"/>
  <c r="Q1433" i="14"/>
  <c r="M1592" i="14"/>
  <c r="M1591" i="14" s="1"/>
  <c r="O1591" i="14" s="1"/>
  <c r="S1591" i="14" s="1"/>
  <c r="Q1594" i="14"/>
  <c r="I1766" i="14"/>
  <c r="I1903" i="14"/>
  <c r="Q1905" i="14"/>
  <c r="Q1959" i="14"/>
  <c r="I1958" i="14"/>
  <c r="Q190" i="14"/>
  <c r="M195" i="14"/>
  <c r="O195" i="14" s="1"/>
  <c r="I738" i="14"/>
  <c r="I830" i="14"/>
  <c r="I827" i="14" s="1"/>
  <c r="K827" i="14" s="1"/>
  <c r="I1001" i="14"/>
  <c r="I1756" i="14"/>
  <c r="K1756" i="14" s="1"/>
  <c r="S1756" i="14" s="1"/>
  <c r="I1998" i="14"/>
  <c r="I1997" i="14" s="1"/>
  <c r="M883" i="14"/>
  <c r="O883" i="14" s="1"/>
  <c r="Q1067" i="14"/>
  <c r="I1123" i="14"/>
  <c r="I1130" i="14"/>
  <c r="I1224" i="14"/>
  <c r="K1689" i="14"/>
  <c r="S1689" i="14" s="1"/>
  <c r="H7" i="13"/>
  <c r="H373" i="13"/>
  <c r="H65" i="13"/>
  <c r="H72" i="13"/>
  <c r="H80" i="13"/>
  <c r="H87" i="13"/>
  <c r="H105" i="13"/>
  <c r="H112" i="13"/>
  <c r="H206" i="13"/>
  <c r="H242" i="13"/>
  <c r="H250" i="13"/>
  <c r="H280" i="13"/>
  <c r="H295" i="13"/>
  <c r="H304" i="13"/>
  <c r="H314" i="13"/>
  <c r="H326" i="13"/>
  <c r="H338" i="13"/>
  <c r="H350" i="13"/>
  <c r="H388" i="13"/>
  <c r="H385" i="13" s="1"/>
  <c r="H445" i="13"/>
  <c r="H444" i="13" s="1"/>
  <c r="H443" i="13" s="1"/>
  <c r="H450" i="13"/>
  <c r="H235" i="13"/>
  <c r="H28" i="13"/>
  <c r="H23" i="13" s="1"/>
  <c r="Q1884" i="14"/>
  <c r="I1883" i="14"/>
  <c r="K1883" i="14" s="1"/>
  <c r="S1883" i="14" s="1"/>
  <c r="I1916" i="14"/>
  <c r="K1916" i="14" s="1"/>
  <c r="S1916" i="14" s="1"/>
  <c r="I1924" i="14"/>
  <c r="K1924" i="14" s="1"/>
  <c r="S1924" i="14" s="1"/>
  <c r="Q1948" i="14"/>
  <c r="I1951" i="14"/>
  <c r="I1977" i="14"/>
  <c r="K1977" i="14" s="1"/>
  <c r="I1995" i="14"/>
  <c r="I1868" i="14"/>
  <c r="K1868" i="14" s="1"/>
  <c r="S1868" i="14" s="1"/>
  <c r="I1878" i="14"/>
  <c r="K1878" i="14" s="1"/>
  <c r="S1878" i="14" s="1"/>
  <c r="M1909" i="14"/>
  <c r="O1909" i="14" s="1"/>
  <c r="S1909" i="14" s="1"/>
  <c r="M1974" i="14"/>
  <c r="O1974" i="14" s="1"/>
  <c r="S1974" i="14" s="1"/>
  <c r="M1986" i="14"/>
  <c r="O1986" i="14" s="1"/>
  <c r="S1986" i="14" s="1"/>
  <c r="I1993" i="14"/>
  <c r="K1993" i="14" s="1"/>
  <c r="S1993" i="14" s="1"/>
  <c r="Q1806" i="14"/>
  <c r="Q1690" i="14"/>
  <c r="M1723" i="14"/>
  <c r="O1723" i="14" s="1"/>
  <c r="S1723" i="14" s="1"/>
  <c r="I1726" i="14"/>
  <c r="Q1730" i="14"/>
  <c r="I1716" i="14"/>
  <c r="K1716" i="14" s="1"/>
  <c r="S1716" i="14" s="1"/>
  <c r="I1524" i="14"/>
  <c r="K1524" i="14" s="1"/>
  <c r="S1524" i="14" s="1"/>
  <c r="I1550" i="14"/>
  <c r="K1550" i="14" s="1"/>
  <c r="S1550" i="14" s="1"/>
  <c r="I1568" i="14"/>
  <c r="K1568" i="14" s="1"/>
  <c r="S1568" i="14" s="1"/>
  <c r="M1579" i="14"/>
  <c r="I1585" i="14"/>
  <c r="K1585" i="14" s="1"/>
  <c r="S1585" i="14" s="1"/>
  <c r="I1596" i="14"/>
  <c r="K1596" i="14" s="1"/>
  <c r="S1596" i="14" s="1"/>
  <c r="M1607" i="14"/>
  <c r="O1607" i="14" s="1"/>
  <c r="S1607" i="14" s="1"/>
  <c r="I1519" i="14"/>
  <c r="I1545" i="14"/>
  <c r="I1626" i="14"/>
  <c r="K1626" i="14" s="1"/>
  <c r="S1626" i="14" s="1"/>
  <c r="M1636" i="14"/>
  <c r="O1636" i="14" s="1"/>
  <c r="S1636" i="14" s="1"/>
  <c r="Q789" i="14"/>
  <c r="Q983" i="14"/>
  <c r="I980" i="14"/>
  <c r="K980" i="14" s="1"/>
  <c r="S980" i="14" s="1"/>
  <c r="Q1173" i="14"/>
  <c r="I1172" i="14"/>
  <c r="Q1380" i="14"/>
  <c r="I726" i="14"/>
  <c r="K726" i="14" s="1"/>
  <c r="S726" i="14" s="1"/>
  <c r="Q736" i="14"/>
  <c r="Q753" i="14"/>
  <c r="Q756" i="14"/>
  <c r="M777" i="14"/>
  <c r="O777" i="14" s="1"/>
  <c r="Q820" i="14"/>
  <c r="I867" i="14"/>
  <c r="I864" i="14" s="1"/>
  <c r="Q869" i="14"/>
  <c r="I914" i="14"/>
  <c r="I911" i="14" s="1"/>
  <c r="Q916" i="14"/>
  <c r="Q1183" i="14"/>
  <c r="I1180" i="14"/>
  <c r="Q829" i="14"/>
  <c r="Q945" i="14"/>
  <c r="I946" i="14"/>
  <c r="Q952" i="14"/>
  <c r="I956" i="14"/>
  <c r="Q961" i="14"/>
  <c r="Q999" i="14"/>
  <c r="Q838" i="14"/>
  <c r="M837" i="14"/>
  <c r="O837" i="14" s="1"/>
  <c r="S837" i="14" s="1"/>
  <c r="Q841" i="14"/>
  <c r="I840" i="14"/>
  <c r="Q866" i="14"/>
  <c r="Q1060" i="14"/>
  <c r="I1103" i="14"/>
  <c r="K1103" i="14" s="1"/>
  <c r="S1103" i="14" s="1"/>
  <c r="I1155" i="14"/>
  <c r="Q1334" i="14"/>
  <c r="I1332" i="14"/>
  <c r="Q1332" i="14" s="1"/>
  <c r="Q907" i="14"/>
  <c r="I906" i="14"/>
  <c r="K906" i="14" s="1"/>
  <c r="S906" i="14" s="1"/>
  <c r="Q922" i="14"/>
  <c r="Q1015" i="14"/>
  <c r="Q1083" i="14"/>
  <c r="Q1199" i="14"/>
  <c r="I1196" i="14"/>
  <c r="Q1196" i="14" s="1"/>
  <c r="Q1219" i="14"/>
  <c r="I1216" i="14"/>
  <c r="I1445" i="14"/>
  <c r="K1445" i="14" s="1"/>
  <c r="S1445" i="14" s="1"/>
  <c r="Q1448" i="14"/>
  <c r="M965" i="14"/>
  <c r="O965" i="14" s="1"/>
  <c r="S965" i="14" s="1"/>
  <c r="M1036" i="14"/>
  <c r="O1036" i="14" s="1"/>
  <c r="S1036" i="14" s="1"/>
  <c r="Q1096" i="14"/>
  <c r="Q1124" i="14"/>
  <c r="Q1150" i="14"/>
  <c r="I1149" i="14"/>
  <c r="K1149" i="14" s="1"/>
  <c r="S1149" i="14" s="1"/>
  <c r="Q1324" i="14"/>
  <c r="Q1165" i="14"/>
  <c r="I1164" i="14"/>
  <c r="I1209" i="14"/>
  <c r="K1209" i="14" s="1"/>
  <c r="S1209" i="14" s="1"/>
  <c r="Q1264" i="14"/>
  <c r="Q1299" i="14"/>
  <c r="I1303" i="14"/>
  <c r="Q1306" i="14"/>
  <c r="Q1361" i="14"/>
  <c r="I1453" i="14"/>
  <c r="Q1480" i="14"/>
  <c r="I1474" i="14"/>
  <c r="K1474" i="14" s="1"/>
  <c r="S1474" i="14" s="1"/>
  <c r="Q1270" i="14"/>
  <c r="I1349" i="14"/>
  <c r="Q1382" i="14"/>
  <c r="I1381" i="14"/>
  <c r="I1414" i="14"/>
  <c r="Q1285" i="14"/>
  <c r="I1282" i="14"/>
  <c r="Q1356" i="14"/>
  <c r="I1355" i="14"/>
  <c r="Q1339" i="14"/>
  <c r="Q1396" i="14"/>
  <c r="I1395" i="14"/>
  <c r="Q547" i="14"/>
  <c r="I546" i="14"/>
  <c r="K546" i="14" s="1"/>
  <c r="S546" i="14" s="1"/>
  <c r="Q571" i="14"/>
  <c r="M597" i="14"/>
  <c r="I556" i="14"/>
  <c r="K556" i="14" s="1"/>
  <c r="S556" i="14" s="1"/>
  <c r="M579" i="14"/>
  <c r="O579" i="14" s="1"/>
  <c r="S579" i="14" s="1"/>
  <c r="M436" i="14"/>
  <c r="I480" i="14"/>
  <c r="K480" i="14" s="1"/>
  <c r="S480" i="14" s="1"/>
  <c r="I425" i="14"/>
  <c r="K425" i="14" s="1"/>
  <c r="S425" i="14" s="1"/>
  <c r="M462" i="14"/>
  <c r="Q351" i="14"/>
  <c r="B331" i="14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B356" i="14" s="1"/>
  <c r="B357" i="14" s="1"/>
  <c r="B330" i="14"/>
  <c r="Q311" i="14"/>
  <c r="I330" i="14"/>
  <c r="K330" i="14" s="1"/>
  <c r="S330" i="14" s="1"/>
  <c r="I340" i="14"/>
  <c r="Q355" i="14"/>
  <c r="M362" i="14"/>
  <c r="O362" i="14" s="1"/>
  <c r="S362" i="14" s="1"/>
  <c r="Q202" i="14"/>
  <c r="I207" i="14"/>
  <c r="I246" i="14"/>
  <c r="I257" i="14"/>
  <c r="K257" i="14" s="1"/>
  <c r="S257" i="14" s="1"/>
  <c r="I270" i="14"/>
  <c r="K270" i="14" s="1"/>
  <c r="S270" i="14" s="1"/>
  <c r="M273" i="14"/>
  <c r="O273" i="14" s="1"/>
  <c r="S273" i="14" s="1"/>
  <c r="I212" i="14"/>
  <c r="K212" i="14" s="1"/>
  <c r="S212" i="14" s="1"/>
  <c r="I231" i="14"/>
  <c r="I142" i="14"/>
  <c r="I132" i="14"/>
  <c r="N1742" i="14" l="1"/>
  <c r="R577" i="14"/>
  <c r="O577" i="14"/>
  <c r="S577" i="14" s="1"/>
  <c r="R1742" i="14"/>
  <c r="N1741" i="14"/>
  <c r="H15" i="15" s="1"/>
  <c r="B574" i="14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1746" i="14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767" i="14" s="1"/>
  <c r="B1768" i="14" s="1"/>
  <c r="B1769" i="14" s="1"/>
  <c r="B1770" i="14" s="1"/>
  <c r="B1771" i="14" s="1"/>
  <c r="B1772" i="14" s="1"/>
  <c r="B1773" i="14" s="1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B1786" i="14" s="1"/>
  <c r="B1787" i="14" s="1"/>
  <c r="B1788" i="14" s="1"/>
  <c r="B1789" i="14" s="1"/>
  <c r="B1790" i="14" s="1"/>
  <c r="B1791" i="14" s="1"/>
  <c r="B1792" i="14" s="1"/>
  <c r="B1793" i="14" s="1"/>
  <c r="B1794" i="14" s="1"/>
  <c r="B1795" i="14" s="1"/>
  <c r="B1796" i="14" s="1"/>
  <c r="B1797" i="14" s="1"/>
  <c r="B1798" i="14" s="1"/>
  <c r="B1799" i="14" s="1"/>
  <c r="B1800" i="14" s="1"/>
  <c r="B1801" i="14" s="1"/>
  <c r="B1802" i="14" s="1"/>
  <c r="B1803" i="14" s="1"/>
  <c r="B1804" i="14" s="1"/>
  <c r="B1805" i="14" s="1"/>
  <c r="B1806" i="14" s="1"/>
  <c r="B1807" i="14" s="1"/>
  <c r="B1808" i="14" s="1"/>
  <c r="B1809" i="14" s="1"/>
  <c r="B1810" i="14" s="1"/>
  <c r="B1811" i="14" s="1"/>
  <c r="B1812" i="14" s="1"/>
  <c r="B1813" i="14" s="1"/>
  <c r="B1814" i="14" s="1"/>
  <c r="B1815" i="14" s="1"/>
  <c r="B1816" i="14" s="1"/>
  <c r="Q134" i="14"/>
  <c r="O462" i="14"/>
  <c r="S462" i="14" s="1"/>
  <c r="B1707" i="14"/>
  <c r="B1708" i="14" s="1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B1726" i="14" s="1"/>
  <c r="B1727" i="14" s="1"/>
  <c r="B1728" i="14" s="1"/>
  <c r="B1729" i="14" s="1"/>
  <c r="B1730" i="14" s="1"/>
  <c r="B1731" i="14" s="1"/>
  <c r="B915" i="14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B990" i="14" s="1"/>
  <c r="B991" i="14" s="1"/>
  <c r="B992" i="14" s="1"/>
  <c r="H474" i="13"/>
  <c r="H481" i="13" s="1"/>
  <c r="H4" i="15" s="1"/>
  <c r="B1937" i="14"/>
  <c r="B1938" i="14" s="1"/>
  <c r="B1939" i="14" s="1"/>
  <c r="B1940" i="14" s="1"/>
  <c r="B1941" i="14" s="1"/>
  <c r="B1942" i="14" s="1"/>
  <c r="B1943" i="14" s="1"/>
  <c r="B1944" i="14" s="1"/>
  <c r="B1945" i="14" s="1"/>
  <c r="B1946" i="14" s="1"/>
  <c r="B1947" i="14" s="1"/>
  <c r="B1948" i="14" s="1"/>
  <c r="B1949" i="14" s="1"/>
  <c r="B1950" i="14" s="1"/>
  <c r="B1951" i="14" s="1"/>
  <c r="B1952" i="14" s="1"/>
  <c r="B1953" i="14" s="1"/>
  <c r="B1954" i="14" s="1"/>
  <c r="B1955" i="14" s="1"/>
  <c r="B1956" i="14" s="1"/>
  <c r="B1957" i="14" s="1"/>
  <c r="B1958" i="14" s="1"/>
  <c r="B1959" i="14" s="1"/>
  <c r="B1960" i="14" s="1"/>
  <c r="B1961" i="14" s="1"/>
  <c r="B1962" i="14" s="1"/>
  <c r="B1963" i="14" s="1"/>
  <c r="B1964" i="14" s="1"/>
  <c r="B1965" i="14" s="1"/>
  <c r="B1966" i="14" s="1"/>
  <c r="B1967" i="14" s="1"/>
  <c r="B1968" i="14" s="1"/>
  <c r="B1969" i="14" s="1"/>
  <c r="B1970" i="14" s="1"/>
  <c r="B1971" i="14" s="1"/>
  <c r="B1972" i="14" s="1"/>
  <c r="B1973" i="14" s="1"/>
  <c r="B1974" i="14" s="1"/>
  <c r="B1975" i="14" s="1"/>
  <c r="B1976" i="14" s="1"/>
  <c r="B1977" i="14" s="1"/>
  <c r="B1978" i="14" s="1"/>
  <c r="B1979" i="14" s="1"/>
  <c r="B1980" i="14" s="1"/>
  <c r="B1981" i="14" s="1"/>
  <c r="B1982" i="14" s="1"/>
  <c r="B1983" i="14" s="1"/>
  <c r="B1984" i="14" s="1"/>
  <c r="B1985" i="14" s="1"/>
  <c r="B1986" i="14" s="1"/>
  <c r="B1987" i="14" s="1"/>
  <c r="B1988" i="14" s="1"/>
  <c r="B1989" i="14" s="1"/>
  <c r="B1990" i="14" s="1"/>
  <c r="B1991" i="14" s="1"/>
  <c r="B1992" i="14" s="1"/>
  <c r="B1993" i="14" s="1"/>
  <c r="B1994" i="14" s="1"/>
  <c r="B1995" i="14" s="1"/>
  <c r="B1996" i="14" s="1"/>
  <c r="B1997" i="14" s="1"/>
  <c r="B1998" i="14" s="1"/>
  <c r="B1999" i="14" s="1"/>
  <c r="B2000" i="14" s="1"/>
  <c r="B2001" i="14" s="1"/>
  <c r="B2002" i="14" s="1"/>
  <c r="B2003" i="14" s="1"/>
  <c r="B2004" i="14" s="1"/>
  <c r="B2005" i="14" s="1"/>
  <c r="B2006" i="14" s="1"/>
  <c r="B2007" i="14" s="1"/>
  <c r="B2008" i="14" s="1"/>
  <c r="B2009" i="14" s="1"/>
  <c r="B2010" i="14" s="1"/>
  <c r="B2011" i="14" s="1"/>
  <c r="B2012" i="14" s="1"/>
  <c r="B2013" i="14" s="1"/>
  <c r="B2014" i="14" s="1"/>
  <c r="B2015" i="14" s="1"/>
  <c r="B2016" i="14" s="1"/>
  <c r="B2017" i="14" s="1"/>
  <c r="Q1263" i="14"/>
  <c r="B1550" i="14"/>
  <c r="B1551" i="14" s="1"/>
  <c r="B1552" i="14" s="1"/>
  <c r="B1553" i="14" s="1"/>
  <c r="B1554" i="14" s="1"/>
  <c r="B1555" i="14" s="1"/>
  <c r="B1556" i="14" s="1"/>
  <c r="B1557" i="14" s="1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B1569" i="14" s="1"/>
  <c r="B1570" i="14" s="1"/>
  <c r="B1571" i="14" s="1"/>
  <c r="B1572" i="14" s="1"/>
  <c r="B1573" i="14" s="1"/>
  <c r="B1574" i="14" s="1"/>
  <c r="B1575" i="14" s="1"/>
  <c r="B1576" i="14" s="1"/>
  <c r="B1577" i="14" s="1"/>
  <c r="B1578" i="14" s="1"/>
  <c r="B1579" i="14" s="1"/>
  <c r="B1580" i="14" s="1"/>
  <c r="B1581" i="14" s="1"/>
  <c r="B1582" i="14" s="1"/>
  <c r="B1583" i="14" s="1"/>
  <c r="B1584" i="14" s="1"/>
  <c r="B1585" i="14" s="1"/>
  <c r="B1586" i="14" s="1"/>
  <c r="B1587" i="14" s="1"/>
  <c r="B1588" i="14" s="1"/>
  <c r="B1589" i="14" s="1"/>
  <c r="B1590" i="14" s="1"/>
  <c r="B1591" i="14" s="1"/>
  <c r="B1592" i="14" s="1"/>
  <c r="B1593" i="14" s="1"/>
  <c r="B1594" i="14" s="1"/>
  <c r="B1595" i="14" s="1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I1989" i="14"/>
  <c r="Q1989" i="14" s="1"/>
  <c r="Q1963" i="14"/>
  <c r="I1013" i="14"/>
  <c r="K1013" i="14" s="1"/>
  <c r="R735" i="14"/>
  <c r="I1260" i="14"/>
  <c r="Q1260" i="14" s="1"/>
  <c r="I1803" i="14"/>
  <c r="K1803" i="14" s="1"/>
  <c r="B358" i="14"/>
  <c r="B359" i="14" s="1"/>
  <c r="B360" i="14" s="1"/>
  <c r="B361" i="14" s="1"/>
  <c r="B362" i="14" s="1"/>
  <c r="B363" i="14" s="1"/>
  <c r="B364" i="14" s="1"/>
  <c r="B365" i="14" s="1"/>
  <c r="B366" i="14" s="1"/>
  <c r="B367" i="14" s="1"/>
  <c r="B368" i="14" s="1"/>
  <c r="B369" i="14" s="1"/>
  <c r="B370" i="14" s="1"/>
  <c r="B371" i="14" s="1"/>
  <c r="R1954" i="14"/>
  <c r="Q1800" i="14"/>
  <c r="I1059" i="14"/>
  <c r="K1059" i="14" s="1"/>
  <c r="S1059" i="14" s="1"/>
  <c r="K864" i="14"/>
  <c r="I1832" i="14"/>
  <c r="Q1832" i="14" s="1"/>
  <c r="Q249" i="14"/>
  <c r="I988" i="14"/>
  <c r="K988" i="14" s="1"/>
  <c r="M1414" i="14"/>
  <c r="O1414" i="14" s="1"/>
  <c r="Q1432" i="14"/>
  <c r="Q1946" i="14"/>
  <c r="K751" i="14"/>
  <c r="S751" i="14" s="1"/>
  <c r="S778" i="14"/>
  <c r="M1753" i="14"/>
  <c r="O1753" i="14" s="1"/>
  <c r="I188" i="14"/>
  <c r="Q188" i="14" s="1"/>
  <c r="R864" i="14"/>
  <c r="Q1778" i="14"/>
  <c r="M220" i="14"/>
  <c r="O220" i="14" s="1"/>
  <c r="S220" i="14" s="1"/>
  <c r="K1414" i="14"/>
  <c r="Q566" i="14"/>
  <c r="I565" i="14"/>
  <c r="K565" i="14" s="1"/>
  <c r="K911" i="14"/>
  <c r="S911" i="14" s="1"/>
  <c r="K1360" i="14"/>
  <c r="K1463" i="14"/>
  <c r="S1463" i="14" s="1"/>
  <c r="Q878" i="14"/>
  <c r="O436" i="14"/>
  <c r="S436" i="14" s="1"/>
  <c r="I875" i="14"/>
  <c r="K875" i="14" s="1"/>
  <c r="S875" i="14" s="1"/>
  <c r="Q1804" i="14"/>
  <c r="I1038" i="14"/>
  <c r="Q1038" i="14" s="1"/>
  <c r="I921" i="14"/>
  <c r="Q921" i="14" s="1"/>
  <c r="K1833" i="14"/>
  <c r="S1833" i="14" s="1"/>
  <c r="Q1463" i="14"/>
  <c r="K1094" i="14"/>
  <c r="S1094" i="14" s="1"/>
  <c r="K1216" i="14"/>
  <c r="S1216" i="14" s="1"/>
  <c r="I1082" i="14"/>
  <c r="Q1082" i="14" s="1"/>
  <c r="J191" i="14"/>
  <c r="R191" i="14" s="1"/>
  <c r="K777" i="14"/>
  <c r="S777" i="14" s="1"/>
  <c r="Q1689" i="14"/>
  <c r="M1746" i="14"/>
  <c r="O1746" i="14" s="1"/>
  <c r="S1746" i="14" s="1"/>
  <c r="K1997" i="14"/>
  <c r="S1997" i="14" s="1"/>
  <c r="Q225" i="14"/>
  <c r="R1783" i="14"/>
  <c r="S1809" i="14"/>
  <c r="K1808" i="14"/>
  <c r="S1808" i="14" s="1"/>
  <c r="R827" i="14"/>
  <c r="K1310" i="14"/>
  <c r="S2010" i="14"/>
  <c r="K2007" i="14"/>
  <c r="S2007" i="14" s="1"/>
  <c r="R1605" i="14"/>
  <c r="K1960" i="14"/>
  <c r="I1954" i="14"/>
  <c r="K1954" i="14" s="1"/>
  <c r="Q232" i="14"/>
  <c r="K232" i="14"/>
  <c r="S232" i="14" s="1"/>
  <c r="Q192" i="14"/>
  <c r="K192" i="14"/>
  <c r="S192" i="14" s="1"/>
  <c r="Q1267" i="14"/>
  <c r="K1267" i="14"/>
  <c r="S1267" i="14" s="1"/>
  <c r="Q970" i="14"/>
  <c r="K970" i="14"/>
  <c r="S970" i="14" s="1"/>
  <c r="Q312" i="14"/>
  <c r="K312" i="14"/>
  <c r="S312" i="14" s="1"/>
  <c r="Q886" i="14"/>
  <c r="K886" i="14"/>
  <c r="S886" i="14" s="1"/>
  <c r="Q783" i="14"/>
  <c r="K783" i="14"/>
  <c r="S783" i="14" s="1"/>
  <c r="Q1370" i="14"/>
  <c r="K1370" i="14"/>
  <c r="S1370" i="14" s="1"/>
  <c r="Q1138" i="14"/>
  <c r="K1138" i="14"/>
  <c r="S1138" i="14" s="1"/>
  <c r="Q205" i="14"/>
  <c r="O205" i="14"/>
  <c r="S205" i="14" s="1"/>
  <c r="Q1282" i="14"/>
  <c r="K1282" i="14"/>
  <c r="S1282" i="14" s="1"/>
  <c r="Q956" i="14"/>
  <c r="K956" i="14"/>
  <c r="S956" i="14" s="1"/>
  <c r="Q788" i="14"/>
  <c r="K788" i="14"/>
  <c r="S788" i="14" s="1"/>
  <c r="Q1747" i="14"/>
  <c r="Q1784" i="14"/>
  <c r="Q772" i="14"/>
  <c r="K772" i="14"/>
  <c r="S772" i="14" s="1"/>
  <c r="I191" i="14"/>
  <c r="K195" i="14"/>
  <c r="S195" i="14" s="1"/>
  <c r="Q1852" i="14"/>
  <c r="Q251" i="14"/>
  <c r="K251" i="14"/>
  <c r="S251" i="14" s="1"/>
  <c r="Q1245" i="14"/>
  <c r="K1245" i="14"/>
  <c r="S1245" i="14" s="1"/>
  <c r="Q797" i="14"/>
  <c r="K797" i="14"/>
  <c r="S797" i="14" s="1"/>
  <c r="Q267" i="14"/>
  <c r="O267" i="14"/>
  <c r="S267" i="14" s="1"/>
  <c r="Q446" i="14"/>
  <c r="O446" i="14"/>
  <c r="S446" i="14" s="1"/>
  <c r="K1332" i="14"/>
  <c r="S1332" i="14" s="1"/>
  <c r="K238" i="14"/>
  <c r="S238" i="14" s="1"/>
  <c r="Q1062" i="14"/>
  <c r="K1062" i="14"/>
  <c r="S1062" i="14" s="1"/>
  <c r="Q924" i="14"/>
  <c r="K924" i="14"/>
  <c r="S924" i="14" s="1"/>
  <c r="R2053" i="14"/>
  <c r="N2042" i="14"/>
  <c r="N2041" i="14" s="1"/>
  <c r="H17" i="15" s="1"/>
  <c r="O1009" i="14"/>
  <c r="S1009" i="14" s="1"/>
  <c r="Q1009" i="14"/>
  <c r="Q800" i="14"/>
  <c r="K800" i="14"/>
  <c r="S800" i="14" s="1"/>
  <c r="Q791" i="14"/>
  <c r="K791" i="14"/>
  <c r="S791" i="14" s="1"/>
  <c r="Q196" i="14"/>
  <c r="K196" i="14"/>
  <c r="S196" i="14" s="1"/>
  <c r="J2041" i="14"/>
  <c r="K1016" i="14"/>
  <c r="S1016" i="14" s="1"/>
  <c r="Q1016" i="14"/>
  <c r="Q843" i="14"/>
  <c r="K843" i="14"/>
  <c r="S843" i="14" s="1"/>
  <c r="Q1395" i="14"/>
  <c r="K1395" i="14"/>
  <c r="S1395" i="14" s="1"/>
  <c r="Q1381" i="14"/>
  <c r="K1381" i="14"/>
  <c r="S1381" i="14" s="1"/>
  <c r="Q818" i="14"/>
  <c r="K818" i="14"/>
  <c r="S818" i="14" s="1"/>
  <c r="Q895" i="14"/>
  <c r="K895" i="14"/>
  <c r="S895" i="14" s="1"/>
  <c r="K1903" i="14"/>
  <c r="S1903" i="14" s="1"/>
  <c r="I1900" i="14"/>
  <c r="Q934" i="14"/>
  <c r="K934" i="14"/>
  <c r="S934" i="14" s="1"/>
  <c r="Q320" i="14"/>
  <c r="K320" i="14"/>
  <c r="S320" i="14" s="1"/>
  <c r="Q898" i="14"/>
  <c r="K898" i="14"/>
  <c r="S898" i="14" s="1"/>
  <c r="Q1188" i="14"/>
  <c r="K1188" i="14"/>
  <c r="S1188" i="14" s="1"/>
  <c r="Q1252" i="14"/>
  <c r="K1252" i="14"/>
  <c r="S1252" i="14" s="1"/>
  <c r="Q132" i="14"/>
  <c r="K132" i="14"/>
  <c r="S132" i="14" s="1"/>
  <c r="Q246" i="14"/>
  <c r="K246" i="14"/>
  <c r="S246" i="14" s="1"/>
  <c r="Q1164" i="14"/>
  <c r="K1164" i="14"/>
  <c r="S1164" i="14" s="1"/>
  <c r="Q1180" i="14"/>
  <c r="K1180" i="14"/>
  <c r="S1180" i="14" s="1"/>
  <c r="Q1843" i="14"/>
  <c r="Q1001" i="14"/>
  <c r="K1001" i="14"/>
  <c r="S1001" i="14" s="1"/>
  <c r="Q309" i="14"/>
  <c r="K309" i="14"/>
  <c r="S309" i="14" s="1"/>
  <c r="Q366" i="14"/>
  <c r="Q142" i="14"/>
  <c r="K142" i="14"/>
  <c r="S142" i="14" s="1"/>
  <c r="Q207" i="14"/>
  <c r="K207" i="14"/>
  <c r="S207" i="14" s="1"/>
  <c r="I350" i="14"/>
  <c r="K350" i="14" s="1"/>
  <c r="Q597" i="14"/>
  <c r="O597" i="14"/>
  <c r="S597" i="14" s="1"/>
  <c r="Q1349" i="14"/>
  <c r="K1349" i="14"/>
  <c r="S1349" i="14" s="1"/>
  <c r="K1453" i="14"/>
  <c r="S1453" i="14" s="1"/>
  <c r="K853" i="14"/>
  <c r="Q840" i="14"/>
  <c r="K840" i="14"/>
  <c r="S840" i="14" s="1"/>
  <c r="Q875" i="14"/>
  <c r="Q867" i="14"/>
  <c r="K867" i="14"/>
  <c r="S867" i="14" s="1"/>
  <c r="Q760" i="14"/>
  <c r="K760" i="14"/>
  <c r="S760" i="14" s="1"/>
  <c r="I1688" i="14"/>
  <c r="K1688" i="14" s="1"/>
  <c r="S1688" i="14" s="1"/>
  <c r="I1840" i="14"/>
  <c r="K1840" i="14" s="1"/>
  <c r="Q1224" i="14"/>
  <c r="K1224" i="14"/>
  <c r="S1224" i="14" s="1"/>
  <c r="Q830" i="14"/>
  <c r="K830" i="14"/>
  <c r="S830" i="14" s="1"/>
  <c r="M1851" i="14"/>
  <c r="M1840" i="14" s="1"/>
  <c r="M1839" i="14" s="1"/>
  <c r="O1839" i="14" s="1"/>
  <c r="Q1026" i="14"/>
  <c r="K1026" i="14"/>
  <c r="S1026" i="14" s="1"/>
  <c r="I365" i="14"/>
  <c r="Q189" i="14"/>
  <c r="K1963" i="14"/>
  <c r="S1963" i="14" s="1"/>
  <c r="M988" i="14"/>
  <c r="O988" i="14" s="1"/>
  <c r="Q821" i="14"/>
  <c r="K821" i="14"/>
  <c r="S821" i="14" s="1"/>
  <c r="Q1238" i="14"/>
  <c r="K1238" i="14"/>
  <c r="S1238" i="14" s="1"/>
  <c r="Q1274" i="14"/>
  <c r="K1274" i="14"/>
  <c r="S1274" i="14" s="1"/>
  <c r="K340" i="14"/>
  <c r="S340" i="14" s="1"/>
  <c r="Q1041" i="14"/>
  <c r="K1041" i="14"/>
  <c r="S1041" i="14" s="1"/>
  <c r="Q468" i="14"/>
  <c r="O468" i="14"/>
  <c r="S468" i="14" s="1"/>
  <c r="Q1073" i="14"/>
  <c r="K1073" i="14"/>
  <c r="S1073" i="14" s="1"/>
  <c r="Q809" i="14"/>
  <c r="K809" i="14"/>
  <c r="S809" i="14" s="1"/>
  <c r="K724" i="14"/>
  <c r="S724" i="14" s="1"/>
  <c r="Q724" i="14"/>
  <c r="K1231" i="14"/>
  <c r="S1231" i="14" s="1"/>
  <c r="K721" i="14"/>
  <c r="S721" i="14" s="1"/>
  <c r="Q721" i="14"/>
  <c r="M191" i="14"/>
  <c r="O191" i="14" s="1"/>
  <c r="O201" i="14"/>
  <c r="S201" i="14" s="1"/>
  <c r="Q914" i="14"/>
  <c r="K914" i="14"/>
  <c r="S914" i="14" s="1"/>
  <c r="Q1172" i="14"/>
  <c r="K1172" i="14"/>
  <c r="S1172" i="14" s="1"/>
  <c r="Q1123" i="14"/>
  <c r="K1123" i="14"/>
  <c r="S1123" i="14" s="1"/>
  <c r="Q1389" i="14"/>
  <c r="K1389" i="14"/>
  <c r="S1389" i="14" s="1"/>
  <c r="Q1051" i="14"/>
  <c r="K1051" i="14"/>
  <c r="S1051" i="14" s="1"/>
  <c r="Q231" i="14"/>
  <c r="K231" i="14"/>
  <c r="S231" i="14" s="1"/>
  <c r="I443" i="14"/>
  <c r="K443" i="14" s="1"/>
  <c r="Q1355" i="14"/>
  <c r="K1355" i="14"/>
  <c r="S1355" i="14" s="1"/>
  <c r="Q1303" i="14"/>
  <c r="K1303" i="14"/>
  <c r="S1303" i="14" s="1"/>
  <c r="Q1155" i="14"/>
  <c r="K1155" i="14"/>
  <c r="S1155" i="14" s="1"/>
  <c r="I883" i="14"/>
  <c r="Q946" i="14"/>
  <c r="K946" i="14"/>
  <c r="S946" i="14" s="1"/>
  <c r="Q1756" i="14"/>
  <c r="Q1130" i="14"/>
  <c r="K1130" i="14"/>
  <c r="S1130" i="14" s="1"/>
  <c r="Q738" i="14"/>
  <c r="K738" i="14"/>
  <c r="S738" i="14" s="1"/>
  <c r="Q806" i="14"/>
  <c r="K806" i="14"/>
  <c r="S806" i="14" s="1"/>
  <c r="S1797" i="14"/>
  <c r="M248" i="14"/>
  <c r="O248" i="14" s="1"/>
  <c r="S248" i="14" s="1"/>
  <c r="M263" i="14"/>
  <c r="Q465" i="14"/>
  <c r="O465" i="14"/>
  <c r="S465" i="14" s="1"/>
  <c r="Q991" i="14"/>
  <c r="K991" i="14"/>
  <c r="S991" i="14" s="1"/>
  <c r="Q856" i="14"/>
  <c r="K856" i="14"/>
  <c r="S856" i="14" s="1"/>
  <c r="Q2047" i="14"/>
  <c r="S2047" i="14"/>
  <c r="Q304" i="14"/>
  <c r="K304" i="14"/>
  <c r="S304" i="14" s="1"/>
  <c r="R269" i="14"/>
  <c r="Q1296" i="14"/>
  <c r="K1296" i="14"/>
  <c r="S1296" i="14" s="1"/>
  <c r="Q763" i="14"/>
  <c r="K763" i="14"/>
  <c r="S763" i="14" s="1"/>
  <c r="Q471" i="14"/>
  <c r="K471" i="14"/>
  <c r="S471" i="14" s="1"/>
  <c r="Q754" i="14"/>
  <c r="K754" i="14"/>
  <c r="S754" i="14" s="1"/>
  <c r="R235" i="14"/>
  <c r="J1741" i="14"/>
  <c r="E15" i="15" s="1"/>
  <c r="K15" i="15" s="1"/>
  <c r="H384" i="13"/>
  <c r="H383" i="13" s="1"/>
  <c r="R1321" i="14"/>
  <c r="R1460" i="14"/>
  <c r="K1460" i="14"/>
  <c r="S1460" i="14" s="1"/>
  <c r="J1452" i="14"/>
  <c r="R1112" i="14"/>
  <c r="R1196" i="14"/>
  <c r="K1196" i="14"/>
  <c r="S1196" i="14" s="1"/>
  <c r="R1082" i="14"/>
  <c r="R988" i="14"/>
  <c r="R1013" i="14"/>
  <c r="H123" i="13"/>
  <c r="H213" i="13"/>
  <c r="H6" i="13"/>
  <c r="H98" i="13"/>
  <c r="K14" i="15"/>
  <c r="O1560" i="14"/>
  <c r="S1560" i="14" s="1"/>
  <c r="Q1560" i="14"/>
  <c r="M1557" i="14"/>
  <c r="O1557" i="14" s="1"/>
  <c r="Q1545" i="14"/>
  <c r="K1545" i="14"/>
  <c r="S1545" i="14" s="1"/>
  <c r="Q1710" i="14"/>
  <c r="K1710" i="14"/>
  <c r="S1710" i="14" s="1"/>
  <c r="N350" i="14"/>
  <c r="R358" i="14"/>
  <c r="Q1928" i="14"/>
  <c r="K1928" i="14"/>
  <c r="S1928" i="14" s="1"/>
  <c r="Q2006" i="14"/>
  <c r="K2006" i="14"/>
  <c r="S2006" i="14" s="1"/>
  <c r="Q540" i="14"/>
  <c r="K540" i="14"/>
  <c r="S540" i="14" s="1"/>
  <c r="Q1519" i="14"/>
  <c r="K1519" i="14"/>
  <c r="S1519" i="14" s="1"/>
  <c r="Q1579" i="14"/>
  <c r="O1579" i="14"/>
  <c r="S1579" i="14" s="1"/>
  <c r="I1709" i="14"/>
  <c r="Q1958" i="14"/>
  <c r="K1958" i="14"/>
  <c r="S1958" i="14" s="1"/>
  <c r="Q1766" i="14"/>
  <c r="K1766" i="14"/>
  <c r="S1766" i="14" s="1"/>
  <c r="M1360" i="14"/>
  <c r="O1360" i="14" s="1"/>
  <c r="O1375" i="14"/>
  <c r="S1375" i="14" s="1"/>
  <c r="J10" i="14"/>
  <c r="R10" i="14" s="1"/>
  <c r="R24" i="14"/>
  <c r="N211" i="14"/>
  <c r="R211" i="14" s="1"/>
  <c r="R220" i="14"/>
  <c r="N422" i="14"/>
  <c r="R422" i="14" s="1"/>
  <c r="R436" i="14"/>
  <c r="J1922" i="14"/>
  <c r="R1782" i="14"/>
  <c r="N748" i="14"/>
  <c r="N720" i="14" s="1"/>
  <c r="N719" i="14" s="1"/>
  <c r="H12" i="15" s="1"/>
  <c r="Q1729" i="14"/>
  <c r="O1729" i="14"/>
  <c r="S1729" i="14" s="1"/>
  <c r="R1714" i="14"/>
  <c r="M1786" i="14"/>
  <c r="O1792" i="14"/>
  <c r="S1792" i="14" s="1"/>
  <c r="Q1613" i="14"/>
  <c r="O1613" i="14"/>
  <c r="S1613" i="14" s="1"/>
  <c r="Q1808" i="14"/>
  <c r="Q1951" i="14"/>
  <c r="K1951" i="14"/>
  <c r="S1951" i="14" s="1"/>
  <c r="Q1828" i="14"/>
  <c r="K1828" i="14"/>
  <c r="S1828" i="14" s="1"/>
  <c r="Q1937" i="14"/>
  <c r="K1937" i="14"/>
  <c r="S1937" i="14" s="1"/>
  <c r="I780" i="14"/>
  <c r="J545" i="14"/>
  <c r="J1101" i="14"/>
  <c r="R1146" i="14"/>
  <c r="J910" i="14"/>
  <c r="R910" i="14" s="1"/>
  <c r="R911" i="14"/>
  <c r="Q1829" i="14"/>
  <c r="K1829" i="14"/>
  <c r="S1829" i="14" s="1"/>
  <c r="R1960" i="14"/>
  <c r="R1687" i="14"/>
  <c r="J339" i="14"/>
  <c r="R340" i="14"/>
  <c r="N30" i="14"/>
  <c r="R30" i="14" s="1"/>
  <c r="R37" i="14"/>
  <c r="N256" i="14"/>
  <c r="R256" i="14" s="1"/>
  <c r="R263" i="14"/>
  <c r="R1899" i="14"/>
  <c r="J1898" i="14"/>
  <c r="R1898" i="14" s="1"/>
  <c r="Q1563" i="14"/>
  <c r="O1563" i="14"/>
  <c r="S1563" i="14" s="1"/>
  <c r="Q1726" i="14"/>
  <c r="K1726" i="14"/>
  <c r="S1726" i="14" s="1"/>
  <c r="I1753" i="14"/>
  <c r="K1753" i="14" s="1"/>
  <c r="Q1995" i="14"/>
  <c r="K1995" i="14"/>
  <c r="S1995" i="14" s="1"/>
  <c r="Q1998" i="14"/>
  <c r="K1998" i="14"/>
  <c r="S1998" i="14" s="1"/>
  <c r="I1783" i="14"/>
  <c r="K1783" i="14" s="1"/>
  <c r="Q1592" i="14"/>
  <c r="O1592" i="14"/>
  <c r="S1592" i="14" s="1"/>
  <c r="Q1310" i="14"/>
  <c r="O1310" i="14"/>
  <c r="N42" i="14"/>
  <c r="R45" i="14"/>
  <c r="N575" i="14"/>
  <c r="R576" i="14"/>
  <c r="J1215" i="14"/>
  <c r="R1215" i="14" s="1"/>
  <c r="R1582" i="14"/>
  <c r="N1575" i="14"/>
  <c r="J1544" i="14"/>
  <c r="R1557" i="14"/>
  <c r="R853" i="14"/>
  <c r="N451" i="14"/>
  <c r="R462" i="14"/>
  <c r="J748" i="14"/>
  <c r="J720" i="14" s="1"/>
  <c r="J421" i="14"/>
  <c r="E10" i="15" s="1"/>
  <c r="J128" i="14"/>
  <c r="Q572" i="14"/>
  <c r="M565" i="14"/>
  <c r="Q1797" i="14"/>
  <c r="I1321" i="14"/>
  <c r="Q1321" i="14" s="1"/>
  <c r="M1576" i="14"/>
  <c r="O1576" i="14" s="1"/>
  <c r="S1576" i="14" s="1"/>
  <c r="I735" i="14"/>
  <c r="K735" i="14" s="1"/>
  <c r="I769" i="14"/>
  <c r="K769" i="14" s="1"/>
  <c r="I1934" i="14"/>
  <c r="K1934" i="14" s="1"/>
  <c r="S1934" i="14" s="1"/>
  <c r="Q1903" i="14"/>
  <c r="Q195" i="14"/>
  <c r="Q2044" i="14"/>
  <c r="I2043" i="14"/>
  <c r="K2043" i="14" s="1"/>
  <c r="S2043" i="14" s="1"/>
  <c r="M864" i="14"/>
  <c r="Q872" i="14"/>
  <c r="I1338" i="14"/>
  <c r="I1945" i="14"/>
  <c r="K1945" i="14" s="1"/>
  <c r="S1945" i="14" s="1"/>
  <c r="M745" i="14"/>
  <c r="O745" i="14" s="1"/>
  <c r="S745" i="14" s="1"/>
  <c r="Q746" i="14"/>
  <c r="Q2061" i="14"/>
  <c r="M2053" i="14"/>
  <c r="Q1817" i="14"/>
  <c r="M1803" i="14"/>
  <c r="O1803" i="14" s="1"/>
  <c r="M861" i="14"/>
  <c r="O861" i="14" s="1"/>
  <c r="S861" i="14" s="1"/>
  <c r="Q862" i="14"/>
  <c r="M1900" i="14"/>
  <c r="O1900" i="14" s="1"/>
  <c r="Q1909" i="14"/>
  <c r="I1976" i="14"/>
  <c r="Q1924" i="14"/>
  <c r="I1923" i="14"/>
  <c r="Q1986" i="14"/>
  <c r="M1977" i="14"/>
  <c r="I1877" i="14"/>
  <c r="Q1878" i="14"/>
  <c r="Q1916" i="14"/>
  <c r="I1913" i="14"/>
  <c r="K1913" i="14" s="1"/>
  <c r="S1913" i="14" s="1"/>
  <c r="Q1997" i="14"/>
  <c r="M1971" i="14"/>
  <c r="O1971" i="14" s="1"/>
  <c r="S1971" i="14" s="1"/>
  <c r="Q1974" i="14"/>
  <c r="Q1868" i="14"/>
  <c r="I1867" i="14"/>
  <c r="Q1883" i="14"/>
  <c r="I1882" i="14"/>
  <c r="K1882" i="14" s="1"/>
  <c r="S1882" i="14" s="1"/>
  <c r="Q1993" i="14"/>
  <c r="I1992" i="14"/>
  <c r="Q1934" i="14"/>
  <c r="Q1716" i="14"/>
  <c r="I1714" i="14"/>
  <c r="K1714" i="14" s="1"/>
  <c r="M1721" i="14"/>
  <c r="O1721" i="14" s="1"/>
  <c r="S1721" i="14" s="1"/>
  <c r="Q1723" i="14"/>
  <c r="O1554" i="14"/>
  <c r="S1554" i="14" s="1"/>
  <c r="Q1596" i="14"/>
  <c r="I1595" i="14"/>
  <c r="K1595" i="14" s="1"/>
  <c r="S1595" i="14" s="1"/>
  <c r="Q1568" i="14"/>
  <c r="I1565" i="14"/>
  <c r="K1565" i="14" s="1"/>
  <c r="S1565" i="14" s="1"/>
  <c r="M1582" i="14"/>
  <c r="Q1591" i="14"/>
  <c r="M1635" i="14"/>
  <c r="O1635" i="14" s="1"/>
  <c r="S1635" i="14" s="1"/>
  <c r="Q1636" i="14"/>
  <c r="Q1585" i="14"/>
  <c r="I1582" i="14"/>
  <c r="K1582" i="14" s="1"/>
  <c r="Q1550" i="14"/>
  <c r="I1549" i="14"/>
  <c r="K1549" i="14" s="1"/>
  <c r="Q1607" i="14"/>
  <c r="M1606" i="14"/>
  <c r="O1606" i="14" s="1"/>
  <c r="S1606" i="14" s="1"/>
  <c r="I1623" i="14"/>
  <c r="K1623" i="14" s="1"/>
  <c r="Q1626" i="14"/>
  <c r="Q1524" i="14"/>
  <c r="I1523" i="14"/>
  <c r="Q1453" i="14"/>
  <c r="Q911" i="14"/>
  <c r="I910" i="14"/>
  <c r="Q1216" i="14"/>
  <c r="Q965" i="14"/>
  <c r="M964" i="14"/>
  <c r="O964" i="14" s="1"/>
  <c r="S964" i="14" s="1"/>
  <c r="Q1414" i="14"/>
  <c r="I1112" i="14"/>
  <c r="Q1112" i="14" s="1"/>
  <c r="Q1115" i="14"/>
  <c r="Q837" i="14"/>
  <c r="M836" i="14"/>
  <c r="O836" i="14" s="1"/>
  <c r="S836" i="14" s="1"/>
  <c r="I943" i="14"/>
  <c r="K943" i="14" s="1"/>
  <c r="Q726" i="14"/>
  <c r="I723" i="14"/>
  <c r="K723" i="14" s="1"/>
  <c r="S723" i="14" s="1"/>
  <c r="Q1445" i="14"/>
  <c r="I1435" i="14"/>
  <c r="Q1103" i="14"/>
  <c r="I1102" i="14"/>
  <c r="K1102" i="14" s="1"/>
  <c r="S1102" i="14" s="1"/>
  <c r="Q777" i="14"/>
  <c r="M769" i="14"/>
  <c r="O769" i="14" s="1"/>
  <c r="Q1474" i="14"/>
  <c r="I1471" i="14"/>
  <c r="Q1209" i="14"/>
  <c r="I1208" i="14"/>
  <c r="K1208" i="14" s="1"/>
  <c r="S1208" i="14" s="1"/>
  <c r="I1146" i="14"/>
  <c r="Q1149" i="14"/>
  <c r="Q1036" i="14"/>
  <c r="M1035" i="14"/>
  <c r="O1035" i="14" s="1"/>
  <c r="S1035" i="14" s="1"/>
  <c r="Q906" i="14"/>
  <c r="I1378" i="14"/>
  <c r="Q980" i="14"/>
  <c r="I967" i="14"/>
  <c r="Q751" i="14"/>
  <c r="Q556" i="14"/>
  <c r="I553" i="14"/>
  <c r="Q546" i="14"/>
  <c r="Q579" i="14"/>
  <c r="M576" i="14"/>
  <c r="O576" i="14" s="1"/>
  <c r="S576" i="14" s="1"/>
  <c r="Q425" i="14"/>
  <c r="I422" i="14"/>
  <c r="K422" i="14" s="1"/>
  <c r="I474" i="14"/>
  <c r="K474" i="14" s="1"/>
  <c r="S474" i="14" s="1"/>
  <c r="Q480" i="14"/>
  <c r="M422" i="14"/>
  <c r="Q436" i="14"/>
  <c r="Q462" i="14"/>
  <c r="M451" i="14"/>
  <c r="M358" i="14"/>
  <c r="O358" i="14" s="1"/>
  <c r="S358" i="14" s="1"/>
  <c r="Q362" i="14"/>
  <c r="Q340" i="14"/>
  <c r="I339" i="14"/>
  <c r="Q330" i="14"/>
  <c r="I329" i="14"/>
  <c r="Q270" i="14"/>
  <c r="I269" i="14"/>
  <c r="K269" i="14" s="1"/>
  <c r="I235" i="14"/>
  <c r="Q273" i="14"/>
  <c r="M269" i="14"/>
  <c r="I211" i="14"/>
  <c r="Q212" i="14"/>
  <c r="Q257" i="14"/>
  <c r="I256" i="14"/>
  <c r="Q201" i="14"/>
  <c r="I129" i="14"/>
  <c r="I139" i="14"/>
  <c r="K139" i="14" s="1"/>
  <c r="S139" i="14" s="1"/>
  <c r="K1832" i="14" l="1"/>
  <c r="S1832" i="14" s="1"/>
  <c r="I1215" i="14"/>
  <c r="Q1746" i="14"/>
  <c r="M211" i="14"/>
  <c r="Q211" i="14" s="1"/>
  <c r="B595" i="14"/>
  <c r="B596" i="14" s="1"/>
  <c r="B597" i="14" s="1"/>
  <c r="B1817" i="14"/>
  <c r="B1818" i="14" s="1"/>
  <c r="B1819" i="14" s="1"/>
  <c r="B1820" i="14" s="1"/>
  <c r="B1821" i="14" s="1"/>
  <c r="B1822" i="14" s="1"/>
  <c r="B1823" i="14" s="1"/>
  <c r="B1824" i="14" s="1"/>
  <c r="B1825" i="14" s="1"/>
  <c r="B1826" i="14" s="1"/>
  <c r="B1827" i="14" s="1"/>
  <c r="B1828" i="14" s="1"/>
  <c r="B1829" i="14" s="1"/>
  <c r="B1830" i="14" s="1"/>
  <c r="B1831" i="14" s="1"/>
  <c r="B1832" i="14" s="1"/>
  <c r="B1833" i="14" s="1"/>
  <c r="B1834" i="14" s="1"/>
  <c r="B1835" i="14" s="1"/>
  <c r="B1836" i="14" s="1"/>
  <c r="B1837" i="14" s="1"/>
  <c r="B1838" i="14" s="1"/>
  <c r="B1839" i="14" s="1"/>
  <c r="B1840" i="14" s="1"/>
  <c r="B1841" i="14" s="1"/>
  <c r="B1842" i="14" s="1"/>
  <c r="B1843" i="14" s="1"/>
  <c r="B1844" i="14" s="1"/>
  <c r="B1845" i="14" s="1"/>
  <c r="B1846" i="14" s="1"/>
  <c r="B1847" i="14" s="1"/>
  <c r="B1848" i="14" s="1"/>
  <c r="B1849" i="14" s="1"/>
  <c r="B1850" i="14" s="1"/>
  <c r="B1851" i="14" s="1"/>
  <c r="B1852" i="14" s="1"/>
  <c r="B1853" i="14" s="1"/>
  <c r="B1854" i="14" s="1"/>
  <c r="B1855" i="14" s="1"/>
  <c r="Q1059" i="14"/>
  <c r="K188" i="14"/>
  <c r="S188" i="14" s="1"/>
  <c r="S1803" i="14"/>
  <c r="B993" i="14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612" i="14"/>
  <c r="B1613" i="14" s="1"/>
  <c r="B1614" i="14" s="1"/>
  <c r="B1615" i="14" s="1"/>
  <c r="B1616" i="14" s="1"/>
  <c r="B1617" i="14" s="1"/>
  <c r="K1989" i="14"/>
  <c r="S1989" i="14" s="1"/>
  <c r="K1260" i="14"/>
  <c r="S1260" i="14" s="1"/>
  <c r="K191" i="14"/>
  <c r="S191" i="14" s="1"/>
  <c r="Q220" i="14"/>
  <c r="K921" i="14"/>
  <c r="S921" i="14" s="1"/>
  <c r="M1742" i="14"/>
  <c r="M235" i="14"/>
  <c r="O235" i="14" s="1"/>
  <c r="S1310" i="14"/>
  <c r="J905" i="14"/>
  <c r="R905" i="14" s="1"/>
  <c r="J187" i="14"/>
  <c r="E8" i="15" s="1"/>
  <c r="Q1688" i="14"/>
  <c r="O422" i="14"/>
  <c r="S422" i="14" s="1"/>
  <c r="S1414" i="14"/>
  <c r="I1839" i="14"/>
  <c r="K1839" i="14" s="1"/>
  <c r="S1839" i="14" s="1"/>
  <c r="S1753" i="14"/>
  <c r="K1038" i="14"/>
  <c r="S1038" i="14" s="1"/>
  <c r="Q1360" i="14"/>
  <c r="S769" i="14"/>
  <c r="S1360" i="14"/>
  <c r="I1782" i="14"/>
  <c r="K1782" i="14" s="1"/>
  <c r="O1840" i="14"/>
  <c r="S1840" i="14" s="1"/>
  <c r="Q988" i="14"/>
  <c r="R2042" i="14"/>
  <c r="N187" i="14"/>
  <c r="H8" i="15" s="1"/>
  <c r="I748" i="14"/>
  <c r="K748" i="14" s="1"/>
  <c r="Q1753" i="14"/>
  <c r="O1851" i="14"/>
  <c r="S1851" i="14" s="1"/>
  <c r="K1082" i="14"/>
  <c r="S1082" i="14" s="1"/>
  <c r="J1207" i="14"/>
  <c r="R1741" i="14"/>
  <c r="Q1435" i="14"/>
  <c r="K1435" i="14"/>
  <c r="S1435" i="14" s="1"/>
  <c r="Q1215" i="14"/>
  <c r="K1215" i="14"/>
  <c r="S1215" i="14" s="1"/>
  <c r="Q1945" i="14"/>
  <c r="Q780" i="14"/>
  <c r="K780" i="14"/>
  <c r="S780" i="14" s="1"/>
  <c r="K235" i="14"/>
  <c r="K256" i="14"/>
  <c r="O269" i="14"/>
  <c r="S269" i="14" s="1"/>
  <c r="O451" i="14"/>
  <c r="S451" i="14" s="1"/>
  <c r="I1742" i="14"/>
  <c r="K1742" i="14" s="1"/>
  <c r="Q1840" i="14"/>
  <c r="Q248" i="14"/>
  <c r="K339" i="14"/>
  <c r="S339" i="14" s="1"/>
  <c r="S988" i="14"/>
  <c r="Q883" i="14"/>
  <c r="K883" i="14"/>
  <c r="S883" i="14" s="1"/>
  <c r="K211" i="14"/>
  <c r="Q1471" i="14"/>
  <c r="K1471" i="14"/>
  <c r="S1471" i="14" s="1"/>
  <c r="Q910" i="14"/>
  <c r="K910" i="14"/>
  <c r="S910" i="14" s="1"/>
  <c r="M544" i="14"/>
  <c r="O544" i="14" s="1"/>
  <c r="O565" i="14"/>
  <c r="S565" i="14" s="1"/>
  <c r="E17" i="15"/>
  <c r="K17" i="15" s="1"/>
  <c r="R2041" i="14"/>
  <c r="Q1378" i="14"/>
  <c r="K1378" i="14"/>
  <c r="S1378" i="14" s="1"/>
  <c r="Q2053" i="14"/>
  <c r="O2053" i="14"/>
  <c r="S2053" i="14" s="1"/>
  <c r="Q129" i="14"/>
  <c r="K129" i="14"/>
  <c r="S129" i="14" s="1"/>
  <c r="Q191" i="14"/>
  <c r="Q329" i="14"/>
  <c r="K329" i="14"/>
  <c r="S329" i="14" s="1"/>
  <c r="Q1146" i="14"/>
  <c r="K1146" i="14"/>
  <c r="S1146" i="14" s="1"/>
  <c r="I1933" i="14"/>
  <c r="Q1933" i="14" s="1"/>
  <c r="Q1338" i="14"/>
  <c r="K1338" i="14"/>
  <c r="S1338" i="14" s="1"/>
  <c r="Q565" i="14"/>
  <c r="Q1851" i="14"/>
  <c r="K1321" i="14"/>
  <c r="S1321" i="14" s="1"/>
  <c r="M256" i="14"/>
  <c r="O256" i="14" s="1"/>
  <c r="O263" i="14"/>
  <c r="S263" i="14" s="1"/>
  <c r="Q263" i="14"/>
  <c r="K365" i="14"/>
  <c r="S365" i="14" s="1"/>
  <c r="Q365" i="14"/>
  <c r="Q967" i="14"/>
  <c r="K967" i="14"/>
  <c r="S967" i="14" s="1"/>
  <c r="R128" i="14"/>
  <c r="E7" i="15"/>
  <c r="K7" i="15" s="1"/>
  <c r="J9" i="14"/>
  <c r="E6" i="15" s="1"/>
  <c r="R1452" i="14"/>
  <c r="K1112" i="14"/>
  <c r="S1112" i="14" s="1"/>
  <c r="R1101" i="14"/>
  <c r="H53" i="13"/>
  <c r="K1976" i="14"/>
  <c r="R720" i="14"/>
  <c r="R748" i="14"/>
  <c r="N9" i="14"/>
  <c r="H6" i="15" s="1"/>
  <c r="R42" i="14"/>
  <c r="Q1523" i="14"/>
  <c r="K1523" i="14"/>
  <c r="S1523" i="14" s="1"/>
  <c r="Q1576" i="14"/>
  <c r="O1742" i="14"/>
  <c r="J1518" i="14"/>
  <c r="E13" i="15" s="1"/>
  <c r="Q1709" i="14"/>
  <c r="K1709" i="14"/>
  <c r="S1709" i="14" s="1"/>
  <c r="R350" i="14"/>
  <c r="N303" i="14"/>
  <c r="H9" i="15" s="1"/>
  <c r="I1899" i="14"/>
  <c r="K1899" i="14" s="1"/>
  <c r="K1900" i="14"/>
  <c r="S1900" i="14" s="1"/>
  <c r="Q1992" i="14"/>
  <c r="K1992" i="14"/>
  <c r="S1992" i="14" s="1"/>
  <c r="Q1867" i="14"/>
  <c r="K1867" i="14"/>
  <c r="S1867" i="14" s="1"/>
  <c r="Q1877" i="14"/>
  <c r="K1877" i="14"/>
  <c r="S1877" i="14" s="1"/>
  <c r="Q1923" i="14"/>
  <c r="K1923" i="14"/>
  <c r="S1923" i="14" s="1"/>
  <c r="N443" i="14"/>
  <c r="R451" i="14"/>
  <c r="N1544" i="14"/>
  <c r="N1518" i="14" s="1"/>
  <c r="H13" i="15" s="1"/>
  <c r="R1575" i="14"/>
  <c r="R339" i="14"/>
  <c r="J303" i="14"/>
  <c r="Q553" i="14"/>
  <c r="K553" i="14"/>
  <c r="S553" i="14" s="1"/>
  <c r="Q864" i="14"/>
  <c r="O864" i="14"/>
  <c r="S864" i="14" s="1"/>
  <c r="J544" i="14"/>
  <c r="R545" i="14"/>
  <c r="O1786" i="14"/>
  <c r="S1786" i="14" s="1"/>
  <c r="Q1786" i="14"/>
  <c r="M1783" i="14"/>
  <c r="M1575" i="14"/>
  <c r="O1575" i="14" s="1"/>
  <c r="O1582" i="14"/>
  <c r="S1582" i="14" s="1"/>
  <c r="M1976" i="14"/>
  <c r="O1976" i="14" s="1"/>
  <c r="O1977" i="14"/>
  <c r="S1977" i="14" s="1"/>
  <c r="Q1803" i="14"/>
  <c r="N539" i="14"/>
  <c r="H11" i="15" s="1"/>
  <c r="R575" i="14"/>
  <c r="J1866" i="14"/>
  <c r="R1922" i="14"/>
  <c r="M1207" i="14"/>
  <c r="O1207" i="14" s="1"/>
  <c r="M853" i="14"/>
  <c r="Q861" i="14"/>
  <c r="Q2043" i="14"/>
  <c r="I2042" i="14"/>
  <c r="K2042" i="14" s="1"/>
  <c r="M2042" i="14"/>
  <c r="I545" i="14"/>
  <c r="K545" i="14" s="1"/>
  <c r="S545" i="14" s="1"/>
  <c r="I905" i="14"/>
  <c r="Q745" i="14"/>
  <c r="M735" i="14"/>
  <c r="I1922" i="14"/>
  <c r="K1922" i="14" s="1"/>
  <c r="S1922" i="14" s="1"/>
  <c r="Q1977" i="14"/>
  <c r="Q1882" i="14"/>
  <c r="I1881" i="14"/>
  <c r="Q1913" i="14"/>
  <c r="I1912" i="14"/>
  <c r="K1912" i="14" s="1"/>
  <c r="S1912" i="14" s="1"/>
  <c r="Q1971" i="14"/>
  <c r="M1960" i="14"/>
  <c r="O1960" i="14" s="1"/>
  <c r="S1960" i="14" s="1"/>
  <c r="M1899" i="14"/>
  <c r="O1899" i="14" s="1"/>
  <c r="Q1900" i="14"/>
  <c r="Q1721" i="14"/>
  <c r="M1714" i="14"/>
  <c r="I1687" i="14"/>
  <c r="Q1565" i="14"/>
  <c r="I1557" i="14"/>
  <c r="I1605" i="14"/>
  <c r="K1605" i="14" s="1"/>
  <c r="Q1635" i="14"/>
  <c r="M1623" i="14"/>
  <c r="M1605" i="14" s="1"/>
  <c r="O1605" i="14" s="1"/>
  <c r="M1549" i="14"/>
  <c r="Q1554" i="14"/>
  <c r="Q1606" i="14"/>
  <c r="Q1582" i="14"/>
  <c r="I1575" i="14"/>
  <c r="Q1595" i="14"/>
  <c r="I1101" i="14"/>
  <c r="Q1101" i="14" s="1"/>
  <c r="Q1102" i="14"/>
  <c r="M827" i="14"/>
  <c r="Q836" i="14"/>
  <c r="M943" i="14"/>
  <c r="O943" i="14" s="1"/>
  <c r="S943" i="14" s="1"/>
  <c r="Q964" i="14"/>
  <c r="Q723" i="14"/>
  <c r="M1013" i="14"/>
  <c r="Q1035" i="14"/>
  <c r="I1207" i="14"/>
  <c r="Q1208" i="14"/>
  <c r="Q769" i="14"/>
  <c r="I1452" i="14"/>
  <c r="Q1452" i="14" s="1"/>
  <c r="Q576" i="14"/>
  <c r="M575" i="14"/>
  <c r="O575" i="14" s="1"/>
  <c r="S575" i="14" s="1"/>
  <c r="Q474" i="14"/>
  <c r="I421" i="14"/>
  <c r="Q422" i="14"/>
  <c r="M443" i="14"/>
  <c r="Q451" i="14"/>
  <c r="Q339" i="14"/>
  <c r="I303" i="14"/>
  <c r="D9" i="15" s="1"/>
  <c r="Q358" i="14"/>
  <c r="M350" i="14"/>
  <c r="O350" i="14" s="1"/>
  <c r="S350" i="14" s="1"/>
  <c r="Q269" i="14"/>
  <c r="I187" i="14"/>
  <c r="Q139" i="14"/>
  <c r="I128" i="14"/>
  <c r="M47" i="14"/>
  <c r="O47" i="14" s="1"/>
  <c r="S47" i="14" s="1"/>
  <c r="G393" i="13"/>
  <c r="I393" i="13" s="1"/>
  <c r="K29" i="14"/>
  <c r="S29" i="14" s="1"/>
  <c r="I25" i="14"/>
  <c r="K25" i="14" s="1"/>
  <c r="S25" i="14" s="1"/>
  <c r="O211" i="14" l="1"/>
  <c r="B1618" i="14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598" i="14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1015" i="14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K905" i="14"/>
  <c r="M748" i="14"/>
  <c r="S235" i="14"/>
  <c r="Q235" i="14"/>
  <c r="K187" i="14"/>
  <c r="I720" i="14"/>
  <c r="K720" i="14" s="1"/>
  <c r="R187" i="14"/>
  <c r="K1933" i="14"/>
  <c r="S1933" i="14" s="1"/>
  <c r="Q1839" i="14"/>
  <c r="S211" i="14"/>
  <c r="Q1976" i="14"/>
  <c r="M187" i="14"/>
  <c r="G8" i="15" s="1"/>
  <c r="I8" i="15" s="1"/>
  <c r="K1207" i="14"/>
  <c r="S1207" i="14" s="1"/>
  <c r="R1207" i="14"/>
  <c r="J719" i="14"/>
  <c r="R719" i="14" s="1"/>
  <c r="S1742" i="14"/>
  <c r="Q128" i="14"/>
  <c r="D7" i="15"/>
  <c r="F7" i="15" s="1"/>
  <c r="L7" i="15" s="1"/>
  <c r="K128" i="14"/>
  <c r="S128" i="14" s="1"/>
  <c r="Q443" i="14"/>
  <c r="O443" i="14"/>
  <c r="S443" i="14" s="1"/>
  <c r="S256" i="14"/>
  <c r="D8" i="15"/>
  <c r="F8" i="15" s="1"/>
  <c r="K1687" i="14"/>
  <c r="D14" i="15"/>
  <c r="F14" i="15" s="1"/>
  <c r="I1741" i="14"/>
  <c r="D15" i="15" s="1"/>
  <c r="F15" i="15" s="1"/>
  <c r="M2041" i="14"/>
  <c r="O2042" i="14"/>
  <c r="K1452" i="14"/>
  <c r="S1452" i="14" s="1"/>
  <c r="K6" i="15"/>
  <c r="Q256" i="14"/>
  <c r="D10" i="15"/>
  <c r="F10" i="15" s="1"/>
  <c r="K421" i="14"/>
  <c r="Q1207" i="14"/>
  <c r="Q1742" i="14"/>
  <c r="S2042" i="14"/>
  <c r="R1866" i="14"/>
  <c r="E16" i="15"/>
  <c r="R9" i="14"/>
  <c r="K13" i="15"/>
  <c r="K8" i="15"/>
  <c r="I544" i="14"/>
  <c r="K544" i="14" s="1"/>
  <c r="S544" i="14" s="1"/>
  <c r="E9" i="15"/>
  <c r="K303" i="14"/>
  <c r="K1101" i="14"/>
  <c r="S1101" i="14" s="1"/>
  <c r="H22" i="13"/>
  <c r="M720" i="14"/>
  <c r="O720" i="14" s="1"/>
  <c r="O748" i="14"/>
  <c r="S748" i="14" s="1"/>
  <c r="S1899" i="14"/>
  <c r="R1518" i="14"/>
  <c r="Q545" i="14"/>
  <c r="Q1881" i="14"/>
  <c r="K1881" i="14"/>
  <c r="S1881" i="14" s="1"/>
  <c r="Q735" i="14"/>
  <c r="O735" i="14"/>
  <c r="S735" i="14" s="1"/>
  <c r="Q853" i="14"/>
  <c r="O853" i="14"/>
  <c r="S853" i="14" s="1"/>
  <c r="R303" i="14"/>
  <c r="Q1013" i="14"/>
  <c r="O1013" i="14"/>
  <c r="S1013" i="14" s="1"/>
  <c r="Q827" i="14"/>
  <c r="O827" i="14"/>
  <c r="S827" i="14" s="1"/>
  <c r="Q1575" i="14"/>
  <c r="K1575" i="14"/>
  <c r="S1575" i="14" s="1"/>
  <c r="S1605" i="14"/>
  <c r="M1687" i="14"/>
  <c r="O1714" i="14"/>
  <c r="S1714" i="14" s="1"/>
  <c r="R443" i="14"/>
  <c r="N421" i="14"/>
  <c r="Q1623" i="14"/>
  <c r="O1623" i="14"/>
  <c r="S1623" i="14" s="1"/>
  <c r="M1544" i="14"/>
  <c r="O1549" i="14"/>
  <c r="S1549" i="14" s="1"/>
  <c r="Q1557" i="14"/>
  <c r="K1557" i="14"/>
  <c r="S1557" i="14" s="1"/>
  <c r="M1782" i="14"/>
  <c r="O1783" i="14"/>
  <c r="S1783" i="14" s="1"/>
  <c r="Q1783" i="14"/>
  <c r="J539" i="14"/>
  <c r="R544" i="14"/>
  <c r="R1544" i="14"/>
  <c r="S1976" i="14"/>
  <c r="I1544" i="14"/>
  <c r="K1544" i="14" s="1"/>
  <c r="Q2042" i="14"/>
  <c r="I2041" i="14"/>
  <c r="Q1687" i="14"/>
  <c r="Q1714" i="14"/>
  <c r="I1898" i="14"/>
  <c r="K1898" i="14" s="1"/>
  <c r="Q1912" i="14"/>
  <c r="M1954" i="14"/>
  <c r="Q1960" i="14"/>
  <c r="M1898" i="14"/>
  <c r="O1898" i="14" s="1"/>
  <c r="Q1899" i="14"/>
  <c r="Q1922" i="14"/>
  <c r="I1518" i="14"/>
  <c r="D13" i="15" s="1"/>
  <c r="F13" i="15" s="1"/>
  <c r="Q1605" i="14"/>
  <c r="Q1549" i="14"/>
  <c r="M905" i="14"/>
  <c r="Q748" i="14"/>
  <c r="Q943" i="14"/>
  <c r="Q575" i="14"/>
  <c r="M539" i="14"/>
  <c r="M421" i="14"/>
  <c r="M303" i="14"/>
  <c r="Q350" i="14"/>
  <c r="B640" i="14" l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19" i="14"/>
  <c r="B1043" i="14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Q544" i="14"/>
  <c r="I719" i="14"/>
  <c r="D12" i="15" s="1"/>
  <c r="I539" i="14"/>
  <c r="D11" i="15" s="1"/>
  <c r="O187" i="14"/>
  <c r="S187" i="14" s="1"/>
  <c r="S720" i="14"/>
  <c r="Q720" i="14"/>
  <c r="Q187" i="14"/>
  <c r="Q1544" i="14"/>
  <c r="L8" i="15"/>
  <c r="E12" i="15"/>
  <c r="K12" i="15" s="1"/>
  <c r="K1741" i="14"/>
  <c r="Q303" i="14"/>
  <c r="G9" i="15"/>
  <c r="I9" i="15" s="1"/>
  <c r="O303" i="14"/>
  <c r="S303" i="14" s="1"/>
  <c r="G17" i="15"/>
  <c r="I17" i="15" s="1"/>
  <c r="O2041" i="14"/>
  <c r="Q421" i="14"/>
  <c r="G10" i="15"/>
  <c r="O421" i="14"/>
  <c r="S421" i="14" s="1"/>
  <c r="Q2041" i="14"/>
  <c r="D17" i="15"/>
  <c r="F17" i="15" s="1"/>
  <c r="K2041" i="14"/>
  <c r="R421" i="14"/>
  <c r="H10" i="15"/>
  <c r="G11" i="15"/>
  <c r="I11" i="15" s="1"/>
  <c r="O539" i="14"/>
  <c r="O1687" i="14"/>
  <c r="S1687" i="14" s="1"/>
  <c r="G14" i="15"/>
  <c r="I14" i="15" s="1"/>
  <c r="L14" i="15" s="1"/>
  <c r="K16" i="15"/>
  <c r="R539" i="14"/>
  <c r="E11" i="15"/>
  <c r="K9" i="15"/>
  <c r="F9" i="15"/>
  <c r="H437" i="13"/>
  <c r="K1518" i="14"/>
  <c r="S1898" i="14"/>
  <c r="O1782" i="14"/>
  <c r="S1782" i="14" s="1"/>
  <c r="M1741" i="14"/>
  <c r="G15" i="15" s="1"/>
  <c r="I15" i="15" s="1"/>
  <c r="L15" i="15" s="1"/>
  <c r="Q1782" i="14"/>
  <c r="M1518" i="14"/>
  <c r="O1544" i="14"/>
  <c r="S1544" i="14" s="1"/>
  <c r="Q1954" i="14"/>
  <c r="O1954" i="14"/>
  <c r="S1954" i="14" s="1"/>
  <c r="Q905" i="14"/>
  <c r="O905" i="14"/>
  <c r="S905" i="14" s="1"/>
  <c r="I1866" i="14"/>
  <c r="M1866" i="14"/>
  <c r="G16" i="15" s="1"/>
  <c r="I16" i="15" s="1"/>
  <c r="Q1898" i="14"/>
  <c r="M719" i="14"/>
  <c r="G12" i="15" s="1"/>
  <c r="I12" i="15" s="1"/>
  <c r="B651" i="14" l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Q539" i="14"/>
  <c r="K539" i="14"/>
  <c r="B1086" i="14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B1298" i="14" s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333" i="14" s="1"/>
  <c r="B1334" i="14" s="1"/>
  <c r="B1335" i="14" s="1"/>
  <c r="B1336" i="14" s="1"/>
  <c r="B1337" i="14" s="1"/>
  <c r="B1338" i="14" s="1"/>
  <c r="B1339" i="14" s="1"/>
  <c r="B1340" i="14" s="1"/>
  <c r="B1341" i="14" s="1"/>
  <c r="B1342" i="14" s="1"/>
  <c r="B1343" i="14" s="1"/>
  <c r="B1344" i="14" s="1"/>
  <c r="B1345" i="14" s="1"/>
  <c r="B1346" i="14" s="1"/>
  <c r="B1347" i="14" s="1"/>
  <c r="B1348" i="14" s="1"/>
  <c r="B1349" i="14" s="1"/>
  <c r="B1350" i="14" s="1"/>
  <c r="B1351" i="14" s="1"/>
  <c r="B1352" i="14" s="1"/>
  <c r="B1353" i="14" s="1"/>
  <c r="B1354" i="14" s="1"/>
  <c r="B1355" i="14" s="1"/>
  <c r="B1356" i="14" s="1"/>
  <c r="B1357" i="14" s="1"/>
  <c r="B1358" i="14" s="1"/>
  <c r="B1359" i="14" s="1"/>
  <c r="B1360" i="14" s="1"/>
  <c r="B1361" i="14" s="1"/>
  <c r="B1362" i="14" s="1"/>
  <c r="B1363" i="14" s="1"/>
  <c r="B1364" i="14" s="1"/>
  <c r="B1365" i="14" s="1"/>
  <c r="B1366" i="14" s="1"/>
  <c r="B1367" i="14" s="1"/>
  <c r="B1368" i="14" s="1"/>
  <c r="B1369" i="14" s="1"/>
  <c r="B1370" i="14" s="1"/>
  <c r="B1371" i="14" s="1"/>
  <c r="B1372" i="14" s="1"/>
  <c r="B1373" i="14" s="1"/>
  <c r="B1374" i="14" s="1"/>
  <c r="B1375" i="14" s="1"/>
  <c r="B1376" i="14" s="1"/>
  <c r="B1377" i="14" s="1"/>
  <c r="B1378" i="14" s="1"/>
  <c r="B1379" i="14" s="1"/>
  <c r="B1380" i="14" s="1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1414" i="14" s="1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B1460" i="14" s="1"/>
  <c r="B1461" i="14" s="1"/>
  <c r="B1462" i="14" s="1"/>
  <c r="B1463" i="14" s="1"/>
  <c r="B1464" i="14" s="1"/>
  <c r="B1465" i="14" s="1"/>
  <c r="B1466" i="14" s="1"/>
  <c r="B1467" i="14" s="1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K719" i="14"/>
  <c r="S2041" i="14"/>
  <c r="I10" i="15"/>
  <c r="L10" i="15" s="1"/>
  <c r="F12" i="15"/>
  <c r="L12" i="15" s="1"/>
  <c r="S539" i="14"/>
  <c r="L9" i="15"/>
  <c r="K10" i="15"/>
  <c r="H5" i="15"/>
  <c r="H19" i="15" s="1"/>
  <c r="O1518" i="14"/>
  <c r="S1518" i="14" s="1"/>
  <c r="G13" i="15"/>
  <c r="I13" i="15" s="1"/>
  <c r="L13" i="15" s="1"/>
  <c r="L17" i="15"/>
  <c r="K1866" i="14"/>
  <c r="D16" i="15"/>
  <c r="F16" i="15" s="1"/>
  <c r="L16" i="15" s="1"/>
  <c r="F11" i="15"/>
  <c r="L11" i="15" s="1"/>
  <c r="K11" i="15"/>
  <c r="E5" i="15"/>
  <c r="H480" i="13"/>
  <c r="Q1866" i="14"/>
  <c r="O1866" i="14"/>
  <c r="Q719" i="14"/>
  <c r="O719" i="14"/>
  <c r="S719" i="14" s="1"/>
  <c r="O1741" i="14"/>
  <c r="S1741" i="14" s="1"/>
  <c r="Q1741" i="14"/>
  <c r="Q1518" i="14"/>
  <c r="J25" i="15"/>
  <c r="G472" i="13"/>
  <c r="G426" i="13"/>
  <c r="G429" i="13"/>
  <c r="G432" i="13"/>
  <c r="G420" i="13"/>
  <c r="G435" i="13"/>
  <c r="G423" i="13"/>
  <c r="G411" i="13"/>
  <c r="G345" i="13"/>
  <c r="I345" i="13" s="1"/>
  <c r="G302" i="13"/>
  <c r="G51" i="13"/>
  <c r="K5" i="15" l="1"/>
  <c r="S1866" i="14"/>
  <c r="G410" i="13"/>
  <c r="I410" i="13" s="1"/>
  <c r="I411" i="13"/>
  <c r="G50" i="13"/>
  <c r="I51" i="13"/>
  <c r="G422" i="13"/>
  <c r="I422" i="13" s="1"/>
  <c r="I423" i="13"/>
  <c r="G300" i="13"/>
  <c r="I300" i="13" s="1"/>
  <c r="I302" i="13"/>
  <c r="G434" i="13"/>
  <c r="I434" i="13" s="1"/>
  <c r="I435" i="13"/>
  <c r="G425" i="13"/>
  <c r="I425" i="13" s="1"/>
  <c r="I426" i="13"/>
  <c r="G431" i="13"/>
  <c r="I431" i="13" s="1"/>
  <c r="I432" i="13"/>
  <c r="G428" i="13"/>
  <c r="I428" i="13" s="1"/>
  <c r="I429" i="13"/>
  <c r="G419" i="13"/>
  <c r="I419" i="13" s="1"/>
  <c r="I420" i="13"/>
  <c r="G471" i="13"/>
  <c r="I471" i="13" s="1"/>
  <c r="I472" i="13"/>
  <c r="H482" i="13"/>
  <c r="E4" i="15"/>
  <c r="J27" i="15"/>
  <c r="J26" i="15"/>
  <c r="J24" i="15"/>
  <c r="G49" i="13" l="1"/>
  <c r="I50" i="13"/>
  <c r="K4" i="15"/>
  <c r="E18" i="15"/>
  <c r="I58" i="14"/>
  <c r="K58" i="14" s="1"/>
  <c r="S58" i="14" s="1"/>
  <c r="I56" i="14"/>
  <c r="K56" i="14" s="1"/>
  <c r="S56" i="14" s="1"/>
  <c r="I54" i="14"/>
  <c r="K54" i="14" s="1"/>
  <c r="S54" i="14" s="1"/>
  <c r="M49" i="14"/>
  <c r="O49" i="14" s="1"/>
  <c r="S49" i="14" s="1"/>
  <c r="G455" i="13"/>
  <c r="G418" i="13"/>
  <c r="I418" i="13" s="1"/>
  <c r="G403" i="13"/>
  <c r="I403" i="13" s="1"/>
  <c r="G390" i="13"/>
  <c r="I390" i="13" s="1"/>
  <c r="G215" i="13"/>
  <c r="G36" i="13"/>
  <c r="I36" i="13" s="1"/>
  <c r="G27" i="13"/>
  <c r="I27" i="13" s="1"/>
  <c r="G214" i="13" l="1"/>
  <c r="I214" i="13" s="1"/>
  <c r="I215" i="13"/>
  <c r="I455" i="13"/>
  <c r="G454" i="13"/>
  <c r="G491" i="13"/>
  <c r="I49" i="13"/>
  <c r="K20" i="15"/>
  <c r="K41" i="15"/>
  <c r="G407" i="13"/>
  <c r="I407" i="13" s="1"/>
  <c r="G404" i="13"/>
  <c r="I404" i="13" s="1"/>
  <c r="G86" i="13"/>
  <c r="I86" i="13" s="1"/>
  <c r="G83" i="13"/>
  <c r="I83" i="13" s="1"/>
  <c r="I454" i="13" l="1"/>
  <c r="G452" i="13"/>
  <c r="I452" i="13" s="1"/>
  <c r="B24" i="15"/>
  <c r="G391" i="13"/>
  <c r="I44" i="14"/>
  <c r="I43" i="14" s="1"/>
  <c r="G449" i="13"/>
  <c r="G447" i="13"/>
  <c r="G10" i="13"/>
  <c r="I10" i="13" s="1"/>
  <c r="B443" i="13"/>
  <c r="B444" i="13" s="1"/>
  <c r="B445" i="13" s="1"/>
  <c r="B446" i="13" s="1"/>
  <c r="B447" i="13" s="1"/>
  <c r="B448" i="13" s="1"/>
  <c r="B449" i="13" s="1"/>
  <c r="B450" i="13" s="1"/>
  <c r="B451" i="13" s="1"/>
  <c r="B452" i="13" s="1"/>
  <c r="B453" i="13" s="1"/>
  <c r="B454" i="13" s="1"/>
  <c r="B455" i="13" s="1"/>
  <c r="B456" i="13" s="1"/>
  <c r="B457" i="13" s="1"/>
  <c r="B458" i="13" s="1"/>
  <c r="B459" i="13" s="1"/>
  <c r="M40" i="14"/>
  <c r="G355" i="13"/>
  <c r="G107" i="13"/>
  <c r="G110" i="13"/>
  <c r="G402" i="13"/>
  <c r="I402" i="13" s="1"/>
  <c r="G417" i="13"/>
  <c r="I417" i="13" s="1"/>
  <c r="Q49" i="14"/>
  <c r="I31" i="14"/>
  <c r="I36" i="14"/>
  <c r="G35" i="13"/>
  <c r="G25" i="13"/>
  <c r="I62" i="14"/>
  <c r="I55" i="14"/>
  <c r="I59" i="14"/>
  <c r="I26" i="14"/>
  <c r="I22" i="14"/>
  <c r="I19" i="14"/>
  <c r="I12" i="14"/>
  <c r="J36" i="15"/>
  <c r="J33" i="15" s="1"/>
  <c r="Q64" i="14"/>
  <c r="Q63" i="14"/>
  <c r="Q60" i="14"/>
  <c r="Q58" i="14"/>
  <c r="Q57" i="14"/>
  <c r="Q56" i="14"/>
  <c r="Q54" i="14"/>
  <c r="Q52" i="14"/>
  <c r="Q51" i="14"/>
  <c r="Q50" i="14"/>
  <c r="Q47" i="14"/>
  <c r="Q41" i="14"/>
  <c r="Q39" i="14"/>
  <c r="Q35" i="14"/>
  <c r="Q34" i="14"/>
  <c r="Q33" i="14"/>
  <c r="Q29" i="14"/>
  <c r="Q28" i="14"/>
  <c r="Q27" i="14"/>
  <c r="Q25" i="14"/>
  <c r="Q23" i="14"/>
  <c r="Q20" i="14"/>
  <c r="Q17" i="14"/>
  <c r="Q16" i="14"/>
  <c r="Q15" i="14"/>
  <c r="Q14" i="14"/>
  <c r="Q13" i="14"/>
  <c r="M46" i="14"/>
  <c r="M38" i="14"/>
  <c r="G381" i="13"/>
  <c r="G378" i="13"/>
  <c r="G375" i="13"/>
  <c r="G371" i="13"/>
  <c r="G366" i="13"/>
  <c r="G363" i="13"/>
  <c r="G359" i="13"/>
  <c r="G352" i="13"/>
  <c r="G348" i="13"/>
  <c r="G343" i="13"/>
  <c r="G340" i="13"/>
  <c r="G336" i="13"/>
  <c r="G331" i="13"/>
  <c r="G328" i="13"/>
  <c r="G324" i="13"/>
  <c r="G319" i="13"/>
  <c r="G316" i="13"/>
  <c r="G312" i="13"/>
  <c r="G309" i="13"/>
  <c r="G306" i="13"/>
  <c r="G299" i="13"/>
  <c r="I299" i="13" s="1"/>
  <c r="G297" i="13"/>
  <c r="G293" i="13"/>
  <c r="G290" i="13"/>
  <c r="G285" i="13"/>
  <c r="G282" i="13"/>
  <c r="G278" i="13"/>
  <c r="G273" i="13"/>
  <c r="G267" i="13"/>
  <c r="G261" i="13"/>
  <c r="G255" i="13"/>
  <c r="G252" i="13"/>
  <c r="G247" i="13"/>
  <c r="G244" i="13"/>
  <c r="G240" i="13"/>
  <c r="G237" i="13"/>
  <c r="G233" i="13"/>
  <c r="G229" i="13"/>
  <c r="G225" i="13"/>
  <c r="G219" i="13"/>
  <c r="G211" i="13"/>
  <c r="G208" i="13"/>
  <c r="G204" i="13"/>
  <c r="G200" i="13"/>
  <c r="G196" i="13"/>
  <c r="G192" i="13"/>
  <c r="G187" i="13"/>
  <c r="G182" i="13"/>
  <c r="G177" i="13"/>
  <c r="G172" i="13"/>
  <c r="G166" i="13"/>
  <c r="G161" i="13"/>
  <c r="G156" i="13"/>
  <c r="G151" i="13"/>
  <c r="G146" i="13"/>
  <c r="G141" i="13"/>
  <c r="G136" i="13"/>
  <c r="G131" i="13"/>
  <c r="G126" i="13"/>
  <c r="G121" i="13"/>
  <c r="G82" i="13"/>
  <c r="G117" i="13"/>
  <c r="G114" i="13"/>
  <c r="G103" i="13"/>
  <c r="G100" i="13"/>
  <c r="G96" i="13"/>
  <c r="G92" i="13"/>
  <c r="G89" i="13"/>
  <c r="G85" i="13"/>
  <c r="G78" i="13"/>
  <c r="G74" i="13"/>
  <c r="G70" i="13"/>
  <c r="G67" i="13"/>
  <c r="G55" i="13"/>
  <c r="G58" i="13"/>
  <c r="G61" i="13"/>
  <c r="G29" i="13"/>
  <c r="I29" i="13" s="1"/>
  <c r="G44" i="13"/>
  <c r="G41" i="13"/>
  <c r="G38" i="13"/>
  <c r="I38" i="13" s="1"/>
  <c r="G32" i="13"/>
  <c r="I32" i="13" s="1"/>
  <c r="G17" i="13"/>
  <c r="G9" i="13"/>
  <c r="G12" i="13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M48" i="14"/>
  <c r="O48" i="14" s="1"/>
  <c r="S48" i="14" s="1"/>
  <c r="B474" i="13" l="1"/>
  <c r="G69" i="13"/>
  <c r="I69" i="13" s="1"/>
  <c r="I70" i="13"/>
  <c r="G88" i="13"/>
  <c r="I88" i="13" s="1"/>
  <c r="I89" i="13"/>
  <c r="G120" i="13"/>
  <c r="I121" i="13"/>
  <c r="G160" i="13"/>
  <c r="I161" i="13"/>
  <c r="G218" i="13"/>
  <c r="I219" i="13"/>
  <c r="G272" i="13"/>
  <c r="I273" i="13"/>
  <c r="G318" i="13"/>
  <c r="I318" i="13" s="1"/>
  <c r="I319" i="13"/>
  <c r="G351" i="13"/>
  <c r="I351" i="13" s="1"/>
  <c r="I352" i="13"/>
  <c r="G446" i="13"/>
  <c r="I446" i="13" s="1"/>
  <c r="I447" i="13"/>
  <c r="G8" i="13"/>
  <c r="I8" i="13" s="1"/>
  <c r="I9" i="13"/>
  <c r="G73" i="13"/>
  <c r="I73" i="13" s="1"/>
  <c r="I74" i="13"/>
  <c r="G113" i="13"/>
  <c r="I113" i="13" s="1"/>
  <c r="I114" i="13"/>
  <c r="G66" i="13"/>
  <c r="I66" i="13" s="1"/>
  <c r="I67" i="13"/>
  <c r="G84" i="13"/>
  <c r="I84" i="13" s="1"/>
  <c r="I85" i="13"/>
  <c r="G99" i="13"/>
  <c r="I99" i="13" s="1"/>
  <c r="I100" i="13"/>
  <c r="G81" i="13"/>
  <c r="I81" i="13" s="1"/>
  <c r="I82" i="13"/>
  <c r="G135" i="13"/>
  <c r="I136" i="13"/>
  <c r="G155" i="13"/>
  <c r="I156" i="13"/>
  <c r="G176" i="13"/>
  <c r="I177" i="13"/>
  <c r="G195" i="13"/>
  <c r="I196" i="13"/>
  <c r="G210" i="13"/>
  <c r="I210" i="13" s="1"/>
  <c r="I211" i="13"/>
  <c r="G232" i="13"/>
  <c r="I233" i="13"/>
  <c r="G246" i="13"/>
  <c r="I246" i="13" s="1"/>
  <c r="I247" i="13"/>
  <c r="G266" i="13"/>
  <c r="I267" i="13"/>
  <c r="G284" i="13"/>
  <c r="I284" i="13" s="1"/>
  <c r="I285" i="13"/>
  <c r="G315" i="13"/>
  <c r="I315" i="13" s="1"/>
  <c r="I316" i="13"/>
  <c r="G330" i="13"/>
  <c r="I330" i="13" s="1"/>
  <c r="I331" i="13"/>
  <c r="G347" i="13"/>
  <c r="I347" i="13" s="1"/>
  <c r="I348" i="13"/>
  <c r="G365" i="13"/>
  <c r="I365" i="13" s="1"/>
  <c r="I366" i="13"/>
  <c r="G380" i="13"/>
  <c r="I380" i="13" s="1"/>
  <c r="I381" i="13"/>
  <c r="G34" i="13"/>
  <c r="I34" i="13" s="1"/>
  <c r="I35" i="13"/>
  <c r="G106" i="13"/>
  <c r="I106" i="13" s="1"/>
  <c r="I107" i="13"/>
  <c r="G389" i="13"/>
  <c r="I389" i="13" s="1"/>
  <c r="I391" i="13"/>
  <c r="G11" i="13"/>
  <c r="I11" i="13" s="1"/>
  <c r="I12" i="13"/>
  <c r="G60" i="13"/>
  <c r="I60" i="13" s="1"/>
  <c r="I61" i="13"/>
  <c r="G102" i="13"/>
  <c r="I102" i="13" s="1"/>
  <c r="I103" i="13"/>
  <c r="G140" i="13"/>
  <c r="I141" i="13"/>
  <c r="G181" i="13"/>
  <c r="I182" i="13"/>
  <c r="G199" i="13"/>
  <c r="I200" i="13"/>
  <c r="G236" i="13"/>
  <c r="I236" i="13" s="1"/>
  <c r="I237" i="13"/>
  <c r="G251" i="13"/>
  <c r="I251" i="13" s="1"/>
  <c r="I252" i="13"/>
  <c r="G289" i="13"/>
  <c r="I289" i="13" s="1"/>
  <c r="I290" i="13"/>
  <c r="G305" i="13"/>
  <c r="I305" i="13" s="1"/>
  <c r="I306" i="13"/>
  <c r="G335" i="13"/>
  <c r="I335" i="13" s="1"/>
  <c r="I336" i="13"/>
  <c r="G370" i="13"/>
  <c r="I370" i="13" s="1"/>
  <c r="I371" i="13"/>
  <c r="G354" i="13"/>
  <c r="I354" i="13" s="1"/>
  <c r="I355" i="13"/>
  <c r="G40" i="13"/>
  <c r="I40" i="13" s="1"/>
  <c r="I41" i="13"/>
  <c r="G57" i="13"/>
  <c r="I57" i="13" s="1"/>
  <c r="I58" i="13"/>
  <c r="G91" i="13"/>
  <c r="I91" i="13" s="1"/>
  <c r="I92" i="13"/>
  <c r="G125" i="13"/>
  <c r="I126" i="13"/>
  <c r="G145" i="13"/>
  <c r="I146" i="13"/>
  <c r="G165" i="13"/>
  <c r="I166" i="13"/>
  <c r="G186" i="13"/>
  <c r="I187" i="13"/>
  <c r="G203" i="13"/>
  <c r="I204" i="13"/>
  <c r="G224" i="13"/>
  <c r="I225" i="13"/>
  <c r="G239" i="13"/>
  <c r="I239" i="13" s="1"/>
  <c r="I240" i="13"/>
  <c r="G254" i="13"/>
  <c r="I254" i="13" s="1"/>
  <c r="I255" i="13"/>
  <c r="G277" i="13"/>
  <c r="I278" i="13"/>
  <c r="G292" i="13"/>
  <c r="I292" i="13" s="1"/>
  <c r="I293" i="13"/>
  <c r="G308" i="13"/>
  <c r="I308" i="13" s="1"/>
  <c r="I309" i="13"/>
  <c r="G323" i="13"/>
  <c r="I323" i="13" s="1"/>
  <c r="I324" i="13"/>
  <c r="G339" i="13"/>
  <c r="I339" i="13" s="1"/>
  <c r="I340" i="13"/>
  <c r="G358" i="13"/>
  <c r="I358" i="13" s="1"/>
  <c r="I359" i="13"/>
  <c r="G374" i="13"/>
  <c r="I374" i="13" s="1"/>
  <c r="I375" i="13"/>
  <c r="G448" i="13"/>
  <c r="I448" i="13" s="1"/>
  <c r="I449" i="13"/>
  <c r="G16" i="13"/>
  <c r="I16" i="13" s="1"/>
  <c r="I17" i="13"/>
  <c r="G43" i="13"/>
  <c r="I43" i="13" s="1"/>
  <c r="I44" i="13"/>
  <c r="G54" i="13"/>
  <c r="I54" i="13" s="1"/>
  <c r="I55" i="13"/>
  <c r="G77" i="13"/>
  <c r="I77" i="13" s="1"/>
  <c r="I78" i="13"/>
  <c r="G95" i="13"/>
  <c r="I96" i="13"/>
  <c r="G116" i="13"/>
  <c r="I116" i="13" s="1"/>
  <c r="I117" i="13"/>
  <c r="G130" i="13"/>
  <c r="I131" i="13"/>
  <c r="G150" i="13"/>
  <c r="I151" i="13"/>
  <c r="G171" i="13"/>
  <c r="I172" i="13"/>
  <c r="G191" i="13"/>
  <c r="I192" i="13"/>
  <c r="G207" i="13"/>
  <c r="I207" i="13" s="1"/>
  <c r="I208" i="13"/>
  <c r="G228" i="13"/>
  <c r="I229" i="13"/>
  <c r="G243" i="13"/>
  <c r="I243" i="13" s="1"/>
  <c r="I244" i="13"/>
  <c r="G260" i="13"/>
  <c r="I261" i="13"/>
  <c r="G281" i="13"/>
  <c r="I281" i="13" s="1"/>
  <c r="I282" i="13"/>
  <c r="G296" i="13"/>
  <c r="I296" i="13" s="1"/>
  <c r="I297" i="13"/>
  <c r="G311" i="13"/>
  <c r="I311" i="13" s="1"/>
  <c r="I312" i="13"/>
  <c r="G327" i="13"/>
  <c r="I327" i="13" s="1"/>
  <c r="I328" i="13"/>
  <c r="G342" i="13"/>
  <c r="I342" i="13" s="1"/>
  <c r="I343" i="13"/>
  <c r="G362" i="13"/>
  <c r="I362" i="13" s="1"/>
  <c r="I363" i="13"/>
  <c r="G377" i="13"/>
  <c r="I377" i="13" s="1"/>
  <c r="I378" i="13"/>
  <c r="G24" i="13"/>
  <c r="I24" i="13" s="1"/>
  <c r="I25" i="13"/>
  <c r="G451" i="13"/>
  <c r="G109" i="13"/>
  <c r="I109" i="13" s="1"/>
  <c r="I110" i="13"/>
  <c r="Q19" i="14"/>
  <c r="K19" i="14"/>
  <c r="S19" i="14" s="1"/>
  <c r="Q59" i="14"/>
  <c r="K59" i="14"/>
  <c r="S59" i="14" s="1"/>
  <c r="Q44" i="14"/>
  <c r="K44" i="14"/>
  <c r="S44" i="14" s="1"/>
  <c r="I11" i="14"/>
  <c r="K12" i="14"/>
  <c r="S12" i="14" s="1"/>
  <c r="Q43" i="14"/>
  <c r="K43" i="14"/>
  <c r="S43" i="14" s="1"/>
  <c r="Q38" i="14"/>
  <c r="O38" i="14"/>
  <c r="S38" i="14" s="1"/>
  <c r="I21" i="14"/>
  <c r="K22" i="14"/>
  <c r="S22" i="14" s="1"/>
  <c r="Q55" i="14"/>
  <c r="K55" i="14"/>
  <c r="S55" i="14" s="1"/>
  <c r="Q36" i="14"/>
  <c r="K36" i="14"/>
  <c r="S36" i="14" s="1"/>
  <c r="Q46" i="14"/>
  <c r="O46" i="14"/>
  <c r="S46" i="14" s="1"/>
  <c r="Q26" i="14"/>
  <c r="K26" i="14"/>
  <c r="S26" i="14" s="1"/>
  <c r="Q62" i="14"/>
  <c r="K62" i="14"/>
  <c r="S62" i="14" s="1"/>
  <c r="Q31" i="14"/>
  <c r="K31" i="14"/>
  <c r="S31" i="14" s="1"/>
  <c r="Q40" i="14"/>
  <c r="O40" i="14"/>
  <c r="S40" i="14" s="1"/>
  <c r="I42" i="14"/>
  <c r="K42" i="14" s="1"/>
  <c r="B50" i="13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I61" i="14"/>
  <c r="B25" i="15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I32" i="14"/>
  <c r="I53" i="14"/>
  <c r="M37" i="14"/>
  <c r="G415" i="13"/>
  <c r="G72" i="13"/>
  <c r="I72" i="13" s="1"/>
  <c r="J23" i="15"/>
  <c r="G295" i="13"/>
  <c r="Q12" i="14"/>
  <c r="M45" i="14"/>
  <c r="G65" i="13"/>
  <c r="I65" i="13" s="1"/>
  <c r="I18" i="14"/>
  <c r="Q22" i="14"/>
  <c r="Q48" i="14"/>
  <c r="I24" i="14"/>
  <c r="G445" i="13"/>
  <c r="G388" i="13"/>
  <c r="G385" i="13" s="1"/>
  <c r="G28" i="13"/>
  <c r="G338" i="13" l="1"/>
  <c r="G112" i="13"/>
  <c r="I112" i="13" s="1"/>
  <c r="G250" i="13"/>
  <c r="I250" i="13" s="1"/>
  <c r="G350" i="13"/>
  <c r="G497" i="13" s="1"/>
  <c r="G98" i="13"/>
  <c r="I98" i="13" s="1"/>
  <c r="G326" i="13"/>
  <c r="G498" i="13" s="1"/>
  <c r="G105" i="13"/>
  <c r="I105" i="13" s="1"/>
  <c r="G373" i="13"/>
  <c r="I373" i="13" s="1"/>
  <c r="I388" i="13"/>
  <c r="I385" i="13" s="1"/>
  <c r="G304" i="13"/>
  <c r="G499" i="13" s="1"/>
  <c r="G170" i="13"/>
  <c r="I170" i="13" s="1"/>
  <c r="I171" i="13"/>
  <c r="G276" i="13"/>
  <c r="I276" i="13" s="1"/>
  <c r="I277" i="13"/>
  <c r="G202" i="13"/>
  <c r="I202" i="13" s="1"/>
  <c r="I203" i="13"/>
  <c r="G124" i="13"/>
  <c r="I124" i="13" s="1"/>
  <c r="I125" i="13"/>
  <c r="G180" i="13"/>
  <c r="I180" i="13" s="1"/>
  <c r="I181" i="13"/>
  <c r="G265" i="13"/>
  <c r="I265" i="13" s="1"/>
  <c r="I266" i="13"/>
  <c r="G231" i="13"/>
  <c r="I231" i="13" s="1"/>
  <c r="I232" i="13"/>
  <c r="G194" i="13"/>
  <c r="I194" i="13" s="1"/>
  <c r="I195" i="13"/>
  <c r="G271" i="13"/>
  <c r="I271" i="13" s="1"/>
  <c r="I272" i="13"/>
  <c r="G159" i="13"/>
  <c r="I159" i="13" s="1"/>
  <c r="I160" i="13"/>
  <c r="G361" i="13"/>
  <c r="G23" i="13"/>
  <c r="I23" i="13" s="1"/>
  <c r="I28" i="13"/>
  <c r="G87" i="13"/>
  <c r="I87" i="13" s="1"/>
  <c r="G242" i="13"/>
  <c r="I242" i="13" s="1"/>
  <c r="G414" i="13"/>
  <c r="I414" i="13" s="1"/>
  <c r="I415" i="13"/>
  <c r="G206" i="13"/>
  <c r="G444" i="13"/>
  <c r="I445" i="13"/>
  <c r="G493" i="13"/>
  <c r="I338" i="13"/>
  <c r="G494" i="13"/>
  <c r="I295" i="13"/>
  <c r="G450" i="13"/>
  <c r="I450" i="13" s="1"/>
  <c r="I451" i="13"/>
  <c r="G129" i="13"/>
  <c r="I129" i="13" s="1"/>
  <c r="I130" i="13"/>
  <c r="G94" i="13"/>
  <c r="I94" i="13" s="1"/>
  <c r="I95" i="13"/>
  <c r="G164" i="13"/>
  <c r="I164" i="13" s="1"/>
  <c r="I165" i="13"/>
  <c r="G154" i="13"/>
  <c r="I154" i="13" s="1"/>
  <c r="I155" i="13"/>
  <c r="G235" i="13"/>
  <c r="I235" i="13" s="1"/>
  <c r="G80" i="13"/>
  <c r="I80" i="13" s="1"/>
  <c r="G7" i="13"/>
  <c r="G314" i="13"/>
  <c r="G280" i="13"/>
  <c r="G259" i="13"/>
  <c r="I259" i="13" s="1"/>
  <c r="I260" i="13"/>
  <c r="G227" i="13"/>
  <c r="I227" i="13" s="1"/>
  <c r="I228" i="13"/>
  <c r="G190" i="13"/>
  <c r="I190" i="13" s="1"/>
  <c r="I191" i="13"/>
  <c r="G149" i="13"/>
  <c r="I149" i="13" s="1"/>
  <c r="I150" i="13"/>
  <c r="G223" i="13"/>
  <c r="I223" i="13" s="1"/>
  <c r="I224" i="13"/>
  <c r="G185" i="13"/>
  <c r="I185" i="13" s="1"/>
  <c r="I186" i="13"/>
  <c r="G144" i="13"/>
  <c r="I144" i="13" s="1"/>
  <c r="I145" i="13"/>
  <c r="G198" i="13"/>
  <c r="I198" i="13" s="1"/>
  <c r="I199" i="13"/>
  <c r="G139" i="13"/>
  <c r="I139" i="13" s="1"/>
  <c r="I140" i="13"/>
  <c r="G175" i="13"/>
  <c r="I175" i="13" s="1"/>
  <c r="I176" i="13"/>
  <c r="G134" i="13"/>
  <c r="I134" i="13" s="1"/>
  <c r="I135" i="13"/>
  <c r="G217" i="13"/>
  <c r="I217" i="13" s="1"/>
  <c r="I218" i="13"/>
  <c r="G119" i="13"/>
  <c r="I120" i="13"/>
  <c r="Q37" i="14"/>
  <c r="O37" i="14"/>
  <c r="S37" i="14" s="1"/>
  <c r="Q18" i="14"/>
  <c r="K18" i="14"/>
  <c r="S18" i="14" s="1"/>
  <c r="Q53" i="14"/>
  <c r="K53" i="14"/>
  <c r="S53" i="14" s="1"/>
  <c r="Q61" i="14"/>
  <c r="K61" i="14"/>
  <c r="S61" i="14" s="1"/>
  <c r="Q11" i="14"/>
  <c r="K11" i="14"/>
  <c r="S11" i="14" s="1"/>
  <c r="Q32" i="14"/>
  <c r="K32" i="14"/>
  <c r="S32" i="14" s="1"/>
  <c r="Q24" i="14"/>
  <c r="K24" i="14"/>
  <c r="S24" i="14" s="1"/>
  <c r="M42" i="14"/>
  <c r="O45" i="14"/>
  <c r="S45" i="14" s="1"/>
  <c r="Q21" i="14"/>
  <c r="K21" i="14"/>
  <c r="S21" i="14" s="1"/>
  <c r="I30" i="14"/>
  <c r="K30" i="14" s="1"/>
  <c r="B301" i="13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s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B374" i="13" s="1"/>
  <c r="B375" i="13" s="1"/>
  <c r="B376" i="13" s="1"/>
  <c r="B377" i="13" s="1"/>
  <c r="B378" i="13" s="1"/>
  <c r="B379" i="13" s="1"/>
  <c r="B380" i="13" s="1"/>
  <c r="B381" i="13" s="1"/>
  <c r="B382" i="13" s="1"/>
  <c r="B383" i="13" s="1"/>
  <c r="B384" i="13" s="1"/>
  <c r="B385" i="13" s="1"/>
  <c r="B386" i="13" s="1"/>
  <c r="B387" i="13" s="1"/>
  <c r="B388" i="13" s="1"/>
  <c r="B389" i="13" s="1"/>
  <c r="B390" i="13" s="1"/>
  <c r="B391" i="13" s="1"/>
  <c r="B392" i="13" s="1"/>
  <c r="B393" i="13" s="1"/>
  <c r="B394" i="13" s="1"/>
  <c r="B395" i="13" s="1"/>
  <c r="B396" i="13" s="1"/>
  <c r="B397" i="13" s="1"/>
  <c r="B398" i="13" s="1"/>
  <c r="B399" i="13" s="1"/>
  <c r="B400" i="13" s="1"/>
  <c r="B401" i="13" s="1"/>
  <c r="B402" i="13" s="1"/>
  <c r="B403" i="13" s="1"/>
  <c r="M30" i="14"/>
  <c r="Q45" i="14"/>
  <c r="I10" i="14"/>
  <c r="G490" i="13" l="1"/>
  <c r="I350" i="13"/>
  <c r="I326" i="13"/>
  <c r="I304" i="13"/>
  <c r="G53" i="13"/>
  <c r="I53" i="13" s="1"/>
  <c r="G496" i="13"/>
  <c r="I280" i="13"/>
  <c r="G443" i="13"/>
  <c r="I444" i="13"/>
  <c r="G123" i="13"/>
  <c r="I206" i="13"/>
  <c r="G495" i="13"/>
  <c r="I314" i="13"/>
  <c r="G488" i="13"/>
  <c r="G500" i="13"/>
  <c r="I119" i="13"/>
  <c r="G213" i="13"/>
  <c r="G384" i="13"/>
  <c r="I384" i="13" s="1"/>
  <c r="G6" i="13"/>
  <c r="I6" i="13" s="1"/>
  <c r="I7" i="13"/>
  <c r="G492" i="13"/>
  <c r="I361" i="13"/>
  <c r="M9" i="14"/>
  <c r="O9" i="14" s="1"/>
  <c r="O30" i="14"/>
  <c r="S30" i="14" s="1"/>
  <c r="Q42" i="14"/>
  <c r="O42" i="14"/>
  <c r="S42" i="14" s="1"/>
  <c r="Q10" i="14"/>
  <c r="K10" i="14"/>
  <c r="S10" i="14" s="1"/>
  <c r="B404" i="13"/>
  <c r="B405" i="13" s="1"/>
  <c r="Q30" i="14"/>
  <c r="I9" i="14"/>
  <c r="K9" i="14" s="1"/>
  <c r="J7" i="15"/>
  <c r="G22" i="13" l="1"/>
  <c r="I22" i="13" s="1"/>
  <c r="G6" i="15"/>
  <c r="I6" i="15" s="1"/>
  <c r="I5" i="15" s="1"/>
  <c r="G502" i="13"/>
  <c r="I499" i="13" s="1"/>
  <c r="G383" i="13"/>
  <c r="I383" i="13" s="1"/>
  <c r="S9" i="14"/>
  <c r="G474" i="13"/>
  <c r="I443" i="13"/>
  <c r="G489" i="13"/>
  <c r="I213" i="13"/>
  <c r="G487" i="13"/>
  <c r="I123" i="13"/>
  <c r="D6" i="15"/>
  <c r="Q9" i="14"/>
  <c r="J10" i="15"/>
  <c r="J17" i="15"/>
  <c r="J14" i="15"/>
  <c r="J9" i="15"/>
  <c r="J13" i="15"/>
  <c r="J8" i="15"/>
  <c r="G437" i="13" l="1"/>
  <c r="B406" i="13"/>
  <c r="B407" i="13" s="1"/>
  <c r="B408" i="13" s="1"/>
  <c r="B409" i="13" s="1"/>
  <c r="B410" i="13" s="1"/>
  <c r="B411" i="13" s="1"/>
  <c r="B412" i="13" s="1"/>
  <c r="B413" i="13" s="1"/>
  <c r="B414" i="13" s="1"/>
  <c r="B415" i="13" s="1"/>
  <c r="B416" i="13" s="1"/>
  <c r="B417" i="13" s="1"/>
  <c r="B418" i="13" s="1"/>
  <c r="B419" i="13" s="1"/>
  <c r="B420" i="13" s="1"/>
  <c r="B421" i="13" s="1"/>
  <c r="B422" i="13" s="1"/>
  <c r="B423" i="13" s="1"/>
  <c r="B424" i="13" s="1"/>
  <c r="B425" i="13" s="1"/>
  <c r="B426" i="13" s="1"/>
  <c r="B427" i="13" s="1"/>
  <c r="B428" i="13" s="1"/>
  <c r="B429" i="13" s="1"/>
  <c r="B430" i="13" s="1"/>
  <c r="B431" i="13" s="1"/>
  <c r="B432" i="13" s="1"/>
  <c r="B433" i="13" s="1"/>
  <c r="B434" i="13" s="1"/>
  <c r="B435" i="13" s="1"/>
  <c r="B436" i="13" s="1"/>
  <c r="B437" i="13" s="1"/>
  <c r="J6" i="15"/>
  <c r="F6" i="15"/>
  <c r="G480" i="13"/>
  <c r="D4" i="15" s="1"/>
  <c r="I437" i="13"/>
  <c r="I480" i="13" s="1"/>
  <c r="I482" i="13" s="1"/>
  <c r="G486" i="13"/>
  <c r="G481" i="13"/>
  <c r="G4" i="15" s="1"/>
  <c r="I4" i="15" s="1"/>
  <c r="I19" i="15" s="1"/>
  <c r="I474" i="13"/>
  <c r="I481" i="13" s="1"/>
  <c r="J15" i="15"/>
  <c r="F5" i="15" l="1"/>
  <c r="L5" i="15" s="1"/>
  <c r="L6" i="15"/>
  <c r="G482" i="13"/>
  <c r="G504" i="13" s="1"/>
  <c r="J4" i="15"/>
  <c r="F4" i="15"/>
  <c r="G5" i="15"/>
  <c r="J11" i="15"/>
  <c r="J12" i="15"/>
  <c r="J16" i="15"/>
  <c r="F18" i="15" l="1"/>
  <c r="L4" i="15"/>
  <c r="G19" i="15"/>
  <c r="D5" i="15"/>
  <c r="J5" i="15" s="1"/>
  <c r="L41" i="15" l="1"/>
  <c r="L20" i="15"/>
  <c r="D18" i="15"/>
  <c r="J41" i="15"/>
  <c r="J20" i="15"/>
</calcChain>
</file>

<file path=xl/sharedStrings.xml><?xml version="1.0" encoding="utf-8"?>
<sst xmlns="http://schemas.openxmlformats.org/spreadsheetml/2006/main" count="3585" uniqueCount="683">
  <si>
    <t>Dotácie na strategické športy</t>
  </si>
  <si>
    <t>PROGRAM   8: ŠPORT A MLÁDEŽ</t>
  </si>
  <si>
    <t>Základná škola, Na dolinách 27, Trenčín</t>
  </si>
  <si>
    <t>Základná umelecká škola Karola Pádivého, Nám. SNP 2, Trenčín</t>
  </si>
  <si>
    <t>Nová letná plaváreň - KR</t>
  </si>
  <si>
    <t>Bazovského Galéria</t>
  </si>
  <si>
    <t>KC Kubra</t>
  </si>
  <si>
    <t>Kultúrne centrum seniorov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</si>
  <si>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</si>
  <si>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</si>
  <si>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</si>
  <si>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</si>
  <si>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Zakladná škola, Bezručova 66, Trenčín</t>
  </si>
  <si>
    <t>Zakladná škola, Dlhé Hony 1, Trenčín</t>
  </si>
  <si>
    <t>Materská škola, Šafárikova 11, Trenčín</t>
  </si>
  <si>
    <t>DHZ Záblatie</t>
  </si>
  <si>
    <t>DHZ Opatová</t>
  </si>
  <si>
    <t>DHZ Kubrica</t>
  </si>
  <si>
    <t>Mestské hospodárstvo a správa lesov, m.r.o, Trenčín</t>
  </si>
  <si>
    <t>Základná škola, Východná 9, Trenčín</t>
  </si>
  <si>
    <t>Dotácie na šport a mládež</t>
  </si>
  <si>
    <t>Dotácie na výnimočné akcie</t>
  </si>
  <si>
    <t>Dotácie na mládež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</si>
  <si>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</si>
  <si>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</si>
  <si>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</si>
  <si>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</si>
  <si>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</si>
  <si>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</si>
  <si>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</si>
  <si>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</si>
  <si>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</si>
  <si>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</si>
  <si>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</si>
  <si>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</si>
  <si>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 ý d a v k y</t>
  </si>
  <si>
    <t>Výsledok hospodárenia</t>
  </si>
  <si>
    <t>Križovatka pod starým mostom a CSS - rekonštrukcia</t>
  </si>
  <si>
    <t>Chodník križovatka Majerská, Kasárenská, Na Kamenci</t>
  </si>
  <si>
    <t>Chodník Hanzlíkovská</t>
  </si>
  <si>
    <t>Rekonštrukcia Mierového námestia</t>
  </si>
  <si>
    <t>Napojenie Ul.Opatovská na Ul.Armádna pri VÚO</t>
  </si>
  <si>
    <t>PROGRAM   1: MANAŽMENT a PLÁNOVANIE</t>
  </si>
  <si>
    <t>Mesto Trenčín</t>
  </si>
  <si>
    <t>Kapitálové príjmy spolu</t>
  </si>
  <si>
    <t>PRÍJMY Spolu</t>
  </si>
  <si>
    <t>Rozvoz stravy</t>
  </si>
  <si>
    <t>Nozdrkovský chodník v úseku ČOV</t>
  </si>
  <si>
    <t>Miestne médiá</t>
  </si>
  <si>
    <t>Fontány</t>
  </si>
  <si>
    <t>Verejné toalety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</si>
  <si>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</si>
  <si>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</si>
  <si>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</si>
  <si>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</si>
  <si>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</si>
  <si>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</si>
  <si>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</si>
  <si>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</si>
  <si>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</si>
  <si>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</si>
  <si>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Pokuty, penále a iné sankcie</t>
  </si>
  <si>
    <t>Licencie</t>
  </si>
  <si>
    <t>Nocľaháreň</t>
  </si>
  <si>
    <t>Podporná činnosť</t>
  </si>
  <si>
    <t>Nákup budov, objektov alebo ich častí</t>
  </si>
  <si>
    <t>Zariadenie pre seniorov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</si>
  <si>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</si>
  <si>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</si>
  <si>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</si>
  <si>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</si>
  <si>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</si>
  <si>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</si>
  <si>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</si>
  <si>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</si>
  <si>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</si>
  <si>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</si>
  <si>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</si>
  <si>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</si>
  <si>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</si>
  <si>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0960</t>
  </si>
  <si>
    <t>0111</t>
  </si>
  <si>
    <t>0820</t>
  </si>
  <si>
    <t>1040</t>
  </si>
  <si>
    <t>1012</t>
  </si>
  <si>
    <t>1020</t>
  </si>
  <si>
    <t>Implementácia projektov EU</t>
  </si>
  <si>
    <t>09602</t>
  </si>
  <si>
    <t>71 44</t>
  </si>
  <si>
    <t>MŠ Halašu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</si>
  <si>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</si>
  <si>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</si>
  <si>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</si>
  <si>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</si>
  <si>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</si>
  <si>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</si>
  <si>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</si>
  <si>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Správa SZTN</t>
  </si>
  <si>
    <t>72 42</t>
  </si>
  <si>
    <t>ZŠ Potočná</t>
  </si>
  <si>
    <t>71 38</t>
  </si>
  <si>
    <t>71 37</t>
  </si>
  <si>
    <t>71 51</t>
  </si>
  <si>
    <t>MŠ Pri Parku</t>
  </si>
  <si>
    <t>71 40</t>
  </si>
  <si>
    <t>MŠ  Turkovej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</si>
  <si>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</si>
  <si>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</si>
  <si>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</si>
  <si>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</si>
  <si>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</si>
  <si>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</si>
  <si>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</si>
  <si>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</si>
  <si>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</si>
  <si>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</si>
  <si>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</si>
  <si>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</si>
  <si>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</si>
  <si>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</si>
  <si>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</si>
  <si>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kategória</t>
  </si>
  <si>
    <t>položka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</si>
  <si>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</si>
  <si>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</si>
  <si>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</si>
  <si>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</si>
  <si>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</si>
  <si>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</si>
  <si>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</si>
  <si>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</si>
  <si>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</si>
  <si>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</si>
  <si>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</si>
  <si>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</si>
  <si>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</si>
  <si>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</si>
  <si>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</si>
  <si>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</si>
  <si>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</si>
  <si>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</si>
  <si>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</si>
  <si>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</si>
  <si>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</si>
  <si>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</si>
  <si>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</si>
  <si>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</si>
  <si>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</si>
  <si>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</si>
  <si>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</si>
  <si>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</si>
  <si>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</si>
  <si>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</si>
  <si>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</si>
  <si>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</si>
  <si>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</si>
  <si>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</si>
  <si>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</si>
  <si>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</si>
  <si>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</si>
  <si>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</si>
  <si>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</si>
  <si>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</si>
  <si>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</si>
  <si>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</si>
  <si>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</si>
  <si>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</si>
  <si>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</si>
  <si>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</si>
  <si>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</si>
  <si>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</si>
  <si>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</si>
  <si>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</si>
  <si>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</si>
  <si>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</si>
  <si>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</si>
  <si>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Príjem z predaja pozemkov a nehmotných aktív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</si>
  <si>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</si>
  <si>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</si>
  <si>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</si>
  <si>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</si>
  <si>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</si>
  <si>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Ostatné príjmy</t>
  </si>
  <si>
    <t>Z odvodov z hazardných hier a iných podobných hier</t>
  </si>
  <si>
    <t>Klientske centrum</t>
  </si>
  <si>
    <t>Organizácia kultúrnych podujatí</t>
  </si>
  <si>
    <t>Obnova rodinných pomerov</t>
  </si>
  <si>
    <t>Prepravná služba SSMT</t>
  </si>
  <si>
    <t>Obstarávanie kapitálových aktív</t>
  </si>
  <si>
    <t>Nákup dopravných prostriedkov všetkých druhov</t>
  </si>
  <si>
    <t>Denné centrá pre seniorov</t>
  </si>
  <si>
    <t>Podpora seniorov</t>
  </si>
  <si>
    <t>Zabezpečovanie volieb</t>
  </si>
  <si>
    <t>0810</t>
  </si>
  <si>
    <t>Dotácie na šport</t>
  </si>
  <si>
    <t>Transfery v rámci verejnej správy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</si>
  <si>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</si>
  <si>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</si>
  <si>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</si>
  <si>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</si>
  <si>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</si>
  <si>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</si>
  <si>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</si>
  <si>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</si>
  <si>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</si>
  <si>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</si>
  <si>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</si>
  <si>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</si>
  <si>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</si>
  <si>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</si>
  <si>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</si>
  <si>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</si>
  <si>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</si>
  <si>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</si>
  <si>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</si>
  <si>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</si>
  <si>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</si>
  <si>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</si>
  <si>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</si>
  <si>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</si>
  <si>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</si>
  <si>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</si>
  <si>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</si>
  <si>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</si>
  <si>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</si>
  <si>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</si>
  <si>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</si>
  <si>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Administratívne poplatky</t>
  </si>
  <si>
    <t>Ostatné poplatky</t>
  </si>
  <si>
    <t>Granty a transfery</t>
  </si>
  <si>
    <t>Tuzemské bežné granty a transfery</t>
  </si>
  <si>
    <t>Iné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</si>
  <si>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</si>
  <si>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</si>
  <si>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</si>
  <si>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</si>
  <si>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</si>
  <si>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</si>
  <si>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</si>
  <si>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Zo štátneho rozpočtu okrem transferu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</si>
  <si>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</si>
  <si>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</si>
  <si>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</si>
  <si>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</si>
  <si>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</si>
  <si>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</si>
  <si>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</si>
  <si>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</si>
  <si>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</si>
  <si>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</si>
  <si>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KC Stred</t>
  </si>
  <si>
    <t>Príjmy z podnikania a z vlastníctva majetku</t>
  </si>
  <si>
    <t>Príjmy z vlastníctva</t>
  </si>
  <si>
    <t>Z prenajatých budov, priestorov a objektov</t>
  </si>
  <si>
    <t>Z prenajatých strojov, prístrojov, zariadení, techniky a náradia</t>
  </si>
  <si>
    <t>Poplatky a platby z nepriemyselného a náhodného predaja a služieb</t>
  </si>
  <si>
    <t>Za predaj výrobkov, tovarov a služieb</t>
  </si>
  <si>
    <t>Zneškodňovanie odpadu</t>
  </si>
  <si>
    <t>Autobusová doprava SAD Trenčín</t>
  </si>
  <si>
    <t>0560</t>
  </si>
  <si>
    <t>0473</t>
  </si>
  <si>
    <t>Cestovný ruch</t>
  </si>
  <si>
    <t>Skládka Zámostie</t>
  </si>
  <si>
    <t>0112</t>
  </si>
  <si>
    <t>Daň. a rozp.agenda mesta a účtov.</t>
  </si>
  <si>
    <t>Autodoprava</t>
  </si>
  <si>
    <t>Mobilná ľadová plocha</t>
  </si>
  <si>
    <t>Ďalšie administratívne a iné poplatky a platby</t>
  </si>
  <si>
    <t>Za znečisťovanie ovzdušia</t>
  </si>
  <si>
    <t>Príjem z predaja kapitálových aktív</t>
  </si>
  <si>
    <t>Výnos dane z príjmov poukázaný územnej samospráve</t>
  </si>
  <si>
    <t>Daňové príjmy</t>
  </si>
  <si>
    <t>Dane z príjmov a kapitálového majetku</t>
  </si>
  <si>
    <t>Dane z príjmov fyzickej osoby</t>
  </si>
  <si>
    <t>Z pozemkov</t>
  </si>
  <si>
    <t>Dane z majetku</t>
  </si>
  <si>
    <t>Daň z nehnuteľností</t>
  </si>
  <si>
    <t>Zo stavieb</t>
  </si>
  <si>
    <t>Z bytov a nebytových priestorov v bytovom dome</t>
  </si>
  <si>
    <t>Za psa</t>
  </si>
  <si>
    <t>Dane za tovary a služby</t>
  </si>
  <si>
    <t>Dane za špecifické služby</t>
  </si>
  <si>
    <t>Za ubytovanie</t>
  </si>
  <si>
    <t>Za užívanie verejného priestranstva</t>
  </si>
  <si>
    <t>Za komunálne odpady a drobné stavebné odpady</t>
  </si>
  <si>
    <t>Z prenajatých pozemkov</t>
  </si>
  <si>
    <t>Vzdelávanie zamestnancov</t>
  </si>
  <si>
    <t>ÚPSVR - rodinné prídavky</t>
  </si>
  <si>
    <t>MPSVaR - soc.zabezp. ZOS</t>
  </si>
  <si>
    <t>Vojnové hroby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</si>
  <si>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</si>
  <si>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</si>
  <si>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</si>
  <si>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</si>
  <si>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</si>
  <si>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Plavecký kurz pre deti predškolského veku</t>
  </si>
  <si>
    <t>MK Jahodová - slepá ulica</t>
  </si>
  <si>
    <t>Námestie študentov</t>
  </si>
  <si>
    <t>MČ Juh / mestské zásahy - Workout a Seniori cvičisko v parku nad Južankou</t>
  </si>
  <si>
    <t>Otoč MHD Sihoť</t>
  </si>
  <si>
    <t>Priechod pre chodcov pri Fiate</t>
  </si>
  <si>
    <t>Nízkoprahové denné centrum</t>
  </si>
  <si>
    <t>Správa a údržba komunikácií</t>
  </si>
  <si>
    <t>Statická doprava</t>
  </si>
  <si>
    <t>Dotácie v oblasti školstva, vzdelávania a výchovy</t>
  </si>
  <si>
    <t>Za stravné - zamestnanci</t>
  </si>
  <si>
    <t xml:space="preserve">Nízkoprahové denné centrum </t>
  </si>
  <si>
    <t>Materská škola</t>
  </si>
  <si>
    <t>Za predaj výrobkov, tovarov a služieb - ubytovanie</t>
  </si>
  <si>
    <t>Za predaj výrobkov, tovarov a služieb - stravovanie</t>
  </si>
  <si>
    <t>Za predaj výrobkov, tovarov a služieb - zaopatrenie</t>
  </si>
  <si>
    <t>ZOS 24 hod starostlivosť</t>
  </si>
  <si>
    <t>Denný a týždenný pobyt</t>
  </si>
  <si>
    <t>Celoročný pobyt</t>
  </si>
  <si>
    <t>Za predaj výrobkov, tovarov a služieb - staroba</t>
  </si>
  <si>
    <t>Za predaj výrobkov, tovarov a služieb - invalidi</t>
  </si>
  <si>
    <t xml:space="preserve">Opatrovateľská služba </t>
  </si>
  <si>
    <t>Členské do OOCR</t>
  </si>
  <si>
    <t>Trafostanica - prekládka (Mládežnícka ul.)</t>
  </si>
  <si>
    <t>Rekonštrukcia veľkej zasadacej miestnosti</t>
  </si>
  <si>
    <t>Trafostanica - prekládka (gr.-kat.kostol)</t>
  </si>
  <si>
    <t>Okresná org. Jednoty dôchodcov na Slovensku v Trenčíne z toho:</t>
  </si>
  <si>
    <t>Hospic milosrdných sestier - dotácia na činnosť</t>
  </si>
  <si>
    <t>Jednota dôchodcov - ZO č. 01</t>
  </si>
  <si>
    <t>Jednota dôchodcov - ZO č. 02</t>
  </si>
  <si>
    <t>Jednota dôchodcov - ZO č. 05</t>
  </si>
  <si>
    <t>Jednota dôchodcov - ZO č. 06</t>
  </si>
  <si>
    <t>Jednota dôchodcov - ZO č. 19</t>
  </si>
  <si>
    <t>Jednota dôchodcov - ZO č. 27</t>
  </si>
  <si>
    <t>Jednota dôchodcov - ZO č. 30</t>
  </si>
  <si>
    <t>Prípojka elektrickej energie</t>
  </si>
  <si>
    <t>HK Dukla a.s. - dotácia na nájom nebytových priestorov, energie a ľadovú plochu</t>
  </si>
  <si>
    <t>HK Dukla n.o.  - dotácia na nájom nebytových priestorov, energie a ľadovú plochu</t>
  </si>
  <si>
    <t>Kraso Trenčín o.z. - dotácia na nájom nebytových priestorov, energie a ľadovú plochu</t>
  </si>
  <si>
    <t>FRYSLA Slovakia s.r.o. - dotácia na nájom nebytových priestorov , energie a ľadovú plochu</t>
  </si>
  <si>
    <t>TJ Družstevník Záblatie - dotácia na činnosť</t>
  </si>
  <si>
    <t>TJ Družstevník Opatová - dotácia na činnosť</t>
  </si>
  <si>
    <t>Tanečný kluby Dukla Trenčín - Laugaricio Cup</t>
  </si>
  <si>
    <t>Zníženie energetickej náročnosti budovy</t>
  </si>
  <si>
    <t>Pohoda Festival s.r.o. - Festival Pohoda</t>
  </si>
  <si>
    <t>Rekonštrukcia exteriéru KS Zlatovce</t>
  </si>
  <si>
    <t>Horyzonty o.z. - HoryZonty</t>
  </si>
  <si>
    <t>Kolomaž o.z. - Sám na javisku</t>
  </si>
  <si>
    <t>LampART o.z. - činnosť</t>
  </si>
  <si>
    <t>OZ Trenčiansky ÚTULOK - dotácia na prevádzku a činnosť</t>
  </si>
  <si>
    <t>Poradenstvo - bytové problémy</t>
  </si>
  <si>
    <t>Normotvorná činnosť mesta</t>
  </si>
  <si>
    <t>Komunikácia s verej.inštitúciami v mene mesta</t>
  </si>
  <si>
    <t>Kontrola činnosti samosprávy</t>
  </si>
  <si>
    <t>453: Prevod hospodárskeho výsledku za predchádzajúci rok</t>
  </si>
  <si>
    <t>454: Prevod z rezervného fondu</t>
  </si>
  <si>
    <t>513: Prijatie dlhodobého úveru</t>
  </si>
  <si>
    <t>514: Prijatie úveru zo ŠFRB</t>
  </si>
  <si>
    <t>R O Z P O Č E T    2018</t>
  </si>
  <si>
    <t>Splácanie úrokov a ostatné platby súvisiace s úverom</t>
  </si>
  <si>
    <t>Príjem z parkovného</t>
  </si>
  <si>
    <t>ÚPP a dokumentácie, príprava ÚPN CMZ</t>
  </si>
  <si>
    <t>ÚPP a dokumentácie, štúdie</t>
  </si>
  <si>
    <t>Spoluúčasť na projektoch EÚ</t>
  </si>
  <si>
    <t>Osobné motorové vozidlo</t>
  </si>
  <si>
    <t>Hardvér</t>
  </si>
  <si>
    <t>Softvér</t>
  </si>
  <si>
    <t>Rozšírenie cintorína Opatová</t>
  </si>
  <si>
    <t>Maják na auto</t>
  </si>
  <si>
    <t>Modernizácia kamerového systému Mestskej polície v Trenčíne</t>
  </si>
  <si>
    <t>Rampy 2 ks - kúpa</t>
  </si>
  <si>
    <t>Obnova MŠ Šafárikova 11</t>
  </si>
  <si>
    <t>Obnova MŠ Opatovská 654/39</t>
  </si>
  <si>
    <t>Dopravné ihrisko</t>
  </si>
  <si>
    <t>Detské ihriská</t>
  </si>
  <si>
    <t>PD Park pre Úspech</t>
  </si>
  <si>
    <t xml:space="preserve">Klimatizácia </t>
  </si>
  <si>
    <t>Vybudovanie stojísk polopodzemných kontajnerov ul. Kvetná</t>
  </si>
  <si>
    <t>Softwarové vybavenie pre aplikáciu elektronickej registratúry</t>
  </si>
  <si>
    <t>Jednorazové dávky sociálnej pomoci</t>
  </si>
  <si>
    <t>Kúpa 48 nájomných bytov</t>
  </si>
  <si>
    <t>Komplexná svetelno-technická štúdia prioritných opatrení rekonštrukcie VO</t>
  </si>
  <si>
    <t>SO/RO</t>
  </si>
  <si>
    <t>Reštaurovanie súsošia na stĺpe na Mierovom námestí</t>
  </si>
  <si>
    <t>Cyklotrasy</t>
  </si>
  <si>
    <t>Výstavba chodníkov Záblatie Sigôtky, Záblatská ulica</t>
  </si>
  <si>
    <t>Sprístupnenie južného opevnenia Trenčianskeho hradu</t>
  </si>
  <si>
    <t>Nové parkovacie miesta</t>
  </si>
  <si>
    <t>Príprava rozpočtov</t>
  </si>
  <si>
    <t>Statická doprava Šmidkeho</t>
  </si>
  <si>
    <t>Statická doprava Dlhé Hony</t>
  </si>
  <si>
    <t>Statická doprava Dlhé Hony, Inovecká - vnútrobloky</t>
  </si>
  <si>
    <t>Statická doprava Dlhé Hony - Smažienka</t>
  </si>
  <si>
    <t>Gagarinova - vybúranie chodníka pri MŠ</t>
  </si>
  <si>
    <t>456: Zábezpeky - verejné obstarávanie</t>
  </si>
  <si>
    <t>819: Zábezpeky verejné obstarávanie</t>
  </si>
  <si>
    <t>Detské ihriská a oddychové zóny</t>
  </si>
  <si>
    <t>Statická doprava Bazovského</t>
  </si>
  <si>
    <t>Statická doprava Západná</t>
  </si>
  <si>
    <t>Statická doprava Strojárenská</t>
  </si>
  <si>
    <t>Statická doprava Cintorínska</t>
  </si>
  <si>
    <t>Statická doprava Strojárenská - vnútrobloky</t>
  </si>
  <si>
    <t>Riešenie statickej dopravy a prístupovej komunikácie Opatovská</t>
  </si>
  <si>
    <t>Riešenie statickej dopravy na Žilinskej</t>
  </si>
  <si>
    <t>Statická doprava Bazovského pri MŠ Šafárikova</t>
  </si>
  <si>
    <t>Zo ŠRna úhradu nákladov preneseného výkonu štátnej správy</t>
  </si>
  <si>
    <t>Zo ŠR okrem nákladov preneseného výkonu</t>
  </si>
  <si>
    <t>MHSL m.r.o.</t>
  </si>
  <si>
    <t>MŠ Šafárikova 11, Trenčín</t>
  </si>
  <si>
    <t>ŠZMT m.r.o.</t>
  </si>
  <si>
    <t>Základná umelecká škola Karola Pádivého</t>
  </si>
  <si>
    <t>P1: MANAŽMENT a PLÁNOVANIE</t>
  </si>
  <si>
    <t>P2: PROPAGÁCIA A CESTOVNÝ RUCH</t>
  </si>
  <si>
    <t>P3: INTERNÉ SLUŽBY MESTA</t>
  </si>
  <si>
    <t>P4: SLUŽBY OBČANOM</t>
  </si>
  <si>
    <t>P6: DOPRAVA</t>
  </si>
  <si>
    <t>P8: ŠPORT A MLÁDEŽ</t>
  </si>
  <si>
    <t>P9: KULTÚRA</t>
  </si>
  <si>
    <t>P10: ŽIVOTNÉ PROSTREDIE</t>
  </si>
  <si>
    <t>P11: SOCIÁLNE SLUŽBY</t>
  </si>
  <si>
    <t>P12: ROZVOJ MESTA</t>
  </si>
  <si>
    <t>PRÍJMY</t>
  </si>
  <si>
    <t>VÝDAVKY</t>
  </si>
  <si>
    <t>P5: BEZPEČNOSŤ</t>
  </si>
  <si>
    <t>P7: VZDELÁVANIE</t>
  </si>
  <si>
    <t>821: Istina z bankových úverov dlhodobých</t>
  </si>
  <si>
    <t>821: ČSOB a.s. - istina z dohôd o reštrukturalizácii dlhu</t>
  </si>
  <si>
    <t>821: SLSP a.s. - istina z dohôd o reštrukturaliácii dlhu</t>
  </si>
  <si>
    <t>821: ŠFRB:  istina - 61 nájomných bytov</t>
  </si>
  <si>
    <t>Orezy</t>
  </si>
  <si>
    <t>Centrum pre rodinu o.z. - dotácia na činnosť</t>
  </si>
  <si>
    <t>Dobudovanie učební a rekonštrukcia jedálne a kuchyne</t>
  </si>
  <si>
    <t>Letné kúpalisko</t>
  </si>
  <si>
    <t>Zabezpečenie činnosti Kultúrno - informačného centra</t>
  </si>
  <si>
    <t>Príjmy z činnosti Kultúrno - informačného centra</t>
  </si>
  <si>
    <t>MFF Eko s.r.o - EKOTOPFILM</t>
  </si>
  <si>
    <t>Dokument starostlivosti o dreviny v meste Trenčín</t>
  </si>
  <si>
    <t>Schodok/Prebytok kapitálového rozpočtu</t>
  </si>
  <si>
    <t>Schodok/Prebytok rozpočtu spolu</t>
  </si>
  <si>
    <t>0860</t>
  </si>
  <si>
    <t>Historická revue</t>
  </si>
  <si>
    <t>Opravy a výmena mobiliáru detských ihrísk MČ Západ</t>
  </si>
  <si>
    <t>NFP z MŽP SR - Obnova MŠ Opatovská</t>
  </si>
  <si>
    <t>NFP z MŽP SR - Obnova MŠ Šafárikova</t>
  </si>
  <si>
    <t>Plavecký kurz</t>
  </si>
  <si>
    <t>Chodník v parku M.R.Štefánika</t>
  </si>
  <si>
    <t>Chodníky Staničná, Zlatovská</t>
  </si>
  <si>
    <t>Lesné ihrisko KIOSK</t>
  </si>
  <si>
    <t>Dotácia z Ministerstva dopravy a výstavby SR na obstaranie nájomných bytov</t>
  </si>
  <si>
    <t>Obnova sochy sv. Jána Nepomuckého</t>
  </si>
  <si>
    <t>Kruhový objazd Brnianska Zlatovská</t>
  </si>
  <si>
    <t>Chodník cintorín Zlatovce</t>
  </si>
  <si>
    <t>Oporný múr cintorín</t>
  </si>
  <si>
    <t>Križovatka Opatová Dobrá</t>
  </si>
  <si>
    <t>Futbalový štadión Záblatie</t>
  </si>
  <si>
    <t>Defibrilátor</t>
  </si>
  <si>
    <t>Vertikulátor</t>
  </si>
  <si>
    <t>Rozšírenie statickej dopravy na ul. Gagarinova</t>
  </si>
  <si>
    <t>Riešenie statickej dopravy Pod Skalkou</t>
  </si>
  <si>
    <t>Riešenie statickej dopravy Sibírska</t>
  </si>
  <si>
    <t>Riešenie statickej dopravy Turkovej 4-20</t>
  </si>
  <si>
    <t>Presun zastávky MHD na ul. Hodžova k VII. ZŠ</t>
  </si>
  <si>
    <t>Rozšírenie parkoviska ul. Gen. Svobodu</t>
  </si>
  <si>
    <t>J.Halašu</t>
  </si>
  <si>
    <t>Statická doprava Novomeského</t>
  </si>
  <si>
    <t>Saratovská pri záhradách</t>
  </si>
  <si>
    <t>Statická doprava Saratovská</t>
  </si>
  <si>
    <t>Saratovská  - rozšírenie komunikácie</t>
  </si>
  <si>
    <t>Statická doprava Soblahovská 59,61</t>
  </si>
  <si>
    <t>Prepaľovač káblov</t>
  </si>
  <si>
    <t>Chodník + Cyklotrasa Kasárenská ulica od MŽT po Majerskú ul.</t>
  </si>
  <si>
    <t>Parkovisko Pred poľom</t>
  </si>
  <si>
    <t>Rekonštrukcia MK Gen.Svobodu</t>
  </si>
  <si>
    <t>Chodník na Bratislavskej ul. Od Veľkomoravskej po kruháč pri Lidli</t>
  </si>
  <si>
    <t>Chodníky Sigôtky + Záblatská</t>
  </si>
  <si>
    <t>Rekonštrukcia chodníka od pohotovosti k Fak.nemocnici</t>
  </si>
  <si>
    <t>Presun zastávky pred Fak.nemocnicou</t>
  </si>
  <si>
    <t>Podchod pri Obchodnej akadémii</t>
  </si>
  <si>
    <t>Detské ihrisko Istebník Orechové/Rezidencia Vinohrady</t>
  </si>
  <si>
    <t>Polopodzemné kontajnery MČ Sever</t>
  </si>
  <si>
    <t>Vnútrobloky na Sihoti</t>
  </si>
  <si>
    <t>Krízová intervencia</t>
  </si>
  <si>
    <t>Stavebné úpravy spojovacej chodby a vybudovanie šatní</t>
  </si>
  <si>
    <t>Jahodová ulica - slepá</t>
  </si>
  <si>
    <t>MK Hanzlíkovská</t>
  </si>
  <si>
    <t>Chodník prepojenie Gen.Svobodu a Východná,  prechody s osvetlením</t>
  </si>
  <si>
    <t>Združenie kresťanských seniorov - dotácia činnosť</t>
  </si>
  <si>
    <t>Slovenský zväz protifašistických bojovníkov - ZO Trenčín 1 - dotácia na činnosť</t>
  </si>
  <si>
    <t>Mestské divadlo Trenčín o.z. - činnosť</t>
  </si>
  <si>
    <t>Chodník pri dome smútku Juh</t>
  </si>
  <si>
    <t>Polopodzemné kontajnery Juh</t>
  </si>
  <si>
    <t>Kiržovatka ul. Východná - M.Bela - Lavičkova</t>
  </si>
  <si>
    <t>Priechody pre chodcov Juh</t>
  </si>
  <si>
    <t>Chodník ul. Partizánska  - ul. Saratovská</t>
  </si>
  <si>
    <t>Klub priateľov vážnej hudby v Trenčíne - Trenčianska hudobná jar a Trenčianska hudobná jeseň 2018</t>
  </si>
  <si>
    <t>MK Stromová - chodníky</t>
  </si>
  <si>
    <t>* - v zmysle § 10 ods. 6 zákona č.583/2004 Z.z. o rozpočtových pravidlách územnej samosprávy sú súčasťou rozpočtu obce aj finančné operácie, ktorými sa vykonávajú prevody z peňažných fondov obce a realizujú sa návratné zdroje financovania a ich splácanie. Finančné operácie nie sú súčasťou príjmov a výdavkov rozpočtu obce.</t>
  </si>
  <si>
    <t xml:space="preserve">PROGRAM   1: MANAŽMENT A PLÁNOVANIE </t>
  </si>
  <si>
    <t>Osobné motorové vozidlo s technológiou</t>
  </si>
  <si>
    <t>Rekonštrukcia Vlárska</t>
  </si>
  <si>
    <t>Kotolňa Sokolovňa - búranie</t>
  </si>
  <si>
    <t>Priechod pre chodcov ul. Palackého pri MsP</t>
  </si>
  <si>
    <t>Sociálne zariadenia MHSL</t>
  </si>
  <si>
    <t>* - na preklenutie časového nesúladu medzi príjmami a výdavkami rozpočtu sa môže čerpať kontokorentný úver spolu vo výške  2 500 tis. € z ČSOB a.s. s tým, že do konca roka 2018 bude predmetný úver splatený</t>
  </si>
  <si>
    <t>PD Výťah</t>
  </si>
  <si>
    <t>Saratovská - chodník</t>
  </si>
  <si>
    <t>PD Brezina</t>
  </si>
  <si>
    <t>Búranie budovy pod bývalou strojovňou chladenia pri ZŠ</t>
  </si>
  <si>
    <t>Oprava oplotenia a údržba športoviska pri bytovom dome K Výstavisku č.2</t>
  </si>
  <si>
    <t>Výruby</t>
  </si>
  <si>
    <t>Schválený rozpočet na rok 2018</t>
  </si>
  <si>
    <t>o.z.Pre prírodu - projekt Zelená míľa 2018</t>
  </si>
  <si>
    <t>MRO</t>
  </si>
  <si>
    <t>ŠZMT</t>
  </si>
  <si>
    <t>MHSL</t>
  </si>
  <si>
    <t>SSMT</t>
  </si>
  <si>
    <t>ZUŠ</t>
  </si>
  <si>
    <t>CVČ</t>
  </si>
  <si>
    <t>ZŠ Východná</t>
  </si>
  <si>
    <t>ZŠ Novomeského</t>
  </si>
  <si>
    <t>ZŠ Dlhé Hony</t>
  </si>
  <si>
    <t>ZŠ Kubra</t>
  </si>
  <si>
    <t>ZŠ Bezruča</t>
  </si>
  <si>
    <t>ZŠ Veľkomoravská</t>
  </si>
  <si>
    <t>ZŠ Na dolinách</t>
  </si>
  <si>
    <t>ZŠ Hodžova</t>
  </si>
  <si>
    <t>MŠ Šafárikova</t>
  </si>
  <si>
    <t>Mesto</t>
  </si>
  <si>
    <t>Kúpa tribúny futbalový štadión Záblatie</t>
  </si>
  <si>
    <t>Okružná ulica - projektová dokumentácia</t>
  </si>
  <si>
    <t>Ochrana prostredia pre život</t>
  </si>
  <si>
    <t>NFP cyklotrasa II.etapa z Juhu do centra</t>
  </si>
  <si>
    <t>Cyklotrasa II.etapa</t>
  </si>
  <si>
    <t>Parkovisko ul. Mládežnícka</t>
  </si>
  <si>
    <t>MK Karpatská</t>
  </si>
  <si>
    <t>PD Letné kúpalisko</t>
  </si>
  <si>
    <t>PD Rozkvet</t>
  </si>
  <si>
    <t>Rekonštrukcia detského ihriska na ul. Karpatskej</t>
  </si>
  <si>
    <t>Umývačka riadu</t>
  </si>
  <si>
    <t>Elektronický systém predaja a správy parkovacích kariet</t>
  </si>
  <si>
    <t>Oprava oporných múrov pri farských schodoch</t>
  </si>
  <si>
    <t>PD Pump Track</t>
  </si>
  <si>
    <t>KS Dlhé Hony - okná a dvere</t>
  </si>
  <si>
    <t>Osvetlenie podjazdu na Noviny</t>
  </si>
  <si>
    <t>Chodník pri Družbe</t>
  </si>
  <si>
    <t>Dotácia z Ministerstva dopravy a výstavby SR na obstaranie 26 nájomných bytov</t>
  </si>
  <si>
    <t>Kúpa 26 nájomných bytov</t>
  </si>
  <si>
    <t>514: Prijatie úveru zo ŠFRB (26 nájomných bytov)</t>
  </si>
  <si>
    <t xml:space="preserve">821: ŠFRB: istina - 26 nájomných bytov </t>
  </si>
  <si>
    <t xml:space="preserve">821: ŠFRB: istina - 48 nájomných bytov </t>
  </si>
  <si>
    <t>SMŠ Orechovská 14</t>
  </si>
  <si>
    <t>SMŠ Janka Kráľa 14</t>
  </si>
  <si>
    <t>SMŠ Motýlik</t>
  </si>
  <si>
    <t>SMŠ Best Friends Kids Club</t>
  </si>
  <si>
    <t>CMŠ bl.Tarzícia</t>
  </si>
  <si>
    <t>CMŠ sv.Andreja -Svorada a Benedikta</t>
  </si>
  <si>
    <t>SMŠ 2M</t>
  </si>
  <si>
    <t>CVČ pri ZŠ s MŠ sv.Andreja - Svorada a Benedikta</t>
  </si>
  <si>
    <t>ŠKD pri ZŠ s MŠ sv.Andreja - Svorada a Benedikta</t>
  </si>
  <si>
    <t>CVČ pri Piaristickom Gymnáziu Jozefa Braneckého "M-centrum"</t>
  </si>
  <si>
    <t>SŠKD FUTURUM pri SZŠ Futurum</t>
  </si>
  <si>
    <t>SZUŠ Gagarinova 7</t>
  </si>
  <si>
    <t>SZUŠ ul. Novomeského 11</t>
  </si>
  <si>
    <t>SZUŠ Stromová 1</t>
  </si>
  <si>
    <t>ŠJ pri Piaristickom gymnáziu Jozefa Braneckého</t>
  </si>
  <si>
    <t>ŠJ pri ZŠ s MŠ sv.Andreja -  Svorada a Benedikta</t>
  </si>
  <si>
    <t>ŠJ pri SZŠ FUTURUM</t>
  </si>
  <si>
    <t>ŠJ pri SZŠ pre žiakov s autizmom alebo ďalšími pervazívnymi vývinovými poruchami</t>
  </si>
  <si>
    <t>ŠJ pri S gymnáziu FUTURUM</t>
  </si>
  <si>
    <t>SŠKD pri SZŠ pre žiakov s autizmom alebo ďalšími pervazívnymi vývinovými poruchami</t>
  </si>
  <si>
    <t>SMŠ Slimáčik</t>
  </si>
  <si>
    <t>Mgr.art. Zuzana Laurinčíková - Monografia Gavurky</t>
  </si>
  <si>
    <t>Klimatizácia serverovňa</t>
  </si>
  <si>
    <t>KS Hviezda - s posuvom výťahu</t>
  </si>
  <si>
    <t>Chodník z nového detského ihriska na Karpatskej ulici na hrádzu</t>
  </si>
  <si>
    <t>Oprava a izolácia strechy budovy Farská 10</t>
  </si>
  <si>
    <t>TJ Družstevník Záblatie - dotácia na futbalový štadión Záblatie</t>
  </si>
  <si>
    <t>Kapitálové transfery</t>
  </si>
  <si>
    <t>HK Dukla Trenčín a.s. - dotácia na činnosť klubu vrátane juniorov</t>
  </si>
  <si>
    <t>MŠ Medňanského - okná</t>
  </si>
  <si>
    <t>Chodníky pred trenčianskou univerzitou</t>
  </si>
  <si>
    <t xml:space="preserve">Granty   </t>
  </si>
  <si>
    <t>Hala o.z. - HALA 2018 - Festival súčasného umenia</t>
  </si>
  <si>
    <t>AMADEUS - Oslavy 780.výročia prvej písomnej zmienky v obci Opatová nad Váhom</t>
  </si>
  <si>
    <t>Dychová hudba Textilanka - Kultúrne leto na Zámostí</t>
  </si>
  <si>
    <t>Detský folklórny súbor Kornička - Zabezpečenie činnosti DFS Kornička</t>
  </si>
  <si>
    <t>Jednota dôchodcov - ZO č. 32</t>
  </si>
  <si>
    <t>453: SSmT m.r.o. - Prostriedky z minulých rokov</t>
  </si>
  <si>
    <t>455: Postúpené pohľadávky z MHSL m.r.o.</t>
  </si>
  <si>
    <t>Vybudovanie výkladnej skrine</t>
  </si>
  <si>
    <t>Fond na podporu umenia - Ora et Ars - Skalka 2018</t>
  </si>
  <si>
    <t>Dotácia z MPSVaR SR na nákup motorového vozidla na prevoz stravy</t>
  </si>
  <si>
    <t>Dotácia SZĽH na obnovu a rekonštrukciu hokejovej infraštruktúry</t>
  </si>
  <si>
    <t>Prípojka vody chata Soblahov</t>
  </si>
  <si>
    <t>Nevyčerpaná dotácia za rok 2017 - vratka do ŠR</t>
  </si>
  <si>
    <t>PD Chodník pri dome smútku Juh</t>
  </si>
  <si>
    <t>Rekonštrukcia CSS pri Hoteli Elizabeth</t>
  </si>
  <si>
    <t>Integrovaný systém dopravy s TSK</t>
  </si>
  <si>
    <t>Priechody pre chodcov Východná - nasvietenie</t>
  </si>
  <si>
    <t>Nevyčerpaná dotácia za rok 2017</t>
  </si>
  <si>
    <t>Rekonštrukcia okien</t>
  </si>
  <si>
    <t>Veľkokapacitný krájač</t>
  </si>
  <si>
    <t>nevyčerpaná dotácia za rok 2017 - vratka do ŠR</t>
  </si>
  <si>
    <t>Výmena chladiaceho zariadenia</t>
  </si>
  <si>
    <t>Bazénový vysávač</t>
  </si>
  <si>
    <t>PD Chodníky Brezina</t>
  </si>
  <si>
    <t>Polopodzemné kontajnery Olbrachtova - Soblahovská</t>
  </si>
  <si>
    <t>Osobné vozidlo</t>
  </si>
  <si>
    <t>Priemyselná práčka</t>
  </si>
  <si>
    <t>Nákup motorového vozidla na prevoz stravy</t>
  </si>
  <si>
    <t>Obytné dvojkontajnery</t>
  </si>
  <si>
    <t>453: Prevod nevyčerpaných dotácií z roku 2017</t>
  </si>
  <si>
    <t>Presun zastávok + priechody pre chodcov Gagarinova, Žilinská, Považská</t>
  </si>
  <si>
    <t>Deaflympijský výbor Slovenska - ME v bedmintone nepočujúcich</t>
  </si>
  <si>
    <t>Workoutové prvky pri moste na Ostrove</t>
  </si>
  <si>
    <t>SHŠ Wagus n.o. - Trenčianske historické slávnosti</t>
  </si>
  <si>
    <t>Mesto celkom príjmy CORA</t>
  </si>
  <si>
    <t>Cyklostojany</t>
  </si>
  <si>
    <t>JK Fit štúdio s.r.o. - Tanečný klub BAMBULA ME Rumunsko</t>
  </si>
  <si>
    <t>KC Kubra - Oslavy 85.výročia FS Kubra</t>
  </si>
  <si>
    <t>Tábory a súťaže</t>
  </si>
  <si>
    <t>Pilotné športové centrum</t>
  </si>
  <si>
    <t>Výsadba cibuľovín</t>
  </si>
  <si>
    <t>Frézovanie pňov</t>
  </si>
  <si>
    <t>Vozidlo s polievacou nadstavbou</t>
  </si>
  <si>
    <t>Rehoľa piaristov na Slovensku - dotácia na údržbu kultúrnej pamiatky</t>
  </si>
  <si>
    <t>MŠ Pri Parku - stavebné úpravy</t>
  </si>
  <si>
    <t>Osvetlenie priechodu pre chodcov vrátane bezpečnostných prvkov Ul.Štefánikova pri odbočke na Ul.K Výstavisku</t>
  </si>
  <si>
    <t>Rekonštrukcia elektroinštalácie kuchyne</t>
  </si>
  <si>
    <t>MŠ 28.októbra - rekonštrukcia</t>
  </si>
  <si>
    <t>Strelecký klub Inovec o.z. -ME v diaľkovej streľbe vo Švédsku</t>
  </si>
  <si>
    <t>AS Trenčín a.s. - dotácia na činnosť</t>
  </si>
  <si>
    <t>TJ Družstevník Opatová - dotácia na údržbu futbalového štadióna v Opatovej</t>
  </si>
  <si>
    <t>Ultramax s.r.o. - Módny veľtrh "Trenčín - mesto módy"</t>
  </si>
  <si>
    <t>O.z. Trenčianska jazzová spoločnosť FÉNIX - XXV.Trenčiansky jazzový festival Jazz pod hradom</t>
  </si>
  <si>
    <t>PD Nocľaháreň</t>
  </si>
  <si>
    <t>Župný dom</t>
  </si>
  <si>
    <t>Osvetlenie dvoch priechodov pre chodcov na ul. Východná</t>
  </si>
  <si>
    <t>Chodník na hrádzi od elektrárne po most Ostrov</t>
  </si>
  <si>
    <t>ŠJ Šafárikova - vzduchotechnika</t>
  </si>
  <si>
    <t>DPO SR - dotácia pre DHZ</t>
  </si>
  <si>
    <t>Materiál pre DHZ Opatová</t>
  </si>
  <si>
    <t>Rutinná a štandardná údržba DHZ Záblatie</t>
  </si>
  <si>
    <t>Rutinná a štandardná údržba - Zelené plochy Žabinská</t>
  </si>
  <si>
    <t>Dar od Trenčianska Riviéra s.r.o. - na realizáciu detského ihriska Riviéra</t>
  </si>
  <si>
    <t>Detské ihrisko - Riviéra</t>
  </si>
  <si>
    <t>COOLTURNE o.z.: dotácia na festival Priestor</t>
  </si>
  <si>
    <t xml:space="preserve">Návrh na Zmenu Programového rozpočtu Mesta Trenčín na rok 2018 </t>
  </si>
  <si>
    <t>Zmena +/-</t>
  </si>
  <si>
    <t>Upravený rozpočet na rok 2018</t>
  </si>
  <si>
    <t>Schválený rozpočet na rok 2019</t>
  </si>
  <si>
    <t>Schválený rozpočet na rok 2020</t>
  </si>
  <si>
    <t>Bežný rozpočet 2018</t>
  </si>
  <si>
    <t>Návrh na zmenu +/-</t>
  </si>
  <si>
    <t>Upravený bežný rozpočet 2018</t>
  </si>
  <si>
    <t>Kapitálový rozpočet 2018</t>
  </si>
  <si>
    <t>Rozpočet 2018 spolu</t>
  </si>
  <si>
    <t>Upravený rozpočet 2018</t>
  </si>
  <si>
    <t>Upravený kapitálový rozpočet 2018</t>
  </si>
  <si>
    <t>Rozpočet 2018</t>
  </si>
  <si>
    <t>Prepravné</t>
  </si>
  <si>
    <t>Južná časť hradobného múru - architektonicko-historický výskum</t>
  </si>
  <si>
    <t>MK SR - Súsošie na stĺpe na Mierovom námestí</t>
  </si>
  <si>
    <t>Školstvo-prenes.komp., mzdy, platy</t>
  </si>
  <si>
    <t>Predškolský vek</t>
  </si>
  <si>
    <t>Matrika</t>
  </si>
  <si>
    <t>Stavebný úrad</t>
  </si>
  <si>
    <t>Evidencia obyvateľstva</t>
  </si>
  <si>
    <t>Dotácia v oblasti bývania (ŠFRB)</t>
  </si>
  <si>
    <t>PD pre stavebné povolenie</t>
  </si>
  <si>
    <t xml:space="preserve">Dar od Leoni Slovakia spol. s.r.o. </t>
  </si>
  <si>
    <t>Paddock Service s.r.o. - dotácia na Festival za Paddockom a na zimný Paddock Market</t>
  </si>
  <si>
    <t>NFP Zelené pľúca mesta - Revitalizácia Parku M.R.Štefánika</t>
  </si>
  <si>
    <t>NFP Stratégia adaptability mesta Trenčín na klimatickú zmenu</t>
  </si>
  <si>
    <t>NFP Zvýšenie mestskej mobility budovaním siete cyklistickej infraštruktúry v Trenčíne: Trasa C - ul. Karpatská</t>
  </si>
  <si>
    <t>NFP Zvýšenie mestskej mobility budovaním siete cyklistickej infraštruktúry v Trenčíne: Chodník a cyklotrasa Kasárenská</t>
  </si>
  <si>
    <t>NFP Zlepšenie enviromentálnych aspektov v meste Trenčín - vybudovanie prvkov zelenej infraštruktúry pri regenerácii vnútrobloku Východná ul.</t>
  </si>
  <si>
    <t>NFP Obnova MŠ Kubranská 20</t>
  </si>
  <si>
    <t>NFP Plán udržateľnej mobility funkčného územia krajského mesta Trenčín</t>
  </si>
  <si>
    <t>NFP Zlepšenie enviromentálnych aspektov v meste Trenčín - vybudovanie prvkov zelenej infraštruktúry pri regenerácii vnútrobloku J. Halašu</t>
  </si>
  <si>
    <t>Zelené pľúca mesta - Revitalizácia Parku M.R.Štefánika</t>
  </si>
  <si>
    <t>Stratégia adaptability na klimatickú zmenu</t>
  </si>
  <si>
    <t>Plán udržateľnej adaptability mesta Trenčín na klimatickú zmenu</t>
  </si>
  <si>
    <t>Cyklotrasa Trasa C - ul. Karpatská</t>
  </si>
  <si>
    <t>Chodník a cyklotrasa Kasárenská ul.</t>
  </si>
  <si>
    <t>Vnútroblok Východná ulica</t>
  </si>
  <si>
    <t>Vnútroblok J.Halašu</t>
  </si>
  <si>
    <t>Obnova MŠ Kubranská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</si>
</sst>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20"/>
      <color indexed="18"/>
      <name val="Arial CE"/>
      <family val="2"/>
      <charset val="238"/>
    </font>
    <font>
      <sz val="8"/>
      <color indexed="18"/>
      <name val="Arial CE"/>
      <family val="2"/>
      <charset val="238"/>
    </font>
    <font>
      <sz val="6"/>
      <color indexed="18"/>
      <name val="Arial CE"/>
      <family val="2"/>
      <charset val="238"/>
    </font>
    <font>
      <sz val="9"/>
      <name val="Arial"/>
      <family val="2"/>
      <charset val="238"/>
    </font>
    <font>
      <b/>
      <sz val="8"/>
      <color indexed="18"/>
      <name val="Arial CE"/>
      <charset val="238"/>
    </font>
    <font>
      <b/>
      <i/>
      <sz val="12"/>
      <color indexed="9"/>
      <name val="Arial CE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color indexed="56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b/>
      <sz val="22"/>
      <color indexed="18"/>
      <name val="Tahoma"/>
      <family val="2"/>
      <charset val="238"/>
    </font>
    <font>
      <b/>
      <sz val="12"/>
      <color indexed="9"/>
      <name val="Arial CE"/>
      <charset val="238"/>
    </font>
    <font>
      <b/>
      <sz val="11"/>
      <name val="Arial CE"/>
      <charset val="238"/>
    </font>
    <font>
      <b/>
      <i/>
      <sz val="12"/>
      <name val="Arial CE"/>
      <charset val="238"/>
    </font>
    <font>
      <b/>
      <sz val="8"/>
      <color indexed="9"/>
      <name val="Arial"/>
      <family val="2"/>
      <charset val="238"/>
    </font>
    <font>
      <b/>
      <sz val="12"/>
      <name val="Arial CE"/>
      <charset val="238"/>
    </font>
    <font>
      <i/>
      <sz val="11"/>
      <name val="Arial CE"/>
      <charset val="238"/>
    </font>
    <font>
      <sz val="10"/>
      <name val="Arial"/>
      <family val="2"/>
      <charset val="238"/>
    </font>
    <font>
      <b/>
      <i/>
      <sz val="12"/>
      <color indexed="56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color indexed="9"/>
      <name val="Arial CE"/>
      <family val="2"/>
      <charset val="238"/>
    </font>
    <font>
      <b/>
      <sz val="11"/>
      <name val="Arial"/>
      <family val="2"/>
      <charset val="238"/>
    </font>
    <font>
      <sz val="8"/>
      <color indexed="13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 CE"/>
      <charset val="238"/>
    </font>
    <font>
      <b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8"/>
      <color indexed="9"/>
      <name val="Arial CE"/>
      <charset val="238"/>
    </font>
    <font>
      <b/>
      <sz val="8"/>
      <name val="Arial CE"/>
      <charset val="238"/>
    </font>
    <font>
      <b/>
      <i/>
      <sz val="11"/>
      <color indexed="9"/>
      <name val="Arial CE"/>
      <charset val="238"/>
    </font>
    <font>
      <b/>
      <i/>
      <sz val="11"/>
      <color indexed="56"/>
      <name val="Arial CE"/>
      <charset val="238"/>
    </font>
    <font>
      <i/>
      <sz val="10"/>
      <name val="Arial CE"/>
      <charset val="238"/>
    </font>
    <font>
      <b/>
      <sz val="11"/>
      <color indexed="9"/>
      <name val="Arial CE"/>
      <charset val="238"/>
    </font>
    <font>
      <b/>
      <sz val="10"/>
      <name val="Arial CE"/>
      <charset val="238"/>
    </font>
    <font>
      <b/>
      <sz val="14"/>
      <color indexed="9"/>
      <name val="Arial CE"/>
      <charset val="238"/>
    </font>
    <font>
      <sz val="14"/>
      <name val="Arial"/>
      <family val="2"/>
      <charset val="238"/>
    </font>
    <font>
      <sz val="9"/>
      <name val="Arial CE"/>
      <family val="2"/>
      <charset val="238"/>
    </font>
    <font>
      <b/>
      <sz val="15"/>
      <color indexed="1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b/>
      <sz val="10"/>
      <color theme="1"/>
      <name val="Arial CE"/>
      <family val="2"/>
      <charset val="238"/>
    </font>
    <font>
      <sz val="11"/>
      <color theme="1"/>
      <name val="Arial"/>
      <family val="2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b/>
      <sz val="9"/>
      <color theme="0"/>
      <name val="Arial CE"/>
      <charset val="238"/>
    </font>
    <font>
      <b/>
      <sz val="9"/>
      <color indexed="9"/>
      <name val="Arial CE"/>
      <charset val="238"/>
    </font>
    <font>
      <b/>
      <sz val="8"/>
      <color theme="0"/>
      <name val="Arial"/>
      <family val="2"/>
      <charset val="238"/>
    </font>
    <font>
      <sz val="25"/>
      <color rgb="FFFF0000"/>
      <name val="Arial"/>
      <family val="2"/>
      <charset val="238"/>
    </font>
    <font>
      <i/>
      <sz val="1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F4E78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4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</cellStyleXfs>
  <cellXfs count="557">
    <xf numFmtId="0" fontId="0" fillId="0" borderId="0" xfId="0"/>
    <xf numFmtId="0" fontId="9" fillId="2" borderId="1" xfId="0" applyFont="1" applyFill="1" applyBorder="1" applyAlignment="1">
      <alignment vertical="center"/>
    </xf>
    <xf numFmtId="0" fontId="17" fillId="3" borderId="2" xfId="0" applyFont="1" applyFill="1" applyBorder="1" applyAlignment="1"/>
    <xf numFmtId="0" fontId="11" fillId="0" borderId="2" xfId="0" applyFont="1" applyBorder="1"/>
    <xf numFmtId="0" fontId="7" fillId="0" borderId="2" xfId="0" applyFont="1" applyBorder="1"/>
    <xf numFmtId="0" fontId="10" fillId="0" borderId="2" xfId="0" applyFont="1" applyBorder="1"/>
    <xf numFmtId="0" fontId="3" fillId="0" borderId="0" xfId="0" applyFont="1"/>
    <xf numFmtId="0" fontId="3" fillId="4" borderId="2" xfId="0" applyFont="1" applyFill="1" applyBorder="1"/>
    <xf numFmtId="0" fontId="18" fillId="5" borderId="2" xfId="0" applyFont="1" applyFill="1" applyBorder="1" applyAlignment="1"/>
    <xf numFmtId="0" fontId="11" fillId="6" borderId="2" xfId="0" applyFont="1" applyFill="1" applyBorder="1"/>
    <xf numFmtId="0" fontId="11" fillId="0" borderId="2" xfId="0" applyFont="1" applyFill="1" applyBorder="1"/>
    <xf numFmtId="0" fontId="2" fillId="5" borderId="3" xfId="0" applyFont="1" applyFill="1" applyBorder="1"/>
    <xf numFmtId="0" fontId="27" fillId="6" borderId="4" xfId="0" applyFont="1" applyFill="1" applyBorder="1" applyAlignment="1"/>
    <xf numFmtId="0" fontId="27" fillId="7" borderId="2" xfId="0" applyFont="1" applyFill="1" applyBorder="1"/>
    <xf numFmtId="0" fontId="29" fillId="0" borderId="2" xfId="0" applyFont="1" applyBorder="1"/>
    <xf numFmtId="0" fontId="10" fillId="0" borderId="5" xfId="0" applyFont="1" applyBorder="1"/>
    <xf numFmtId="0" fontId="10" fillId="0" borderId="3" xfId="0" applyFont="1" applyBorder="1"/>
    <xf numFmtId="0" fontId="7" fillId="0" borderId="6" xfId="0" applyFont="1" applyBorder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3" fontId="27" fillId="6" borderId="4" xfId="0" applyNumberFormat="1" applyFont="1" applyFill="1" applyBorder="1" applyAlignment="1"/>
    <xf numFmtId="3" fontId="11" fillId="0" borderId="2" xfId="0" applyNumberFormat="1" applyFont="1" applyBorder="1"/>
    <xf numFmtId="3" fontId="7" fillId="0" borderId="2" xfId="0" applyNumberFormat="1" applyFont="1" applyBorder="1"/>
    <xf numFmtId="3" fontId="7" fillId="0" borderId="2" xfId="0" applyNumberFormat="1" applyFont="1" applyFill="1" applyBorder="1"/>
    <xf numFmtId="3" fontId="10" fillId="0" borderId="2" xfId="0" applyNumberFormat="1" applyFont="1" applyBorder="1"/>
    <xf numFmtId="3" fontId="10" fillId="0" borderId="2" xfId="0" applyNumberFormat="1" applyFont="1" applyFill="1" applyBorder="1"/>
    <xf numFmtId="3" fontId="11" fillId="0" borderId="2" xfId="0" applyNumberFormat="1" applyFont="1" applyFill="1" applyBorder="1"/>
    <xf numFmtId="3" fontId="7" fillId="0" borderId="6" xfId="0" applyNumberFormat="1" applyFont="1" applyBorder="1"/>
    <xf numFmtId="49" fontId="11" fillId="0" borderId="2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7" fillId="7" borderId="2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0" fontId="7" fillId="0" borderId="3" xfId="0" applyFont="1" applyBorder="1"/>
    <xf numFmtId="0" fontId="10" fillId="0" borderId="0" xfId="0" applyFont="1"/>
    <xf numFmtId="0" fontId="10" fillId="0" borderId="2" xfId="0" applyFont="1" applyBorder="1" applyAlignment="1">
      <alignment wrapText="1"/>
    </xf>
    <xf numFmtId="3" fontId="16" fillId="2" borderId="2" xfId="0" applyNumberFormat="1" applyFont="1" applyFill="1" applyBorder="1" applyAlignment="1">
      <alignment vertical="center"/>
    </xf>
    <xf numFmtId="3" fontId="18" fillId="5" borderId="2" xfId="0" applyNumberFormat="1" applyFont="1" applyFill="1" applyBorder="1" applyAlignment="1"/>
    <xf numFmtId="3" fontId="17" fillId="3" borderId="2" xfId="0" applyNumberFormat="1" applyFont="1" applyFill="1" applyBorder="1" applyAlignment="1"/>
    <xf numFmtId="3" fontId="27" fillId="7" borderId="2" xfId="0" applyNumberFormat="1" applyFont="1" applyFill="1" applyBorder="1"/>
    <xf numFmtId="3" fontId="13" fillId="0" borderId="2" xfId="0" applyNumberFormat="1" applyFont="1" applyBorder="1"/>
    <xf numFmtId="3" fontId="10" fillId="13" borderId="2" xfId="0" applyNumberFormat="1" applyFont="1" applyFill="1" applyBorder="1"/>
    <xf numFmtId="3" fontId="11" fillId="6" borderId="2" xfId="0" applyNumberFormat="1" applyFont="1" applyFill="1" applyBorder="1"/>
    <xf numFmtId="3" fontId="21" fillId="0" borderId="2" xfId="0" applyNumberFormat="1" applyFont="1" applyBorder="1" applyAlignment="1"/>
    <xf numFmtId="0" fontId="0" fillId="0" borderId="0" xfId="0" applyAlignment="1">
      <alignment vertical="center"/>
    </xf>
    <xf numFmtId="0" fontId="20" fillId="5" borderId="5" xfId="0" applyFont="1" applyFill="1" applyBorder="1"/>
    <xf numFmtId="3" fontId="0" fillId="0" borderId="0" xfId="0" applyNumberFormat="1" applyBorder="1"/>
    <xf numFmtId="0" fontId="10" fillId="0" borderId="2" xfId="0" applyFont="1" applyFill="1" applyBorder="1"/>
    <xf numFmtId="0" fontId="10" fillId="13" borderId="2" xfId="0" applyFont="1" applyFill="1" applyBorder="1"/>
    <xf numFmtId="0" fontId="7" fillId="0" borderId="2" xfId="0" applyFont="1" applyBorder="1" applyAlignment="1">
      <alignment vertical="center"/>
    </xf>
    <xf numFmtId="49" fontId="29" fillId="0" borderId="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3" fontId="7" fillId="0" borderId="2" xfId="0" applyNumberFormat="1" applyFont="1" applyBorder="1" applyAlignment="1">
      <alignment vertical="center"/>
    </xf>
    <xf numFmtId="0" fontId="7" fillId="0" borderId="2" xfId="0" applyFont="1" applyFill="1" applyBorder="1"/>
    <xf numFmtId="3" fontId="16" fillId="2" borderId="0" xfId="0" applyNumberFormat="1" applyFont="1" applyFill="1" applyBorder="1" applyAlignment="1">
      <alignment vertical="center"/>
    </xf>
    <xf numFmtId="0" fontId="0" fillId="13" borderId="0" xfId="0" applyFill="1" applyBorder="1"/>
    <xf numFmtId="0" fontId="10" fillId="13" borderId="0" xfId="0" applyFont="1" applyFill="1" applyBorder="1"/>
    <xf numFmtId="0" fontId="7" fillId="13" borderId="2" xfId="0" applyFont="1" applyFill="1" applyBorder="1"/>
    <xf numFmtId="0" fontId="0" fillId="0" borderId="7" xfId="0" applyBorder="1" applyAlignment="1"/>
    <xf numFmtId="0" fontId="25" fillId="8" borderId="5" xfId="0" applyFont="1" applyFill="1" applyBorder="1" applyAlignment="1"/>
    <xf numFmtId="0" fontId="25" fillId="8" borderId="8" xfId="0" applyFont="1" applyFill="1" applyBorder="1" applyAlignment="1"/>
    <xf numFmtId="0" fontId="0" fillId="0" borderId="9" xfId="0" applyBorder="1" applyAlignment="1"/>
    <xf numFmtId="3" fontId="1" fillId="13" borderId="0" xfId="0" applyNumberFormat="1" applyFont="1" applyFill="1" applyBorder="1"/>
    <xf numFmtId="0" fontId="27" fillId="14" borderId="2" xfId="0" applyFont="1" applyFill="1" applyBorder="1"/>
    <xf numFmtId="3" fontId="27" fillId="14" borderId="2" xfId="0" applyNumberFormat="1" applyFont="1" applyFill="1" applyBorder="1"/>
    <xf numFmtId="3" fontId="7" fillId="13" borderId="2" xfId="0" applyNumberFormat="1" applyFont="1" applyFill="1" applyBorder="1"/>
    <xf numFmtId="0" fontId="33" fillId="5" borderId="3" xfId="0" applyFont="1" applyFill="1" applyBorder="1"/>
    <xf numFmtId="0" fontId="33" fillId="6" borderId="4" xfId="0" applyFont="1" applyFill="1" applyBorder="1" applyAlignment="1"/>
    <xf numFmtId="0" fontId="33" fillId="4" borderId="2" xfId="0" applyFont="1" applyFill="1" applyBorder="1"/>
    <xf numFmtId="0" fontId="33" fillId="0" borderId="2" xfId="0" applyFont="1" applyBorder="1"/>
    <xf numFmtId="0" fontId="1" fillId="0" borderId="2" xfId="0" applyFont="1" applyBorder="1"/>
    <xf numFmtId="0" fontId="33" fillId="4" borderId="5" xfId="0" applyFont="1" applyFill="1" applyBorder="1"/>
    <xf numFmtId="0" fontId="33" fillId="4" borderId="3" xfId="0" applyFont="1" applyFill="1" applyBorder="1"/>
    <xf numFmtId="0" fontId="33" fillId="0" borderId="5" xfId="0" applyFont="1" applyBorder="1"/>
    <xf numFmtId="0" fontId="33" fillId="0" borderId="3" xfId="0" applyFont="1" applyBorder="1"/>
    <xf numFmtId="0" fontId="1" fillId="0" borderId="5" xfId="0" applyFont="1" applyBorder="1"/>
    <xf numFmtId="0" fontId="1" fillId="0" borderId="3" xfId="0" applyFont="1" applyBorder="1"/>
    <xf numFmtId="0" fontId="33" fillId="6" borderId="10" xfId="0" applyFont="1" applyFill="1" applyBorder="1" applyAlignment="1"/>
    <xf numFmtId="0" fontId="33" fillId="6" borderId="11" xfId="0" applyFont="1" applyFill="1" applyBorder="1" applyAlignment="1"/>
    <xf numFmtId="0" fontId="33" fillId="5" borderId="7" xfId="0" applyFont="1" applyFill="1" applyBorder="1"/>
    <xf numFmtId="49" fontId="31" fillId="13" borderId="0" xfId="0" applyNumberFormat="1" applyFont="1" applyFill="1" applyBorder="1" applyAlignment="1">
      <alignment horizontal="center" vertical="center"/>
    </xf>
    <xf numFmtId="3" fontId="19" fillId="13" borderId="0" xfId="0" applyNumberFormat="1" applyFont="1" applyFill="1" applyBorder="1" applyAlignment="1">
      <alignment horizontal="center" vertical="center" wrapText="1"/>
    </xf>
    <xf numFmtId="3" fontId="0" fillId="13" borderId="0" xfId="0" applyNumberFormat="1" applyFill="1" applyBorder="1"/>
    <xf numFmtId="0" fontId="7" fillId="0" borderId="12" xfId="0" applyFont="1" applyBorder="1"/>
    <xf numFmtId="3" fontId="16" fillId="2" borderId="13" xfId="0" applyNumberFormat="1" applyFont="1" applyFill="1" applyBorder="1" applyAlignment="1">
      <alignment vertical="center"/>
    </xf>
    <xf numFmtId="0" fontId="7" fillId="0" borderId="14" xfId="0" applyFont="1" applyBorder="1"/>
    <xf numFmtId="3" fontId="18" fillId="5" borderId="15" xfId="0" applyNumberFormat="1" applyFont="1" applyFill="1" applyBorder="1" applyAlignment="1"/>
    <xf numFmtId="3" fontId="17" fillId="3" borderId="15" xfId="0" applyNumberFormat="1" applyFont="1" applyFill="1" applyBorder="1" applyAlignment="1"/>
    <xf numFmtId="3" fontId="11" fillId="0" borderId="15" xfId="0" applyNumberFormat="1" applyFont="1" applyFill="1" applyBorder="1"/>
    <xf numFmtId="3" fontId="7" fillId="0" borderId="15" xfId="0" applyNumberFormat="1" applyFont="1" applyBorder="1"/>
    <xf numFmtId="3" fontId="10" fillId="0" borderId="15" xfId="0" applyNumberFormat="1" applyFont="1" applyBorder="1"/>
    <xf numFmtId="0" fontId="7" fillId="0" borderId="16" xfId="0" applyFont="1" applyBorder="1"/>
    <xf numFmtId="49" fontId="7" fillId="0" borderId="6" xfId="0" applyNumberFormat="1" applyFont="1" applyBorder="1" applyAlignment="1">
      <alignment horizontal="center"/>
    </xf>
    <xf numFmtId="3" fontId="7" fillId="0" borderId="17" xfId="0" applyNumberFormat="1" applyFont="1" applyBorder="1"/>
    <xf numFmtId="3" fontId="7" fillId="13" borderId="2" xfId="0" applyNumberFormat="1" applyFont="1" applyFill="1" applyBorder="1" applyAlignment="1">
      <alignment vertical="center"/>
    </xf>
    <xf numFmtId="3" fontId="16" fillId="2" borderId="15" xfId="0" applyNumberFormat="1" applyFont="1" applyFill="1" applyBorder="1" applyAlignment="1">
      <alignment vertical="center"/>
    </xf>
    <xf numFmtId="3" fontId="27" fillId="7" borderId="15" xfId="0" applyNumberFormat="1" applyFont="1" applyFill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30" fillId="0" borderId="18" xfId="0" applyFont="1" applyBorder="1"/>
    <xf numFmtId="3" fontId="10" fillId="0" borderId="6" xfId="0" applyNumberFormat="1" applyFont="1" applyBorder="1"/>
    <xf numFmtId="3" fontId="10" fillId="0" borderId="17" xfId="0" applyNumberFormat="1" applyFont="1" applyBorder="1"/>
    <xf numFmtId="3" fontId="11" fillId="6" borderId="15" xfId="0" applyNumberFormat="1" applyFont="1" applyFill="1" applyBorder="1"/>
    <xf numFmtId="49" fontId="10" fillId="0" borderId="6" xfId="0" applyNumberFormat="1" applyFont="1" applyBorder="1" applyAlignment="1">
      <alignment horizontal="center"/>
    </xf>
    <xf numFmtId="0" fontId="39" fillId="0" borderId="5" xfId="0" applyFont="1" applyBorder="1" applyAlignment="1"/>
    <xf numFmtId="3" fontId="17" fillId="15" borderId="2" xfId="0" applyNumberFormat="1" applyFont="1" applyFill="1" applyBorder="1"/>
    <xf numFmtId="0" fontId="36" fillId="5" borderId="19" xfId="0" applyFont="1" applyFill="1" applyBorder="1"/>
    <xf numFmtId="0" fontId="20" fillId="5" borderId="20" xfId="0" applyFont="1" applyFill="1" applyBorder="1"/>
    <xf numFmtId="3" fontId="17" fillId="15" borderId="21" xfId="0" applyNumberFormat="1" applyFont="1" applyFill="1" applyBorder="1"/>
    <xf numFmtId="0" fontId="36" fillId="5" borderId="14" xfId="0" applyFont="1" applyFill="1" applyBorder="1"/>
    <xf numFmtId="0" fontId="32" fillId="0" borderId="14" xfId="0" applyFont="1" applyBorder="1" applyAlignment="1"/>
    <xf numFmtId="0" fontId="7" fillId="0" borderId="22" xfId="0" applyFont="1" applyBorder="1"/>
    <xf numFmtId="3" fontId="7" fillId="0" borderId="15" xfId="0" applyNumberFormat="1" applyFont="1" applyBorder="1" applyAlignment="1">
      <alignment vertical="center"/>
    </xf>
    <xf numFmtId="3" fontId="29" fillId="0" borderId="15" xfId="0" applyNumberFormat="1" applyFont="1" applyFill="1" applyBorder="1"/>
    <xf numFmtId="3" fontId="10" fillId="0" borderId="15" xfId="0" applyNumberFormat="1" applyFont="1" applyFill="1" applyBorder="1"/>
    <xf numFmtId="3" fontId="11" fillId="0" borderId="15" xfId="0" applyNumberFormat="1" applyFont="1" applyBorder="1"/>
    <xf numFmtId="0" fontId="11" fillId="0" borderId="6" xfId="0" applyFont="1" applyFill="1" applyBorder="1"/>
    <xf numFmtId="49" fontId="11" fillId="0" borderId="6" xfId="0" applyNumberFormat="1" applyFont="1" applyFill="1" applyBorder="1" applyAlignment="1">
      <alignment horizontal="center"/>
    </xf>
    <xf numFmtId="3" fontId="11" fillId="0" borderId="6" xfId="0" applyNumberFormat="1" applyFont="1" applyFill="1" applyBorder="1"/>
    <xf numFmtId="0" fontId="1" fillId="0" borderId="14" xfId="0" applyFont="1" applyBorder="1" applyAlignment="1">
      <alignment horizontal="center"/>
    </xf>
    <xf numFmtId="3" fontId="27" fillId="5" borderId="24" xfId="0" applyNumberFormat="1" applyFont="1" applyFill="1" applyBorder="1"/>
    <xf numFmtId="3" fontId="3" fillId="4" borderId="15" xfId="0" applyNumberFormat="1" applyFont="1" applyFill="1" applyBorder="1"/>
    <xf numFmtId="3" fontId="2" fillId="5" borderId="24" xfId="0" applyNumberFormat="1" applyFont="1" applyFill="1" applyBorder="1"/>
    <xf numFmtId="3" fontId="7" fillId="0" borderId="15" xfId="0" applyNumberFormat="1" applyFont="1" applyFill="1" applyBorder="1"/>
    <xf numFmtId="0" fontId="35" fillId="2" borderId="25" xfId="0" applyFont="1" applyFill="1" applyBorder="1" applyAlignment="1">
      <alignment vertical="center"/>
    </xf>
    <xf numFmtId="0" fontId="35" fillId="2" borderId="6" xfId="0" applyFont="1" applyFill="1" applyBorder="1" applyAlignment="1">
      <alignment vertical="center"/>
    </xf>
    <xf numFmtId="0" fontId="35" fillId="2" borderId="18" xfId="0" applyFont="1" applyFill="1" applyBorder="1" applyAlignment="1">
      <alignment vertical="center"/>
    </xf>
    <xf numFmtId="3" fontId="37" fillId="2" borderId="17" xfId="0" applyNumberFormat="1" applyFont="1" applyFill="1" applyBorder="1" applyAlignment="1">
      <alignment vertical="center"/>
    </xf>
    <xf numFmtId="0" fontId="9" fillId="2" borderId="26" xfId="0" applyFont="1" applyFill="1" applyBorder="1" applyAlignment="1">
      <alignment horizontal="center" vertical="center"/>
    </xf>
    <xf numFmtId="3" fontId="37" fillId="2" borderId="27" xfId="0" applyNumberFormat="1" applyFont="1" applyFill="1" applyBorder="1" applyAlignment="1">
      <alignment vertical="center"/>
    </xf>
    <xf numFmtId="0" fontId="23" fillId="6" borderId="28" xfId="0" applyFont="1" applyFill="1" applyBorder="1" applyAlignment="1">
      <alignment horizontal="center"/>
    </xf>
    <xf numFmtId="0" fontId="23" fillId="6" borderId="29" xfId="0" applyFont="1" applyFill="1" applyBorder="1"/>
    <xf numFmtId="3" fontId="38" fillId="6" borderId="23" xfId="0" applyNumberFormat="1" applyFont="1" applyFill="1" applyBorder="1"/>
    <xf numFmtId="0" fontId="7" fillId="0" borderId="5" xfId="0" applyFont="1" applyBorder="1"/>
    <xf numFmtId="0" fontId="11" fillId="0" borderId="3" xfId="0" applyFont="1" applyBorder="1"/>
    <xf numFmtId="0" fontId="1" fillId="0" borderId="2" xfId="0" applyFont="1" applyBorder="1" applyAlignment="1">
      <alignment horizontal="center"/>
    </xf>
    <xf numFmtId="0" fontId="36" fillId="5" borderId="14" xfId="0" applyFont="1" applyFill="1" applyBorder="1" applyAlignment="1">
      <alignment vertical="center"/>
    </xf>
    <xf numFmtId="3" fontId="17" fillId="5" borderId="2" xfId="0" applyNumberFormat="1" applyFont="1" applyFill="1" applyBorder="1" applyAlignment="1">
      <alignment vertical="center"/>
    </xf>
    <xf numFmtId="3" fontId="17" fillId="15" borderId="2" xfId="0" applyNumberFormat="1" applyFont="1" applyFill="1" applyBorder="1" applyAlignment="1">
      <alignment vertical="center"/>
    </xf>
    <xf numFmtId="0" fontId="36" fillId="5" borderId="16" xfId="0" applyFont="1" applyFill="1" applyBorder="1" applyAlignment="1">
      <alignment vertical="center"/>
    </xf>
    <xf numFmtId="3" fontId="17" fillId="5" borderId="6" xfId="0" applyNumberFormat="1" applyFont="1" applyFill="1" applyBorder="1" applyAlignment="1">
      <alignment vertical="center"/>
    </xf>
    <xf numFmtId="0" fontId="41" fillId="5" borderId="5" xfId="0" applyFont="1" applyFill="1" applyBorder="1" applyAlignment="1">
      <alignment vertical="center"/>
    </xf>
    <xf numFmtId="0" fontId="41" fillId="5" borderId="5" xfId="0" applyFont="1" applyFill="1" applyBorder="1" applyAlignment="1">
      <alignment vertical="center" wrapText="1"/>
    </xf>
    <xf numFmtId="0" fontId="41" fillId="5" borderId="25" xfId="0" applyFont="1" applyFill="1" applyBorder="1" applyAlignment="1">
      <alignment vertical="center" wrapText="1"/>
    </xf>
    <xf numFmtId="3" fontId="18" fillId="16" borderId="2" xfId="0" applyNumberFormat="1" applyFont="1" applyFill="1" applyBorder="1" applyAlignment="1"/>
    <xf numFmtId="0" fontId="10" fillId="0" borderId="0" xfId="0" applyFont="1" applyBorder="1"/>
    <xf numFmtId="0" fontId="10" fillId="0" borderId="1" xfId="0" applyFont="1" applyBorder="1"/>
    <xf numFmtId="0" fontId="10" fillId="0" borderId="30" xfId="0" applyFont="1" applyBorder="1"/>
    <xf numFmtId="3" fontId="47" fillId="0" borderId="6" xfId="0" applyNumberFormat="1" applyFont="1" applyBorder="1"/>
    <xf numFmtId="3" fontId="1" fillId="0" borderId="2" xfId="0" applyNumberFormat="1" applyFont="1" applyBorder="1"/>
    <xf numFmtId="0" fontId="10" fillId="0" borderId="31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vertical="center"/>
    </xf>
    <xf numFmtId="3" fontId="10" fillId="0" borderId="15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" fillId="0" borderId="1" xfId="0" applyFont="1" applyBorder="1"/>
    <xf numFmtId="0" fontId="33" fillId="4" borderId="32" xfId="0" applyFont="1" applyFill="1" applyBorder="1"/>
    <xf numFmtId="0" fontId="33" fillId="6" borderId="33" xfId="0" applyFont="1" applyFill="1" applyBorder="1" applyAlignment="1"/>
    <xf numFmtId="0" fontId="33" fillId="0" borderId="32" xfId="0" applyFont="1" applyBorder="1"/>
    <xf numFmtId="0" fontId="33" fillId="5" borderId="1" xfId="0" applyFont="1" applyFill="1" applyBorder="1"/>
    <xf numFmtId="0" fontId="48" fillId="13" borderId="0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18" fillId="5" borderId="6" xfId="0" applyFont="1" applyFill="1" applyBorder="1" applyAlignment="1"/>
    <xf numFmtId="3" fontId="18" fillId="5" borderId="6" xfId="0" applyNumberFormat="1" applyFont="1" applyFill="1" applyBorder="1" applyAlignment="1"/>
    <xf numFmtId="3" fontId="18" fillId="5" borderId="17" xfId="0" applyNumberFormat="1" applyFont="1" applyFill="1" applyBorder="1" applyAlignment="1"/>
    <xf numFmtId="0" fontId="10" fillId="0" borderId="2" xfId="0" applyFont="1" applyFill="1" applyBorder="1" applyAlignment="1">
      <alignment horizontal="center"/>
    </xf>
    <xf numFmtId="0" fontId="0" fillId="0" borderId="0" xfId="0" applyFill="1" applyBorder="1"/>
    <xf numFmtId="3" fontId="1" fillId="0" borderId="2" xfId="0" applyNumberFormat="1" applyFont="1" applyFill="1" applyBorder="1"/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0" fillId="0" borderId="35" xfId="0" applyBorder="1"/>
    <xf numFmtId="0" fontId="0" fillId="0" borderId="0" xfId="0" applyBorder="1"/>
    <xf numFmtId="3" fontId="1" fillId="0" borderId="6" xfId="0" applyNumberFormat="1" applyFont="1" applyBorder="1"/>
    <xf numFmtId="3" fontId="7" fillId="13" borderId="15" xfId="0" applyNumberFormat="1" applyFont="1" applyFill="1" applyBorder="1"/>
    <xf numFmtId="3" fontId="10" fillId="0" borderId="27" xfId="0" applyNumberFormat="1" applyFont="1" applyBorder="1"/>
    <xf numFmtId="0" fontId="10" fillId="0" borderId="2" xfId="0" applyFont="1" applyBorder="1" applyAlignment="1">
      <alignment vertical="center" wrapText="1"/>
    </xf>
    <xf numFmtId="3" fontId="10" fillId="0" borderId="2" xfId="0" applyNumberFormat="1" applyFont="1" applyFill="1" applyBorder="1" applyAlignment="1">
      <alignment vertical="center"/>
    </xf>
    <xf numFmtId="0" fontId="3" fillId="0" borderId="2" xfId="0" applyFont="1" applyBorder="1"/>
    <xf numFmtId="3" fontId="3" fillId="0" borderId="2" xfId="0" applyNumberFormat="1" applyFont="1" applyBorder="1"/>
    <xf numFmtId="0" fontId="0" fillId="0" borderId="2" xfId="0" applyBorder="1"/>
    <xf numFmtId="3" fontId="0" fillId="0" borderId="2" xfId="0" applyNumberFormat="1" applyBorder="1"/>
    <xf numFmtId="0" fontId="22" fillId="0" borderId="2" xfId="0" applyFont="1" applyBorder="1"/>
    <xf numFmtId="0" fontId="50" fillId="0" borderId="0" xfId="0" applyFont="1" applyBorder="1" applyAlignment="1">
      <alignment vertical="center"/>
    </xf>
    <xf numFmtId="3" fontId="3" fillId="0" borderId="0" xfId="0" applyNumberFormat="1" applyFont="1"/>
    <xf numFmtId="3" fontId="0" fillId="0" borderId="0" xfId="0" applyNumberFormat="1" applyFill="1" applyBorder="1"/>
    <xf numFmtId="49" fontId="7" fillId="0" borderId="2" xfId="0" applyNumberFormat="1" applyFont="1" applyFill="1" applyBorder="1" applyAlignment="1">
      <alignment horizontal="center"/>
    </xf>
    <xf numFmtId="0" fontId="35" fillId="2" borderId="54" xfId="0" applyFont="1" applyFill="1" applyBorder="1" applyAlignment="1">
      <alignment vertical="center"/>
    </xf>
    <xf numFmtId="0" fontId="9" fillId="2" borderId="54" xfId="0" applyFont="1" applyFill="1" applyBorder="1" applyAlignment="1">
      <alignment vertical="center"/>
    </xf>
    <xf numFmtId="3" fontId="37" fillId="2" borderId="55" xfId="0" applyNumberFormat="1" applyFont="1" applyFill="1" applyBorder="1" applyAlignment="1">
      <alignment vertical="center"/>
    </xf>
    <xf numFmtId="49" fontId="11" fillId="0" borderId="2" xfId="0" applyNumberFormat="1" applyFont="1" applyFill="1" applyBorder="1"/>
    <xf numFmtId="0" fontId="11" fillId="0" borderId="2" xfId="0" applyFont="1" applyFill="1" applyBorder="1" applyAlignment="1">
      <alignment horizontal="center"/>
    </xf>
    <xf numFmtId="49" fontId="7" fillId="0" borderId="2" xfId="0" applyNumberFormat="1" applyFont="1" applyBorder="1"/>
    <xf numFmtId="0" fontId="7" fillId="0" borderId="2" xfId="0" applyFont="1" applyBorder="1" applyAlignment="1">
      <alignment horizontal="center"/>
    </xf>
    <xf numFmtId="3" fontId="30" fillId="0" borderId="2" xfId="0" applyNumberFormat="1" applyFont="1" applyBorder="1"/>
    <xf numFmtId="3" fontId="30" fillId="0" borderId="15" xfId="0" applyNumberFormat="1" applyFont="1" applyBorder="1"/>
    <xf numFmtId="0" fontId="7" fillId="0" borderId="26" xfId="0" applyFont="1" applyBorder="1"/>
    <xf numFmtId="0" fontId="10" fillId="0" borderId="1" xfId="0" applyFont="1" applyBorder="1" applyAlignment="1">
      <alignment horizontal="center"/>
    </xf>
    <xf numFmtId="0" fontId="30" fillId="0" borderId="64" xfId="0" applyFont="1" applyBorder="1"/>
    <xf numFmtId="3" fontId="47" fillId="0" borderId="1" xfId="0" applyNumberFormat="1" applyFont="1" applyBorder="1"/>
    <xf numFmtId="3" fontId="10" fillId="0" borderId="1" xfId="0" applyNumberFormat="1" applyFont="1" applyBorder="1"/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3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right" vertical="center"/>
    </xf>
    <xf numFmtId="3" fontId="7" fillId="0" borderId="15" xfId="0" applyNumberFormat="1" applyFont="1" applyFill="1" applyBorder="1" applyAlignment="1">
      <alignment horizontal="right" vertical="center"/>
    </xf>
    <xf numFmtId="0" fontId="0" fillId="0" borderId="7" xfId="0" applyBorder="1" applyAlignment="1"/>
    <xf numFmtId="0" fontId="25" fillId="8" borderId="5" xfId="0" applyFont="1" applyFill="1" applyBorder="1" applyAlignment="1"/>
    <xf numFmtId="0" fontId="0" fillId="0" borderId="7" xfId="0" applyBorder="1" applyAlignment="1"/>
    <xf numFmtId="0" fontId="25" fillId="8" borderId="5" xfId="0" applyFont="1" applyFill="1" applyBorder="1" applyAlignment="1"/>
    <xf numFmtId="3" fontId="3" fillId="4" borderId="5" xfId="0" applyNumberFormat="1" applyFont="1" applyFill="1" applyBorder="1"/>
    <xf numFmtId="3" fontId="11" fillId="0" borderId="5" xfId="0" applyNumberFormat="1" applyFont="1" applyBorder="1"/>
    <xf numFmtId="3" fontId="7" fillId="0" borderId="5" xfId="0" applyNumberFormat="1" applyFont="1" applyBorder="1"/>
    <xf numFmtId="3" fontId="1" fillId="0" borderId="15" xfId="0" applyNumberFormat="1" applyFont="1" applyFill="1" applyBorder="1"/>
    <xf numFmtId="0" fontId="11" fillId="0" borderId="5" xfId="0" applyFont="1" applyFill="1" applyBorder="1"/>
    <xf numFmtId="0" fontId="11" fillId="0" borderId="7" xfId="0" applyFont="1" applyFill="1" applyBorder="1"/>
    <xf numFmtId="49" fontId="11" fillId="0" borderId="7" xfId="0" applyNumberFormat="1" applyFont="1" applyFill="1" applyBorder="1" applyAlignment="1">
      <alignment horizontal="center"/>
    </xf>
    <xf numFmtId="0" fontId="11" fillId="0" borderId="3" xfId="0" applyFont="1" applyFill="1" applyBorder="1"/>
    <xf numFmtId="3" fontId="11" fillId="0" borderId="3" xfId="0" applyNumberFormat="1" applyFont="1" applyBorder="1"/>
    <xf numFmtId="3" fontId="7" fillId="0" borderId="3" xfId="0" applyNumberFormat="1" applyFont="1" applyBorder="1"/>
    <xf numFmtId="3" fontId="30" fillId="0" borderId="3" xfId="0" applyNumberFormat="1" applyFont="1" applyBorder="1"/>
    <xf numFmtId="49" fontId="10" fillId="0" borderId="1" xfId="0" applyNumberFormat="1" applyFont="1" applyBorder="1" applyAlignment="1">
      <alignment horizontal="center"/>
    </xf>
    <xf numFmtId="0" fontId="33" fillId="4" borderId="1" xfId="0" applyFont="1" applyFill="1" applyBorder="1"/>
    <xf numFmtId="0" fontId="33" fillId="0" borderId="2" xfId="0" applyFont="1" applyFill="1" applyBorder="1" applyAlignment="1"/>
    <xf numFmtId="0" fontId="33" fillId="0" borderId="6" xfId="0" applyFont="1" applyFill="1" applyBorder="1" applyAlignment="1"/>
    <xf numFmtId="0" fontId="27" fillId="6" borderId="10" xfId="0" applyFont="1" applyFill="1" applyBorder="1" applyAlignment="1"/>
    <xf numFmtId="0" fontId="11" fillId="0" borderId="5" xfId="0" applyFont="1" applyBorder="1"/>
    <xf numFmtId="0" fontId="9" fillId="2" borderId="25" xfId="0" applyFont="1" applyFill="1" applyBorder="1" applyAlignment="1">
      <alignment vertical="center"/>
    </xf>
    <xf numFmtId="3" fontId="27" fillId="6" borderId="36" xfId="0" applyNumberFormat="1" applyFont="1" applyFill="1" applyBorder="1" applyAlignment="1"/>
    <xf numFmtId="0" fontId="10" fillId="0" borderId="7" xfId="0" applyFont="1" applyBorder="1"/>
    <xf numFmtId="0" fontId="7" fillId="0" borderId="1" xfId="0" applyFont="1" applyBorder="1"/>
    <xf numFmtId="0" fontId="11" fillId="0" borderId="2" xfId="0" applyFont="1" applyBorder="1" applyAlignment="1">
      <alignment wrapText="1"/>
    </xf>
    <xf numFmtId="3" fontId="11" fillId="0" borderId="15" xfId="0" applyNumberFormat="1" applyFont="1" applyBorder="1" applyAlignment="1">
      <alignment vertical="center"/>
    </xf>
    <xf numFmtId="0" fontId="0" fillId="0" borderId="7" xfId="0" applyBorder="1" applyAlignment="1"/>
    <xf numFmtId="0" fontId="18" fillId="5" borderId="2" xfId="0" applyFont="1" applyFill="1" applyBorder="1" applyAlignment="1"/>
    <xf numFmtId="0" fontId="17" fillId="3" borderId="2" xfId="0" applyFont="1" applyFill="1" applyBorder="1" applyAlignment="1"/>
    <xf numFmtId="49" fontId="12" fillId="12" borderId="43" xfId="0" applyNumberFormat="1" applyFont="1" applyFill="1" applyBorder="1" applyAlignment="1">
      <alignment horizontal="center" vertical="center"/>
    </xf>
    <xf numFmtId="0" fontId="0" fillId="0" borderId="9" xfId="0" applyBorder="1" applyAlignment="1"/>
    <xf numFmtId="49" fontId="12" fillId="12" borderId="65" xfId="0" applyNumberFormat="1" applyFont="1" applyFill="1" applyBorder="1" applyAlignment="1">
      <alignment horizontal="center" vertical="center"/>
    </xf>
    <xf numFmtId="3" fontId="16" fillId="2" borderId="8" xfId="0" applyNumberFormat="1" applyFont="1" applyFill="1" applyBorder="1" applyAlignment="1">
      <alignment vertical="center"/>
    </xf>
    <xf numFmtId="3" fontId="18" fillId="5" borderId="5" xfId="0" applyNumberFormat="1" applyFont="1" applyFill="1" applyBorder="1" applyAlignment="1"/>
    <xf numFmtId="3" fontId="17" fillId="3" borderId="5" xfId="0" applyNumberFormat="1" applyFont="1" applyFill="1" applyBorder="1" applyAlignment="1"/>
    <xf numFmtId="3" fontId="11" fillId="0" borderId="5" xfId="0" applyNumberFormat="1" applyFont="1" applyFill="1" applyBorder="1"/>
    <xf numFmtId="3" fontId="10" fillId="0" borderId="5" xfId="0" applyNumberFormat="1" applyFont="1" applyBorder="1"/>
    <xf numFmtId="3" fontId="18" fillId="5" borderId="25" xfId="0" applyNumberFormat="1" applyFont="1" applyFill="1" applyBorder="1" applyAlignment="1"/>
    <xf numFmtId="3" fontId="16" fillId="2" borderId="5" xfId="0" applyNumberFormat="1" applyFont="1" applyFill="1" applyBorder="1" applyAlignment="1">
      <alignment vertical="center"/>
    </xf>
    <xf numFmtId="3" fontId="10" fillId="0" borderId="25" xfId="0" applyNumberFormat="1" applyFont="1" applyBorder="1"/>
    <xf numFmtId="3" fontId="27" fillId="7" borderId="5" xfId="0" applyNumberFormat="1" applyFont="1" applyFill="1" applyBorder="1"/>
    <xf numFmtId="3" fontId="10" fillId="0" borderId="5" xfId="0" applyNumberFormat="1" applyFont="1" applyBorder="1" applyAlignment="1">
      <alignment vertical="center"/>
    </xf>
    <xf numFmtId="3" fontId="7" fillId="0" borderId="5" xfId="0" applyNumberFormat="1" applyFont="1" applyFill="1" applyBorder="1"/>
    <xf numFmtId="3" fontId="10" fillId="0" borderId="30" xfId="0" applyNumberFormat="1" applyFont="1" applyBorder="1"/>
    <xf numFmtId="0" fontId="0" fillId="0" borderId="48" xfId="0" applyFill="1" applyBorder="1"/>
    <xf numFmtId="49" fontId="12" fillId="0" borderId="48" xfId="0" applyNumberFormat="1" applyFont="1" applyFill="1" applyBorder="1" applyAlignment="1">
      <alignment horizontal="center" vertical="center"/>
    </xf>
    <xf numFmtId="0" fontId="10" fillId="0" borderId="48" xfId="0" applyFont="1" applyFill="1" applyBorder="1"/>
    <xf numFmtId="49" fontId="12" fillId="0" borderId="35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7" fillId="0" borderId="48" xfId="0" applyNumberFormat="1" applyFont="1" applyFill="1" applyBorder="1"/>
    <xf numFmtId="3" fontId="11" fillId="0" borderId="48" xfId="0" applyNumberFormat="1" applyFont="1" applyFill="1" applyBorder="1"/>
    <xf numFmtId="3" fontId="10" fillId="0" borderId="48" xfId="0" applyNumberFormat="1" applyFont="1" applyFill="1" applyBorder="1"/>
    <xf numFmtId="0" fontId="0" fillId="0" borderId="0" xfId="0" applyFill="1" applyBorder="1" applyAlignment="1">
      <alignment vertical="center"/>
    </xf>
    <xf numFmtId="0" fontId="22" fillId="0" borderId="48" xfId="0" applyFont="1" applyFill="1" applyBorder="1"/>
    <xf numFmtId="0" fontId="0" fillId="0" borderId="47" xfId="0" applyFill="1" applyBorder="1"/>
    <xf numFmtId="3" fontId="7" fillId="0" borderId="1" xfId="0" applyNumberFormat="1" applyFont="1" applyBorder="1"/>
    <xf numFmtId="3" fontId="7" fillId="0" borderId="30" xfId="0" applyNumberFormat="1" applyFont="1" applyBorder="1"/>
    <xf numFmtId="3" fontId="7" fillId="0" borderId="27" xfId="0" applyNumberFormat="1" applyFont="1" applyBorder="1"/>
    <xf numFmtId="3" fontId="0" fillId="0" borderId="43" xfId="0" applyNumberFormat="1" applyBorder="1"/>
    <xf numFmtId="0" fontId="0" fillId="0" borderId="43" xfId="0" applyFill="1" applyBorder="1"/>
    <xf numFmtId="3" fontId="18" fillId="5" borderId="7" xfId="0" applyNumberFormat="1" applyFont="1" applyFill="1" applyBorder="1" applyAlignment="1"/>
    <xf numFmtId="0" fontId="0" fillId="0" borderId="34" xfId="0" applyFill="1" applyBorder="1"/>
    <xf numFmtId="3" fontId="10" fillId="0" borderId="74" xfId="0" applyNumberFormat="1" applyFont="1" applyBorder="1"/>
    <xf numFmtId="3" fontId="10" fillId="0" borderId="34" xfId="0" applyNumberFormat="1" applyFont="1" applyFill="1" applyBorder="1"/>
    <xf numFmtId="3" fontId="17" fillId="15" borderId="20" xfId="0" applyNumberFormat="1" applyFont="1" applyFill="1" applyBorder="1"/>
    <xf numFmtId="3" fontId="21" fillId="0" borderId="5" xfId="0" applyNumberFormat="1" applyFont="1" applyBorder="1" applyAlignment="1"/>
    <xf numFmtId="3" fontId="17" fillId="5" borderId="5" xfId="0" applyNumberFormat="1" applyFont="1" applyFill="1" applyBorder="1" applyAlignment="1">
      <alignment vertical="center"/>
    </xf>
    <xf numFmtId="3" fontId="17" fillId="5" borderId="25" xfId="0" applyNumberFormat="1" applyFont="1" applyFill="1" applyBorder="1" applyAlignment="1">
      <alignment vertical="center"/>
    </xf>
    <xf numFmtId="0" fontId="0" fillId="18" borderId="63" xfId="0" applyFill="1" applyBorder="1" applyAlignment="1"/>
    <xf numFmtId="0" fontId="0" fillId="17" borderId="9" xfId="0" applyFill="1" applyBorder="1" applyAlignment="1"/>
    <xf numFmtId="0" fontId="0" fillId="17" borderId="7" xfId="0" applyFill="1" applyBorder="1" applyAlignment="1"/>
    <xf numFmtId="3" fontId="55" fillId="20" borderId="49" xfId="0" applyNumberFormat="1" applyFont="1" applyFill="1" applyBorder="1" applyAlignment="1">
      <alignment horizontal="center" vertical="center" wrapText="1"/>
    </xf>
    <xf numFmtId="3" fontId="19" fillId="20" borderId="33" xfId="0" applyNumberFormat="1" applyFont="1" applyFill="1" applyBorder="1" applyAlignment="1">
      <alignment horizontal="center" vertical="center" wrapText="1"/>
    </xf>
    <xf numFmtId="3" fontId="19" fillId="20" borderId="36" xfId="0" applyNumberFormat="1" applyFont="1" applyFill="1" applyBorder="1" applyAlignment="1">
      <alignment horizontal="center" vertical="center" wrapText="1"/>
    </xf>
    <xf numFmtId="3" fontId="55" fillId="20" borderId="7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6" xfId="0" applyFont="1" applyBorder="1"/>
    <xf numFmtId="3" fontId="11" fillId="0" borderId="6" xfId="0" applyNumberFormat="1" applyFont="1" applyBorder="1"/>
    <xf numFmtId="3" fontId="11" fillId="0" borderId="25" xfId="0" applyNumberFormat="1" applyFont="1" applyBorder="1"/>
    <xf numFmtId="3" fontId="11" fillId="0" borderId="17" xfId="0" applyNumberFormat="1" applyFont="1" applyBorder="1"/>
    <xf numFmtId="0" fontId="3" fillId="0" borderId="74" xfId="0" applyFont="1" applyFill="1" applyBorder="1"/>
    <xf numFmtId="49" fontId="12" fillId="12" borderId="43" xfId="0" applyNumberFormat="1" applyFont="1" applyFill="1" applyBorder="1" applyAlignment="1">
      <alignment horizontal="center" vertical="center"/>
    </xf>
    <xf numFmtId="3" fontId="26" fillId="2" borderId="62" xfId="0" applyNumberFormat="1" applyFont="1" applyFill="1" applyBorder="1" applyAlignment="1"/>
    <xf numFmtId="0" fontId="7" fillId="0" borderId="14" xfId="0" applyFont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0" fillId="13" borderId="0" xfId="0" applyFill="1" applyBorder="1" applyAlignment="1">
      <alignment vertical="center"/>
    </xf>
    <xf numFmtId="3" fontId="11" fillId="0" borderId="74" xfId="0" applyNumberFormat="1" applyFont="1" applyFill="1" applyBorder="1"/>
    <xf numFmtId="3" fontId="11" fillId="0" borderId="17" xfId="0" applyNumberFormat="1" applyFont="1" applyFill="1" applyBorder="1"/>
    <xf numFmtId="0" fontId="11" fillId="0" borderId="2" xfId="0" applyFont="1" applyFill="1" applyBorder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3" fontId="11" fillId="0" borderId="15" xfId="0" applyNumberFormat="1" applyFont="1" applyFill="1" applyBorder="1" applyAlignment="1">
      <alignment vertical="center"/>
    </xf>
    <xf numFmtId="3" fontId="7" fillId="0" borderId="74" xfId="0" applyNumberFormat="1" applyFont="1" applyBorder="1"/>
    <xf numFmtId="3" fontId="7" fillId="0" borderId="24" xfId="0" applyNumberFormat="1" applyFont="1" applyBorder="1"/>
    <xf numFmtId="3" fontId="11" fillId="0" borderId="24" xfId="0" applyNumberFormat="1" applyFont="1" applyFill="1" applyBorder="1"/>
    <xf numFmtId="3" fontId="17" fillId="3" borderId="24" xfId="0" applyNumberFormat="1" applyFont="1" applyFill="1" applyBorder="1" applyAlignment="1"/>
    <xf numFmtId="3" fontId="7" fillId="0" borderId="24" xfId="0" applyNumberFormat="1" applyFont="1" applyFill="1" applyBorder="1"/>
    <xf numFmtId="3" fontId="27" fillId="7" borderId="24" xfId="0" applyNumberFormat="1" applyFont="1" applyFill="1" applyBorder="1"/>
    <xf numFmtId="3" fontId="18" fillId="5" borderId="24" xfId="0" applyNumberFormat="1" applyFont="1" applyFill="1" applyBorder="1" applyAlignment="1"/>
    <xf numFmtId="3" fontId="7" fillId="0" borderId="76" xfId="0" applyNumberFormat="1" applyFont="1" applyBorder="1"/>
    <xf numFmtId="3" fontId="11" fillId="0" borderId="3" xfId="0" applyNumberFormat="1" applyFont="1" applyFill="1" applyBorder="1"/>
    <xf numFmtId="3" fontId="17" fillId="3" borderId="3" xfId="0" applyNumberFormat="1" applyFont="1" applyFill="1" applyBorder="1" applyAlignment="1"/>
    <xf numFmtId="3" fontId="27" fillId="7" borderId="3" xfId="0" applyNumberFormat="1" applyFont="1" applyFill="1" applyBorder="1"/>
    <xf numFmtId="3" fontId="18" fillId="5" borderId="3" xfId="0" applyNumberFormat="1" applyFont="1" applyFill="1" applyBorder="1" applyAlignment="1"/>
    <xf numFmtId="3" fontId="7" fillId="0" borderId="48" xfId="0" applyNumberFormat="1" applyFont="1" applyBorder="1"/>
    <xf numFmtId="49" fontId="12" fillId="0" borderId="0" xfId="0" applyNumberFormat="1" applyFont="1" applyFill="1" applyBorder="1" applyAlignment="1">
      <alignment horizontal="center" vertical="center"/>
    </xf>
    <xf numFmtId="0" fontId="0" fillId="0" borderId="35" xfId="0" applyFill="1" applyBorder="1"/>
    <xf numFmtId="3" fontId="7" fillId="0" borderId="35" xfId="0" applyNumberFormat="1" applyFont="1" applyFill="1" applyBorder="1"/>
    <xf numFmtId="3" fontId="16" fillId="0" borderId="35" xfId="0" applyNumberFormat="1" applyFont="1" applyFill="1" applyBorder="1" applyAlignment="1">
      <alignment vertical="center"/>
    </xf>
    <xf numFmtId="3" fontId="16" fillId="2" borderId="76" xfId="0" applyNumberFormat="1" applyFont="1" applyFill="1" applyBorder="1" applyAlignment="1">
      <alignment vertical="center"/>
    </xf>
    <xf numFmtId="3" fontId="18" fillId="5" borderId="76" xfId="0" applyNumberFormat="1" applyFont="1" applyFill="1" applyBorder="1" applyAlignment="1"/>
    <xf numFmtId="3" fontId="27" fillId="7" borderId="76" xfId="0" applyNumberFormat="1" applyFont="1" applyFill="1" applyBorder="1"/>
    <xf numFmtId="3" fontId="11" fillId="0" borderId="76" xfId="0" applyNumberFormat="1" applyFont="1" applyFill="1" applyBorder="1"/>
    <xf numFmtId="3" fontId="10" fillId="0" borderId="76" xfId="0" applyNumberFormat="1" applyFont="1" applyBorder="1"/>
    <xf numFmtId="3" fontId="10" fillId="0" borderId="76" xfId="0" applyNumberFormat="1" applyFont="1" applyBorder="1" applyAlignment="1">
      <alignment vertical="center"/>
    </xf>
    <xf numFmtId="3" fontId="17" fillId="3" borderId="76" xfId="0" applyNumberFormat="1" applyFont="1" applyFill="1" applyBorder="1" applyAlignment="1"/>
    <xf numFmtId="3" fontId="16" fillId="2" borderId="24" xfId="0" applyNumberFormat="1" applyFont="1" applyFill="1" applyBorder="1" applyAlignment="1">
      <alignment vertical="center"/>
    </xf>
    <xf numFmtId="3" fontId="10" fillId="0" borderId="24" xfId="0" applyNumberFormat="1" applyFont="1" applyBorder="1"/>
    <xf numFmtId="3" fontId="10" fillId="0" borderId="78" xfId="0" applyNumberFormat="1" applyFont="1" applyBorder="1"/>
    <xf numFmtId="3" fontId="10" fillId="0" borderId="79" xfId="0" applyNumberFormat="1" applyFont="1" applyBorder="1"/>
    <xf numFmtId="0" fontId="0" fillId="0" borderId="48" xfId="0" applyFill="1" applyBorder="1" applyAlignment="1">
      <alignment vertical="center"/>
    </xf>
    <xf numFmtId="3" fontId="16" fillId="2" borderId="3" xfId="0" applyNumberFormat="1" applyFont="1" applyFill="1" applyBorder="1" applyAlignment="1">
      <alignment vertical="center"/>
    </xf>
    <xf numFmtId="3" fontId="10" fillId="0" borderId="3" xfId="0" applyNumberFormat="1" applyFont="1" applyBorder="1"/>
    <xf numFmtId="3" fontId="10" fillId="0" borderId="3" xfId="0" applyNumberFormat="1" applyFont="1" applyBorder="1" applyAlignment="1">
      <alignment vertical="center"/>
    </xf>
    <xf numFmtId="3" fontId="7" fillId="0" borderId="3" xfId="0" applyNumberFormat="1" applyFont="1" applyFill="1" applyBorder="1"/>
    <xf numFmtId="3" fontId="7" fillId="0" borderId="64" xfId="0" applyNumberFormat="1" applyFont="1" applyBorder="1"/>
    <xf numFmtId="3" fontId="10" fillId="0" borderId="24" xfId="0" applyNumberFormat="1" applyFont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horizontal="center" vertical="center"/>
    </xf>
    <xf numFmtId="3" fontId="18" fillId="16" borderId="5" xfId="0" applyNumberFormat="1" applyFont="1" applyFill="1" applyBorder="1" applyAlignment="1"/>
    <xf numFmtId="3" fontId="7" fillId="0" borderId="5" xfId="0" applyNumberFormat="1" applyFont="1" applyBorder="1" applyAlignment="1">
      <alignment vertical="center"/>
    </xf>
    <xf numFmtId="3" fontId="11" fillId="0" borderId="3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horizontal="right" vertical="center"/>
    </xf>
    <xf numFmtId="3" fontId="10" fillId="13" borderId="3" xfId="0" applyNumberFormat="1" applyFont="1" applyFill="1" applyBorder="1"/>
    <xf numFmtId="3" fontId="7" fillId="0" borderId="3" xfId="0" applyNumberFormat="1" applyFont="1" applyBorder="1" applyAlignment="1">
      <alignment vertical="center"/>
    </xf>
    <xf numFmtId="3" fontId="10" fillId="0" borderId="18" xfId="0" applyNumberFormat="1" applyFont="1" applyBorder="1"/>
    <xf numFmtId="3" fontId="27" fillId="0" borderId="48" xfId="0" applyNumberFormat="1" applyFont="1" applyFill="1" applyBorder="1"/>
    <xf numFmtId="3" fontId="7" fillId="0" borderId="5" xfId="0" applyNumberFormat="1" applyFont="1" applyFill="1" applyBorder="1" applyAlignment="1">
      <alignment horizontal="right" vertical="center"/>
    </xf>
    <xf numFmtId="3" fontId="10" fillId="13" borderId="5" xfId="0" applyNumberFormat="1" applyFont="1" applyFill="1" applyBorder="1"/>
    <xf numFmtId="3" fontId="11" fillId="0" borderId="24" xfId="0" applyNumberFormat="1" applyFont="1" applyFill="1" applyBorder="1" applyAlignment="1">
      <alignment vertical="center"/>
    </xf>
    <xf numFmtId="3" fontId="7" fillId="0" borderId="24" xfId="0" applyNumberFormat="1" applyFont="1" applyFill="1" applyBorder="1" applyAlignment="1">
      <alignment horizontal="right" vertical="center"/>
    </xf>
    <xf numFmtId="3" fontId="7" fillId="0" borderId="24" xfId="0" applyNumberFormat="1" applyFont="1" applyBorder="1" applyAlignment="1">
      <alignment vertical="center"/>
    </xf>
    <xf numFmtId="3" fontId="7" fillId="13" borderId="5" xfId="0" applyNumberFormat="1" applyFont="1" applyFill="1" applyBorder="1"/>
    <xf numFmtId="3" fontId="11" fillId="6" borderId="5" xfId="0" applyNumberFormat="1" applyFont="1" applyFill="1" applyBorder="1"/>
    <xf numFmtId="3" fontId="27" fillId="14" borderId="5" xfId="0" applyNumberFormat="1" applyFont="1" applyFill="1" applyBorder="1"/>
    <xf numFmtId="3" fontId="11" fillId="0" borderId="25" xfId="0" applyNumberFormat="1" applyFont="1" applyFill="1" applyBorder="1"/>
    <xf numFmtId="3" fontId="11" fillId="6" borderId="3" xfId="0" applyNumberFormat="1" applyFont="1" applyFill="1" applyBorder="1"/>
    <xf numFmtId="3" fontId="7" fillId="13" borderId="3" xfId="0" applyNumberFormat="1" applyFont="1" applyFill="1" applyBorder="1"/>
    <xf numFmtId="3" fontId="11" fillId="0" borderId="18" xfId="0" applyNumberFormat="1" applyFont="1" applyFill="1" applyBorder="1"/>
    <xf numFmtId="3" fontId="18" fillId="5" borderId="48" xfId="0" applyNumberFormat="1" applyFont="1" applyFill="1" applyBorder="1" applyAlignment="1"/>
    <xf numFmtId="3" fontId="1" fillId="0" borderId="48" xfId="0" applyNumberFormat="1" applyFont="1" applyFill="1" applyBorder="1"/>
    <xf numFmtId="3" fontId="11" fillId="6" borderId="48" xfId="0" applyNumberFormat="1" applyFont="1" applyFill="1" applyBorder="1"/>
    <xf numFmtId="0" fontId="3" fillId="0" borderId="48" xfId="0" applyFont="1" applyFill="1" applyBorder="1"/>
    <xf numFmtId="3" fontId="30" fillId="0" borderId="5" xfId="0" applyNumberFormat="1" applyFont="1" applyBorder="1"/>
    <xf numFmtId="3" fontId="29" fillId="0" borderId="24" xfId="0" applyNumberFormat="1" applyFont="1" applyFill="1" applyBorder="1"/>
    <xf numFmtId="3" fontId="10" fillId="0" borderId="24" xfId="0" applyNumberFormat="1" applyFont="1" applyFill="1" applyBorder="1"/>
    <xf numFmtId="3" fontId="11" fillId="6" borderId="24" xfId="0" applyNumberFormat="1" applyFont="1" applyFill="1" applyBorder="1"/>
    <xf numFmtId="3" fontId="11" fillId="0" borderId="24" xfId="0" applyNumberFormat="1" applyFont="1" applyBorder="1"/>
    <xf numFmtId="3" fontId="30" fillId="0" borderId="24" xfId="0" applyNumberFormat="1" applyFont="1" applyBorder="1"/>
    <xf numFmtId="3" fontId="11" fillId="0" borderId="78" xfId="0" applyNumberFormat="1" applyFont="1" applyFill="1" applyBorder="1"/>
    <xf numFmtId="3" fontId="10" fillId="0" borderId="5" xfId="0" applyNumberFormat="1" applyFont="1" applyFill="1" applyBorder="1"/>
    <xf numFmtId="3" fontId="1" fillId="0" borderId="5" xfId="0" applyNumberFormat="1" applyFont="1" applyBorder="1"/>
    <xf numFmtId="3" fontId="1" fillId="0" borderId="5" xfId="0" applyNumberFormat="1" applyFont="1" applyFill="1" applyBorder="1"/>
    <xf numFmtId="3" fontId="1" fillId="0" borderId="25" xfId="0" applyNumberFormat="1" applyFont="1" applyBorder="1"/>
    <xf numFmtId="3" fontId="10" fillId="0" borderId="3" xfId="0" applyNumberFormat="1" applyFont="1" applyFill="1" applyBorder="1"/>
    <xf numFmtId="3" fontId="10" fillId="0" borderId="3" xfId="0" applyNumberFormat="1" applyFont="1" applyFill="1" applyBorder="1" applyAlignment="1">
      <alignment vertical="center"/>
    </xf>
    <xf numFmtId="3" fontId="7" fillId="13" borderId="5" xfId="0" applyNumberFormat="1" applyFont="1" applyFill="1" applyBorder="1" applyAlignment="1">
      <alignment vertical="center"/>
    </xf>
    <xf numFmtId="3" fontId="1" fillId="0" borderId="3" xfId="0" applyNumberFormat="1" applyFont="1" applyFill="1" applyBorder="1"/>
    <xf numFmtId="3" fontId="1" fillId="0" borderId="24" xfId="0" applyNumberFormat="1" applyFont="1" applyFill="1" applyBorder="1"/>
    <xf numFmtId="3" fontId="7" fillId="0" borderId="25" xfId="0" applyNumberFormat="1" applyFont="1" applyBorder="1"/>
    <xf numFmtId="3" fontId="7" fillId="0" borderId="18" xfId="0" applyNumberFormat="1" applyFont="1" applyBorder="1"/>
    <xf numFmtId="3" fontId="7" fillId="0" borderId="79" xfId="0" applyNumberFormat="1" applyFont="1" applyBorder="1"/>
    <xf numFmtId="3" fontId="13" fillId="0" borderId="3" xfId="0" applyNumberFormat="1" applyFont="1" applyBorder="1"/>
    <xf numFmtId="3" fontId="0" fillId="0" borderId="48" xfId="0" applyNumberFormat="1" applyFill="1" applyBorder="1"/>
    <xf numFmtId="3" fontId="13" fillId="0" borderId="5" xfId="0" applyNumberFormat="1" applyFont="1" applyBorder="1"/>
    <xf numFmtId="3" fontId="17" fillId="3" borderId="7" xfId="0" applyNumberFormat="1" applyFont="1" applyFill="1" applyBorder="1" applyAlignment="1"/>
    <xf numFmtId="3" fontId="7" fillId="0" borderId="35" xfId="0" applyNumberFormat="1" applyFont="1" applyBorder="1"/>
    <xf numFmtId="3" fontId="11" fillId="0" borderId="35" xfId="0" applyNumberFormat="1" applyFont="1" applyFill="1" applyBorder="1"/>
    <xf numFmtId="3" fontId="16" fillId="2" borderId="14" xfId="0" applyNumberFormat="1" applyFont="1" applyFill="1" applyBorder="1" applyAlignment="1">
      <alignment vertical="center"/>
    </xf>
    <xf numFmtId="3" fontId="18" fillId="5" borderId="14" xfId="0" applyNumberFormat="1" applyFont="1" applyFill="1" applyBorder="1" applyAlignment="1"/>
    <xf numFmtId="3" fontId="27" fillId="7" borderId="14" xfId="0" applyNumberFormat="1" applyFont="1" applyFill="1" applyBorder="1"/>
    <xf numFmtId="3" fontId="11" fillId="0" borderId="14" xfId="0" applyNumberFormat="1" applyFont="1" applyFill="1" applyBorder="1"/>
    <xf numFmtId="3" fontId="7" fillId="0" borderId="14" xfId="0" applyNumberFormat="1" applyFont="1" applyBorder="1"/>
    <xf numFmtId="3" fontId="10" fillId="0" borderId="14" xfId="0" applyNumberFormat="1" applyFont="1" applyBorder="1"/>
    <xf numFmtId="3" fontId="10" fillId="0" borderId="14" xfId="0" applyNumberFormat="1" applyFont="1" applyBorder="1" applyAlignment="1">
      <alignment vertical="center"/>
    </xf>
    <xf numFmtId="3" fontId="17" fillId="3" borderId="14" xfId="0" applyNumberFormat="1" applyFont="1" applyFill="1" applyBorder="1" applyAlignment="1"/>
    <xf numFmtId="3" fontId="3" fillId="4" borderId="80" xfId="0" applyNumberFormat="1" applyFont="1" applyFill="1" applyBorder="1"/>
    <xf numFmtId="3" fontId="11" fillId="0" borderId="76" xfId="0" applyNumberFormat="1" applyFont="1" applyBorder="1"/>
    <xf numFmtId="3" fontId="17" fillId="15" borderId="5" xfId="0" applyNumberFormat="1" applyFont="1" applyFill="1" applyBorder="1"/>
    <xf numFmtId="3" fontId="17" fillId="15" borderId="25" xfId="0" applyNumberFormat="1" applyFont="1" applyFill="1" applyBorder="1" applyAlignment="1">
      <alignment vertical="center"/>
    </xf>
    <xf numFmtId="3" fontId="17" fillId="15" borderId="81" xfId="0" applyNumberFormat="1" applyFont="1" applyFill="1" applyBorder="1"/>
    <xf numFmtId="3" fontId="17" fillId="15" borderId="24" xfId="0" applyNumberFormat="1" applyFont="1" applyFill="1" applyBorder="1"/>
    <xf numFmtId="3" fontId="21" fillId="0" borderId="24" xfId="0" applyNumberFormat="1" applyFont="1" applyBorder="1" applyAlignment="1"/>
    <xf numFmtId="3" fontId="17" fillId="5" borderId="24" xfId="0" applyNumberFormat="1" applyFont="1" applyFill="1" applyBorder="1" applyAlignment="1">
      <alignment vertical="center"/>
    </xf>
    <xf numFmtId="3" fontId="17" fillId="15" borderId="79" xfId="0" applyNumberFormat="1" applyFont="1" applyFill="1" applyBorder="1" applyAlignment="1">
      <alignment vertical="center"/>
    </xf>
    <xf numFmtId="3" fontId="17" fillId="15" borderId="6" xfId="0" applyNumberFormat="1" applyFont="1" applyFill="1" applyBorder="1" applyAlignment="1">
      <alignment vertical="center"/>
    </xf>
    <xf numFmtId="0" fontId="0" fillId="0" borderId="50" xfId="0" applyBorder="1"/>
    <xf numFmtId="3" fontId="40" fillId="9" borderId="8" xfId="0" applyNumberFormat="1" applyFont="1" applyFill="1" applyBorder="1" applyAlignment="1"/>
    <xf numFmtId="3" fontId="25" fillId="8" borderId="5" xfId="0" applyNumberFormat="1" applyFont="1" applyFill="1" applyBorder="1" applyAlignment="1"/>
    <xf numFmtId="3" fontId="49" fillId="8" borderId="5" xfId="0" applyNumberFormat="1" applyFont="1" applyFill="1" applyBorder="1" applyAlignment="1"/>
    <xf numFmtId="3" fontId="40" fillId="9" borderId="5" xfId="0" applyNumberFormat="1" applyFont="1" applyFill="1" applyBorder="1" applyAlignment="1"/>
    <xf numFmtId="3" fontId="25" fillId="8" borderId="8" xfId="0" applyNumberFormat="1" applyFont="1" applyFill="1" applyBorder="1" applyAlignment="1"/>
    <xf numFmtId="3" fontId="25" fillId="13" borderId="8" xfId="0" applyNumberFormat="1" applyFont="1" applyFill="1" applyBorder="1" applyAlignment="1"/>
    <xf numFmtId="3" fontId="40" fillId="9" borderId="82" xfId="0" applyNumberFormat="1" applyFont="1" applyFill="1" applyBorder="1" applyAlignment="1"/>
    <xf numFmtId="3" fontId="25" fillId="8" borderId="24" xfId="0" applyNumberFormat="1" applyFont="1" applyFill="1" applyBorder="1" applyAlignment="1"/>
    <xf numFmtId="3" fontId="49" fillId="8" borderId="24" xfId="0" applyNumberFormat="1" applyFont="1" applyFill="1" applyBorder="1" applyAlignment="1"/>
    <xf numFmtId="3" fontId="40" fillId="9" borderId="24" xfId="0" applyNumberFormat="1" applyFont="1" applyFill="1" applyBorder="1" applyAlignment="1"/>
    <xf numFmtId="3" fontId="25" fillId="8" borderId="82" xfId="0" applyNumberFormat="1" applyFont="1" applyFill="1" applyBorder="1" applyAlignment="1"/>
    <xf numFmtId="3" fontId="25" fillId="13" borderId="82" xfId="0" applyNumberFormat="1" applyFont="1" applyFill="1" applyBorder="1" applyAlignment="1"/>
    <xf numFmtId="3" fontId="26" fillId="2" borderId="83" xfId="0" applyNumberFormat="1" applyFont="1" applyFill="1" applyBorder="1" applyAlignment="1"/>
    <xf numFmtId="3" fontId="40" fillId="9" borderId="21" xfId="0" applyNumberFormat="1" applyFont="1" applyFill="1" applyBorder="1" applyAlignment="1"/>
    <xf numFmtId="3" fontId="25" fillId="8" borderId="2" xfId="0" applyNumberFormat="1" applyFont="1" applyFill="1" applyBorder="1" applyAlignment="1"/>
    <xf numFmtId="3" fontId="49" fillId="8" borderId="2" xfId="0" applyNumberFormat="1" applyFont="1" applyFill="1" applyBorder="1" applyAlignment="1"/>
    <xf numFmtId="3" fontId="40" fillId="9" borderId="2" xfId="0" applyNumberFormat="1" applyFont="1" applyFill="1" applyBorder="1" applyAlignment="1"/>
    <xf numFmtId="3" fontId="25" fillId="8" borderId="32" xfId="0" applyNumberFormat="1" applyFont="1" applyFill="1" applyBorder="1" applyAlignment="1"/>
    <xf numFmtId="3" fontId="25" fillId="13" borderId="32" xfId="0" applyNumberFormat="1" applyFont="1" applyFill="1" applyBorder="1" applyAlignment="1"/>
    <xf numFmtId="3" fontId="26" fillId="2" borderId="29" xfId="0" applyNumberFormat="1" applyFont="1" applyFill="1" applyBorder="1" applyAlignment="1"/>
    <xf numFmtId="0" fontId="11" fillId="0" borderId="1" xfId="0" applyFont="1" applyFill="1" applyBorder="1"/>
    <xf numFmtId="3" fontId="7" fillId="13" borderId="15" xfId="0" applyNumberFormat="1" applyFont="1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56" fillId="0" borderId="0" xfId="0" applyFont="1"/>
    <xf numFmtId="0" fontId="1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3" fontId="10" fillId="0" borderId="15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7" fillId="0" borderId="48" xfId="0" applyFont="1" applyFill="1" applyBorder="1"/>
    <xf numFmtId="3" fontId="51" fillId="19" borderId="65" xfId="0" applyNumberFormat="1" applyFont="1" applyFill="1" applyBorder="1" applyAlignment="1">
      <alignment horizontal="center" vertical="center" wrapText="1"/>
    </xf>
    <xf numFmtId="3" fontId="51" fillId="19" borderId="34" xfId="0" applyNumberFormat="1" applyFont="1" applyFill="1" applyBorder="1" applyAlignment="1">
      <alignment horizontal="center" vertical="center" wrapText="1"/>
    </xf>
    <xf numFmtId="3" fontId="51" fillId="19" borderId="66" xfId="0" applyNumberFormat="1" applyFont="1" applyFill="1" applyBorder="1" applyAlignment="1">
      <alignment horizontal="center" vertical="center" wrapText="1"/>
    </xf>
    <xf numFmtId="3" fontId="36" fillId="15" borderId="39" xfId="0" applyNumberFormat="1" applyFont="1" applyFill="1" applyBorder="1" applyAlignment="1">
      <alignment horizontal="center" vertical="center" wrapText="1"/>
    </xf>
    <xf numFmtId="3" fontId="36" fillId="15" borderId="40" xfId="0" applyNumberFormat="1" applyFont="1" applyFill="1" applyBorder="1" applyAlignment="1">
      <alignment horizontal="center" vertical="center" wrapText="1"/>
    </xf>
    <xf numFmtId="3" fontId="36" fillId="15" borderId="41" xfId="0" applyNumberFormat="1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/>
    </xf>
    <xf numFmtId="0" fontId="5" fillId="10" borderId="38" xfId="0" applyFont="1" applyFill="1" applyBorder="1" applyAlignment="1">
      <alignment horizontal="center"/>
    </xf>
    <xf numFmtId="49" fontId="6" fillId="10" borderId="1" xfId="0" applyNumberFormat="1" applyFont="1" applyFill="1" applyBorder="1" applyAlignment="1">
      <alignment horizontal="center" vertical="center" wrapText="1"/>
    </xf>
    <xf numFmtId="49" fontId="6" fillId="10" borderId="37" xfId="0" applyNumberFormat="1" applyFont="1" applyFill="1" applyBorder="1" applyAlignment="1">
      <alignment horizontal="center" vertical="center" wrapText="1"/>
    </xf>
    <xf numFmtId="49" fontId="6" fillId="10" borderId="1" xfId="0" applyNumberFormat="1" applyFont="1" applyFill="1" applyBorder="1" applyAlignment="1">
      <alignment horizontal="center" vertical="center"/>
    </xf>
    <xf numFmtId="49" fontId="6" fillId="10" borderId="37" xfId="0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0" borderId="37" xfId="0" applyFont="1" applyFill="1" applyBorder="1" applyAlignment="1">
      <alignment horizontal="center" vertical="center"/>
    </xf>
    <xf numFmtId="49" fontId="4" fillId="10" borderId="42" xfId="0" applyNumberFormat="1" applyFont="1" applyFill="1" applyBorder="1" applyAlignment="1">
      <alignment horizontal="center" vertical="center"/>
    </xf>
    <xf numFmtId="49" fontId="4" fillId="10" borderId="43" xfId="0" applyNumberFormat="1" applyFont="1" applyFill="1" applyBorder="1" applyAlignment="1">
      <alignment horizontal="center" vertical="center"/>
    </xf>
    <xf numFmtId="49" fontId="4" fillId="10" borderId="44" xfId="0" applyNumberFormat="1" applyFont="1" applyFill="1" applyBorder="1" applyAlignment="1">
      <alignment horizontal="center" vertical="center"/>
    </xf>
    <xf numFmtId="49" fontId="4" fillId="10" borderId="45" xfId="0" applyNumberFormat="1" applyFont="1" applyFill="1" applyBorder="1" applyAlignment="1">
      <alignment horizontal="center" vertical="center"/>
    </xf>
    <xf numFmtId="49" fontId="4" fillId="10" borderId="9" xfId="0" applyNumberFormat="1" applyFont="1" applyFill="1" applyBorder="1" applyAlignment="1">
      <alignment horizontal="center" vertical="center"/>
    </xf>
    <xf numFmtId="49" fontId="4" fillId="10" borderId="31" xfId="0" applyNumberFormat="1" applyFont="1" applyFill="1" applyBorder="1" applyAlignment="1">
      <alignment horizontal="center" vertical="center"/>
    </xf>
    <xf numFmtId="0" fontId="45" fillId="0" borderId="46" xfId="0" applyFont="1" applyBorder="1" applyAlignment="1">
      <alignment horizontal="center" vertical="center" wrapText="1"/>
    </xf>
    <xf numFmtId="3" fontId="51" fillId="19" borderId="67" xfId="0" applyNumberFormat="1" applyFont="1" applyFill="1" applyBorder="1" applyAlignment="1">
      <alignment horizontal="center" vertical="center" wrapText="1"/>
    </xf>
    <xf numFmtId="3" fontId="51" fillId="19" borderId="68" xfId="0" applyNumberFormat="1" applyFont="1" applyFill="1" applyBorder="1" applyAlignment="1">
      <alignment horizontal="center" vertical="center" wrapText="1"/>
    </xf>
    <xf numFmtId="3" fontId="51" fillId="19" borderId="69" xfId="0" applyNumberFormat="1" applyFont="1" applyFill="1" applyBorder="1" applyAlignment="1">
      <alignment horizontal="center" vertical="center" wrapText="1"/>
    </xf>
    <xf numFmtId="3" fontId="51" fillId="19" borderId="52" xfId="0" applyNumberFormat="1" applyFont="1" applyFill="1" applyBorder="1" applyAlignment="1">
      <alignment horizontal="center" vertical="center" wrapText="1"/>
    </xf>
    <xf numFmtId="3" fontId="51" fillId="19" borderId="53" xfId="0" applyNumberFormat="1" applyFont="1" applyFill="1" applyBorder="1" applyAlignment="1">
      <alignment horizontal="center" vertical="center" wrapText="1"/>
    </xf>
    <xf numFmtId="3" fontId="51" fillId="19" borderId="37" xfId="0" applyNumberFormat="1" applyFont="1" applyFill="1" applyBorder="1" applyAlignment="1">
      <alignment horizontal="center" vertical="center" wrapText="1"/>
    </xf>
    <xf numFmtId="3" fontId="54" fillId="19" borderId="52" xfId="0" applyNumberFormat="1" applyFont="1" applyFill="1" applyBorder="1" applyAlignment="1">
      <alignment horizontal="center" vertical="center" wrapText="1"/>
    </xf>
    <xf numFmtId="3" fontId="54" fillId="19" borderId="53" xfId="0" applyNumberFormat="1" applyFont="1" applyFill="1" applyBorder="1" applyAlignment="1">
      <alignment horizontal="center" vertical="center" wrapText="1"/>
    </xf>
    <xf numFmtId="3" fontId="54" fillId="19" borderId="37" xfId="0" applyNumberFormat="1" applyFont="1" applyFill="1" applyBorder="1" applyAlignment="1">
      <alignment horizontal="center" vertical="center" wrapText="1"/>
    </xf>
    <xf numFmtId="3" fontId="54" fillId="19" borderId="39" xfId="0" applyNumberFormat="1" applyFont="1" applyFill="1" applyBorder="1" applyAlignment="1">
      <alignment horizontal="center" vertical="center" wrapText="1"/>
    </xf>
    <xf numFmtId="3" fontId="54" fillId="19" borderId="40" xfId="0" applyNumberFormat="1" applyFont="1" applyFill="1" applyBorder="1" applyAlignment="1">
      <alignment horizontal="center" vertical="center" wrapText="1"/>
    </xf>
    <xf numFmtId="3" fontId="54" fillId="19" borderId="41" xfId="0" applyNumberFormat="1" applyFont="1" applyFill="1" applyBorder="1" applyAlignment="1">
      <alignment horizontal="center" vertical="center" wrapText="1"/>
    </xf>
    <xf numFmtId="3" fontId="54" fillId="19" borderId="67" xfId="0" applyNumberFormat="1" applyFont="1" applyFill="1" applyBorder="1" applyAlignment="1">
      <alignment horizontal="center" vertical="center" wrapText="1"/>
    </xf>
    <xf numFmtId="3" fontId="54" fillId="19" borderId="68" xfId="0" applyNumberFormat="1" applyFont="1" applyFill="1" applyBorder="1" applyAlignment="1">
      <alignment horizontal="center" vertical="center" wrapText="1"/>
    </xf>
    <xf numFmtId="3" fontId="54" fillId="19" borderId="69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0" fillId="0" borderId="0" xfId="0" applyAlignment="1"/>
    <xf numFmtId="49" fontId="12" fillId="12" borderId="42" xfId="0" applyNumberFormat="1" applyFont="1" applyFill="1" applyBorder="1" applyAlignment="1">
      <alignment horizontal="center" vertical="center"/>
    </xf>
    <xf numFmtId="49" fontId="12" fillId="12" borderId="43" xfId="0" applyNumberFormat="1" applyFont="1" applyFill="1" applyBorder="1" applyAlignment="1">
      <alignment horizontal="center" vertical="center"/>
    </xf>
    <xf numFmtId="49" fontId="12" fillId="12" borderId="50" xfId="0" applyNumberFormat="1" applyFont="1" applyFill="1" applyBorder="1" applyAlignment="1">
      <alignment horizontal="center" vertical="center"/>
    </xf>
    <xf numFmtId="3" fontId="19" fillId="19" borderId="72" xfId="0" applyNumberFormat="1" applyFont="1" applyFill="1" applyBorder="1" applyAlignment="1">
      <alignment horizontal="center" vertical="center" wrapText="1"/>
    </xf>
    <xf numFmtId="3" fontId="19" fillId="19" borderId="3" xfId="0" applyNumberFormat="1" applyFont="1" applyFill="1" applyBorder="1" applyAlignment="1">
      <alignment horizontal="center" vertical="center" wrapText="1"/>
    </xf>
    <xf numFmtId="3" fontId="19" fillId="19" borderId="73" xfId="0" applyNumberFormat="1" applyFont="1" applyFill="1" applyBorder="1" applyAlignment="1">
      <alignment horizontal="center" vertical="center" wrapText="1"/>
    </xf>
    <xf numFmtId="0" fontId="28" fillId="11" borderId="49" xfId="0" applyFont="1" applyFill="1" applyBorder="1" applyAlignment="1">
      <alignment horizontal="center" vertical="center"/>
    </xf>
    <xf numFmtId="0" fontId="14" fillId="11" borderId="21" xfId="0" applyFont="1" applyFill="1" applyBorder="1" applyAlignment="1">
      <alignment horizontal="center" vertical="center" textRotation="180" wrapText="1"/>
    </xf>
    <xf numFmtId="0" fontId="14" fillId="11" borderId="2" xfId="0" applyFont="1" applyFill="1" applyBorder="1" applyAlignment="1">
      <alignment horizontal="center" vertical="center" textRotation="180" wrapText="1"/>
    </xf>
    <xf numFmtId="0" fontId="14" fillId="11" borderId="6" xfId="0" applyFont="1" applyFill="1" applyBorder="1" applyAlignment="1">
      <alignment horizontal="center" vertical="center" textRotation="180" wrapText="1"/>
    </xf>
    <xf numFmtId="0" fontId="14" fillId="11" borderId="21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14" fillId="11" borderId="6" xfId="0" applyFont="1" applyFill="1" applyBorder="1" applyAlignment="1">
      <alignment horizontal="center" vertical="center" wrapText="1"/>
    </xf>
    <xf numFmtId="0" fontId="14" fillId="11" borderId="33" xfId="0" applyFont="1" applyFill="1" applyBorder="1" applyAlignment="1">
      <alignment horizontal="center" vertical="center"/>
    </xf>
    <xf numFmtId="3" fontId="52" fillId="19" borderId="53" xfId="0" applyNumberFormat="1" applyFont="1" applyFill="1" applyBorder="1" applyAlignment="1">
      <alignment horizontal="center" vertical="center" wrapText="1"/>
    </xf>
    <xf numFmtId="3" fontId="52" fillId="19" borderId="37" xfId="0" applyNumberFormat="1" applyFont="1" applyFill="1" applyBorder="1" applyAlignment="1">
      <alignment horizontal="center" vertical="center" wrapText="1"/>
    </xf>
    <xf numFmtId="3" fontId="52" fillId="19" borderId="56" xfId="0" applyNumberFormat="1" applyFont="1" applyFill="1" applyBorder="1" applyAlignment="1">
      <alignment horizontal="center" vertical="center" wrapText="1"/>
    </xf>
    <xf numFmtId="3" fontId="52" fillId="19" borderId="57" xfId="0" applyNumberFormat="1" applyFont="1" applyFill="1" applyBorder="1" applyAlignment="1">
      <alignment horizontal="center" vertical="center" wrapText="1"/>
    </xf>
    <xf numFmtId="3" fontId="52" fillId="19" borderId="70" xfId="0" applyNumberFormat="1" applyFont="1" applyFill="1" applyBorder="1" applyAlignment="1">
      <alignment horizontal="center" vertical="center" wrapText="1"/>
    </xf>
    <xf numFmtId="3" fontId="52" fillId="19" borderId="71" xfId="0" applyNumberFormat="1" applyFont="1" applyFill="1" applyBorder="1" applyAlignment="1">
      <alignment horizontal="center" vertical="center" wrapText="1"/>
    </xf>
    <xf numFmtId="3" fontId="53" fillId="19" borderId="53" xfId="0" applyNumberFormat="1" applyFont="1" applyFill="1" applyBorder="1" applyAlignment="1">
      <alignment horizontal="center" vertical="center" wrapText="1"/>
    </xf>
    <xf numFmtId="3" fontId="53" fillId="19" borderId="37" xfId="0" applyNumberFormat="1" applyFont="1" applyFill="1" applyBorder="1" applyAlignment="1">
      <alignment horizontal="center" vertical="center" wrapText="1"/>
    </xf>
    <xf numFmtId="3" fontId="53" fillId="19" borderId="52" xfId="0" applyNumberFormat="1" applyFont="1" applyFill="1" applyBorder="1" applyAlignment="1">
      <alignment horizontal="center" vertical="center" wrapText="1"/>
    </xf>
    <xf numFmtId="0" fontId="16" fillId="2" borderId="59" xfId="0" applyFont="1" applyFill="1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0" fontId="17" fillId="3" borderId="5" xfId="0" applyFont="1" applyFill="1" applyBorder="1" applyAlignment="1"/>
    <xf numFmtId="0" fontId="0" fillId="0" borderId="7" xfId="0" applyBorder="1" applyAlignment="1"/>
    <xf numFmtId="0" fontId="0" fillId="0" borderId="3" xfId="0" applyBorder="1" applyAlignment="1"/>
    <xf numFmtId="0" fontId="18" fillId="5" borderId="5" xfId="0" applyFont="1" applyFill="1" applyBorder="1" applyAlignment="1"/>
    <xf numFmtId="3" fontId="19" fillId="19" borderId="19" xfId="0" applyNumberFormat="1" applyFont="1" applyFill="1" applyBorder="1" applyAlignment="1">
      <alignment horizontal="center" vertical="center" wrapText="1"/>
    </xf>
    <xf numFmtId="3" fontId="19" fillId="19" borderId="14" xfId="0" applyNumberFormat="1" applyFont="1" applyFill="1" applyBorder="1" applyAlignment="1">
      <alignment horizontal="center" vertical="center" wrapText="1"/>
    </xf>
    <xf numFmtId="3" fontId="19" fillId="19" borderId="77" xfId="0" applyNumberFormat="1" applyFont="1" applyFill="1" applyBorder="1" applyAlignment="1">
      <alignment horizontal="center" vertical="center" wrapText="1"/>
    </xf>
    <xf numFmtId="3" fontId="52" fillId="19" borderId="38" xfId="0" applyNumberFormat="1" applyFont="1" applyFill="1" applyBorder="1" applyAlignment="1">
      <alignment horizontal="center" vertical="center" wrapText="1"/>
    </xf>
    <xf numFmtId="3" fontId="52" fillId="19" borderId="52" xfId="0" applyNumberFormat="1" applyFont="1" applyFill="1" applyBorder="1" applyAlignment="1">
      <alignment horizontal="center" vertical="center" wrapText="1"/>
    </xf>
    <xf numFmtId="3" fontId="52" fillId="19" borderId="44" xfId="0" applyNumberFormat="1" applyFont="1" applyFill="1" applyBorder="1" applyAlignment="1">
      <alignment horizontal="center" vertical="center" wrapText="1"/>
    </xf>
    <xf numFmtId="0" fontId="16" fillId="2" borderId="60" xfId="0" applyFont="1" applyFill="1" applyBorder="1" applyAlignment="1">
      <alignment vertical="center"/>
    </xf>
    <xf numFmtId="0" fontId="16" fillId="2" borderId="61" xfId="0" applyFont="1" applyFill="1" applyBorder="1" applyAlignment="1">
      <alignment vertical="center"/>
    </xf>
    <xf numFmtId="0" fontId="18" fillId="5" borderId="7" xfId="0" applyFont="1" applyFill="1" applyBorder="1" applyAlignment="1"/>
    <xf numFmtId="0" fontId="18" fillId="5" borderId="3" xfId="0" applyFont="1" applyFill="1" applyBorder="1" applyAlignment="1"/>
    <xf numFmtId="0" fontId="28" fillId="11" borderId="56" xfId="0" applyFont="1" applyFill="1" applyBorder="1" applyAlignment="1">
      <alignment horizontal="center" vertical="center"/>
    </xf>
    <xf numFmtId="0" fontId="28" fillId="11" borderId="57" xfId="0" applyFont="1" applyFill="1" applyBorder="1" applyAlignment="1">
      <alignment horizontal="center" vertical="center"/>
    </xf>
    <xf numFmtId="0" fontId="28" fillId="11" borderId="58" xfId="0" applyFont="1" applyFill="1" applyBorder="1" applyAlignment="1">
      <alignment horizontal="center" vertical="center"/>
    </xf>
    <xf numFmtId="0" fontId="14" fillId="11" borderId="52" xfId="0" applyFont="1" applyFill="1" applyBorder="1" applyAlignment="1">
      <alignment horizontal="center" vertical="center" textRotation="180" wrapText="1"/>
    </xf>
    <xf numFmtId="0" fontId="14" fillId="11" borderId="53" xfId="0" applyFont="1" applyFill="1" applyBorder="1" applyAlignment="1">
      <alignment horizontal="center" vertical="center" textRotation="180" wrapText="1"/>
    </xf>
    <xf numFmtId="0" fontId="14" fillId="11" borderId="37" xfId="0" applyFont="1" applyFill="1" applyBorder="1" applyAlignment="1">
      <alignment horizontal="center" vertical="center" textRotation="180" wrapText="1"/>
    </xf>
    <xf numFmtId="0" fontId="14" fillId="11" borderId="52" xfId="0" applyFont="1" applyFill="1" applyBorder="1" applyAlignment="1">
      <alignment horizontal="center" vertical="center" wrapText="1"/>
    </xf>
    <xf numFmtId="0" fontId="14" fillId="11" borderId="53" xfId="0" applyFont="1" applyFill="1" applyBorder="1" applyAlignment="1">
      <alignment horizontal="center" vertical="center" wrapText="1"/>
    </xf>
    <xf numFmtId="0" fontId="14" fillId="11" borderId="37" xfId="0" applyFont="1" applyFill="1" applyBorder="1" applyAlignment="1">
      <alignment horizontal="center" vertical="center" wrapText="1"/>
    </xf>
    <xf numFmtId="0" fontId="14" fillId="11" borderId="52" xfId="0" applyFont="1" applyFill="1" applyBorder="1" applyAlignment="1">
      <alignment horizontal="center" vertical="center"/>
    </xf>
    <xf numFmtId="0" fontId="14" fillId="11" borderId="53" xfId="0" applyFont="1" applyFill="1" applyBorder="1" applyAlignment="1">
      <alignment horizontal="center" vertical="center"/>
    </xf>
    <xf numFmtId="0" fontId="14" fillId="11" borderId="37" xfId="0" applyFont="1" applyFill="1" applyBorder="1" applyAlignment="1">
      <alignment horizontal="center" vertical="center"/>
    </xf>
    <xf numFmtId="0" fontId="18" fillId="5" borderId="2" xfId="0" applyFont="1" applyFill="1" applyBorder="1" applyAlignment="1"/>
    <xf numFmtId="0" fontId="0" fillId="0" borderId="2" xfId="0" applyBorder="1" applyAlignment="1"/>
    <xf numFmtId="0" fontId="42" fillId="2" borderId="0" xfId="0" applyFont="1" applyFill="1" applyBorder="1" applyAlignment="1">
      <alignment vertical="center"/>
    </xf>
    <xf numFmtId="0" fontId="43" fillId="0" borderId="0" xfId="0" applyFont="1" applyBorder="1" applyAlignment="1">
      <alignment vertical="center"/>
    </xf>
    <xf numFmtId="49" fontId="12" fillId="12" borderId="10" xfId="0" applyNumberFormat="1" applyFont="1" applyFill="1" applyBorder="1" applyAlignment="1">
      <alignment horizontal="center" vertical="center"/>
    </xf>
    <xf numFmtId="49" fontId="12" fillId="12" borderId="11" xfId="0" applyNumberFormat="1" applyFont="1" applyFill="1" applyBorder="1" applyAlignment="1">
      <alignment horizontal="center" vertical="center"/>
    </xf>
    <xf numFmtId="0" fontId="18" fillId="5" borderId="25" xfId="0" applyFont="1" applyFill="1" applyBorder="1" applyAlignment="1"/>
    <xf numFmtId="0" fontId="0" fillId="0" borderId="51" xfId="0" applyBorder="1" applyAlignment="1"/>
    <xf numFmtId="0" fontId="0" fillId="0" borderId="18" xfId="0" applyBorder="1" applyAlignment="1"/>
    <xf numFmtId="0" fontId="17" fillId="3" borderId="2" xfId="0" applyFont="1" applyFill="1" applyBorder="1" applyAlignment="1"/>
    <xf numFmtId="0" fontId="0" fillId="18" borderId="49" xfId="0" applyFill="1" applyBorder="1" applyAlignment="1">
      <alignment horizontal="center"/>
    </xf>
    <xf numFmtId="0" fontId="0" fillId="18" borderId="33" xfId="0" applyFill="1" applyBorder="1" applyAlignment="1">
      <alignment horizontal="center"/>
    </xf>
    <xf numFmtId="0" fontId="25" fillId="8" borderId="5" xfId="0" applyFont="1" applyFill="1" applyBorder="1" applyAlignment="1"/>
    <xf numFmtId="0" fontId="16" fillId="9" borderId="5" xfId="0" applyFont="1" applyFill="1" applyBorder="1" applyAlignment="1"/>
    <xf numFmtId="0" fontId="16" fillId="9" borderId="8" xfId="0" applyFont="1" applyFill="1" applyBorder="1" applyAlignment="1"/>
    <xf numFmtId="0" fontId="0" fillId="0" borderId="9" xfId="0" applyBorder="1" applyAlignment="1"/>
    <xf numFmtId="0" fontId="24" fillId="6" borderId="10" xfId="0" applyFont="1" applyFill="1" applyBorder="1" applyAlignment="1">
      <alignment horizontal="center"/>
    </xf>
    <xf numFmtId="0" fontId="24" fillId="6" borderId="50" xfId="0" applyFont="1" applyFill="1" applyBorder="1" applyAlignment="1">
      <alignment horizontal="center"/>
    </xf>
    <xf numFmtId="0" fontId="24" fillId="6" borderId="11" xfId="0" applyFont="1" applyFill="1" applyBorder="1" applyAlignment="1">
      <alignment horizontal="center"/>
    </xf>
    <xf numFmtId="0" fontId="44" fillId="13" borderId="0" xfId="0" applyFont="1" applyFill="1" applyBorder="1" applyAlignment="1">
      <alignment horizontal="center" vertical="center" wrapText="1"/>
    </xf>
    <xf numFmtId="0" fontId="48" fillId="13" borderId="0" xfId="0" applyFont="1" applyFill="1" applyBorder="1" applyAlignment="1">
      <alignment horizontal="center" vertical="center" wrapText="1"/>
    </xf>
    <xf numFmtId="3" fontId="26" fillId="2" borderId="62" xfId="0" applyNumberFormat="1" applyFont="1" applyFill="1" applyBorder="1" applyAlignment="1"/>
    <xf numFmtId="0" fontId="0" fillId="0" borderId="63" xfId="0" applyBorder="1" applyAlignment="1"/>
  </cellXfs>
  <cellStyles count="14">
    <cellStyle name="Excel Built-in Normal" xfId="1"/>
    <cellStyle name="Normálne" xfId="0" builtinId="0"/>
    <cellStyle name="Normálne 10" xfId="2"/>
    <cellStyle name="Normálne 11" xfId="3"/>
    <cellStyle name="normálne 2" xfId="4"/>
    <cellStyle name="normálne 2 2" xfId="5"/>
    <cellStyle name="normálne 2 3" xfId="6"/>
    <cellStyle name="Normálne 3" xfId="7"/>
    <cellStyle name="Normálne 4" xfId="8"/>
    <cellStyle name="Normálne 5" xfId="9"/>
    <cellStyle name="Normálne 6" xfId="10"/>
    <cellStyle name="Normálne 7" xfId="11"/>
    <cellStyle name="Normálne 8" xfId="12"/>
    <cellStyle name="Normálne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K504"/>
  <sheetViews>
    <sheetView tabSelected="1" zoomScaleNormal="100" workbookViewId="0"/>
  </sheetViews>
  <sheetFormatPr defaultRowHeight="12.75" x14ac:dyDescent="0.2"/>
  <cols>
    <col min="1" max="1" width="7.28515625" customWidth="1"/>
    <col min="2" max="2" width="3.42578125" style="18" customWidth="1"/>
    <col min="3" max="3" width="4.85546875" customWidth="1"/>
    <col min="4" max="4" width="4.140625" customWidth="1"/>
    <col min="5" max="5" width="6.140625" customWidth="1"/>
    <col min="6" max="6" width="50.5703125" customWidth="1"/>
    <col min="7" max="7" width="13.28515625" style="20" customWidth="1"/>
    <col min="8" max="8" width="12.42578125" customWidth="1"/>
    <col min="9" max="9" width="13.85546875" customWidth="1"/>
  </cols>
  <sheetData>
    <row r="1" spans="2:11" ht="57" customHeight="1" thickBot="1" x14ac:dyDescent="0.45">
      <c r="B1" s="464" t="s">
        <v>642</v>
      </c>
      <c r="C1" s="464"/>
      <c r="D1" s="464"/>
      <c r="E1" s="464"/>
      <c r="F1" s="464"/>
      <c r="G1" s="464"/>
      <c r="H1" s="464"/>
      <c r="I1" s="464"/>
      <c r="K1" s="436"/>
    </row>
    <row r="2" spans="2:11" ht="12.75" customHeight="1" x14ac:dyDescent="0.2">
      <c r="B2" s="458"/>
      <c r="C2" s="459"/>
      <c r="D2" s="459"/>
      <c r="E2" s="459"/>
      <c r="F2" s="460"/>
      <c r="G2" s="465" t="s">
        <v>644</v>
      </c>
      <c r="H2" s="468" t="s">
        <v>643</v>
      </c>
      <c r="I2" s="444" t="s">
        <v>644</v>
      </c>
    </row>
    <row r="3" spans="2:11" x14ac:dyDescent="0.2">
      <c r="B3" s="461"/>
      <c r="C3" s="462"/>
      <c r="D3" s="462"/>
      <c r="E3" s="462"/>
      <c r="F3" s="463"/>
      <c r="G3" s="466"/>
      <c r="H3" s="469"/>
      <c r="I3" s="445"/>
    </row>
    <row r="4" spans="2:11" x14ac:dyDescent="0.2">
      <c r="B4" s="450" t="s">
        <v>120</v>
      </c>
      <c r="C4" s="452" t="s">
        <v>121</v>
      </c>
      <c r="D4" s="454" t="s">
        <v>122</v>
      </c>
      <c r="E4" s="454" t="s">
        <v>124</v>
      </c>
      <c r="F4" s="456" t="s">
        <v>123</v>
      </c>
      <c r="G4" s="466"/>
      <c r="H4" s="469"/>
      <c r="I4" s="445"/>
    </row>
    <row r="5" spans="2:11" ht="7.5" customHeight="1" thickBot="1" x14ac:dyDescent="0.25">
      <c r="B5" s="451"/>
      <c r="C5" s="453"/>
      <c r="D5" s="455"/>
      <c r="E5" s="455"/>
      <c r="F5" s="457"/>
      <c r="G5" s="467"/>
      <c r="H5" s="470"/>
      <c r="I5" s="446"/>
    </row>
    <row r="6" spans="2:11" ht="17.25" thickTop="1" thickBot="1" x14ac:dyDescent="0.3">
      <c r="B6" s="122">
        <v>1</v>
      </c>
      <c r="C6" s="69">
        <v>100</v>
      </c>
      <c r="D6" s="69"/>
      <c r="E6" s="69"/>
      <c r="F6" s="11" t="s">
        <v>271</v>
      </c>
      <c r="G6" s="123">
        <f>G7</f>
        <v>28576671</v>
      </c>
      <c r="H6" s="123">
        <f t="shared" ref="H6" si="0">H7</f>
        <v>0</v>
      </c>
      <c r="I6" s="123">
        <f>G6+H6</f>
        <v>28576671</v>
      </c>
    </row>
    <row r="7" spans="2:11" ht="18" customHeight="1" thickBot="1" x14ac:dyDescent="0.3">
      <c r="B7" s="122">
        <f>B6+1</f>
        <v>2</v>
      </c>
      <c r="C7" s="70"/>
      <c r="D7" s="70"/>
      <c r="E7" s="70"/>
      <c r="F7" s="12" t="s">
        <v>43</v>
      </c>
      <c r="G7" s="21">
        <f>G16+G11+G8</f>
        <v>28576671</v>
      </c>
      <c r="H7" s="21">
        <f t="shared" ref="H7" si="1">H16+H11+H8</f>
        <v>0</v>
      </c>
      <c r="I7" s="21">
        <f t="shared" ref="I7:I70" si="2">G7+H7</f>
        <v>28576671</v>
      </c>
    </row>
    <row r="8" spans="2:11" x14ac:dyDescent="0.2">
      <c r="B8" s="122">
        <f>B7+1</f>
        <v>3</v>
      </c>
      <c r="C8" s="71">
        <v>110</v>
      </c>
      <c r="D8" s="71"/>
      <c r="E8" s="71"/>
      <c r="F8" s="7" t="s">
        <v>272</v>
      </c>
      <c r="G8" s="124">
        <f>G9</f>
        <v>20437671</v>
      </c>
      <c r="H8" s="124">
        <f t="shared" ref="H8:H9" si="3">H9</f>
        <v>0</v>
      </c>
      <c r="I8" s="124">
        <f t="shared" si="2"/>
        <v>20437671</v>
      </c>
    </row>
    <row r="9" spans="2:11" ht="14.25" customHeight="1" x14ac:dyDescent="0.2">
      <c r="B9" s="122">
        <f t="shared" ref="B9:B69" si="4">B8+1</f>
        <v>4</v>
      </c>
      <c r="C9" s="72"/>
      <c r="D9" s="72">
        <v>111</v>
      </c>
      <c r="E9" s="72"/>
      <c r="F9" s="3" t="s">
        <v>273</v>
      </c>
      <c r="G9" s="118">
        <f>G10</f>
        <v>20437671</v>
      </c>
      <c r="H9" s="118">
        <f t="shared" si="3"/>
        <v>0</v>
      </c>
      <c r="I9" s="118">
        <f t="shared" si="2"/>
        <v>20437671</v>
      </c>
    </row>
    <row r="10" spans="2:11" x14ac:dyDescent="0.2">
      <c r="B10" s="122">
        <f t="shared" si="4"/>
        <v>5</v>
      </c>
      <c r="C10" s="73"/>
      <c r="D10" s="73"/>
      <c r="E10" s="73">
        <v>111003</v>
      </c>
      <c r="F10" s="4" t="s">
        <v>270</v>
      </c>
      <c r="G10" s="178">
        <f>19600000+175010+37840+624821</f>
        <v>20437671</v>
      </c>
      <c r="H10" s="178"/>
      <c r="I10" s="178">
        <f t="shared" si="2"/>
        <v>20437671</v>
      </c>
    </row>
    <row r="11" spans="2:11" x14ac:dyDescent="0.2">
      <c r="B11" s="122">
        <f t="shared" si="4"/>
        <v>6</v>
      </c>
      <c r="C11" s="71">
        <v>120</v>
      </c>
      <c r="D11" s="71"/>
      <c r="E11" s="71"/>
      <c r="F11" s="7" t="s">
        <v>275</v>
      </c>
      <c r="G11" s="124">
        <f>G12</f>
        <v>5590000</v>
      </c>
      <c r="H11" s="124">
        <f t="shared" ref="H11" si="5">H12</f>
        <v>0</v>
      </c>
      <c r="I11" s="124">
        <f t="shared" si="2"/>
        <v>5590000</v>
      </c>
    </row>
    <row r="12" spans="2:11" x14ac:dyDescent="0.2">
      <c r="B12" s="122">
        <f t="shared" si="4"/>
        <v>7</v>
      </c>
      <c r="C12" s="72"/>
      <c r="D12" s="72">
        <v>121</v>
      </c>
      <c r="E12" s="72"/>
      <c r="F12" s="3" t="s">
        <v>276</v>
      </c>
      <c r="G12" s="118">
        <f>G15+G14+G13</f>
        <v>5590000</v>
      </c>
      <c r="H12" s="118">
        <f t="shared" ref="H12" si="6">H15+H14+H13</f>
        <v>0</v>
      </c>
      <c r="I12" s="118">
        <f t="shared" si="2"/>
        <v>5590000</v>
      </c>
    </row>
    <row r="13" spans="2:11" x14ac:dyDescent="0.2">
      <c r="B13" s="122">
        <f t="shared" si="4"/>
        <v>8</v>
      </c>
      <c r="C13" s="73"/>
      <c r="D13" s="73"/>
      <c r="E13" s="73">
        <v>121001</v>
      </c>
      <c r="F13" s="4" t="s">
        <v>274</v>
      </c>
      <c r="G13" s="92">
        <v>575000</v>
      </c>
      <c r="H13" s="92"/>
      <c r="I13" s="92">
        <f t="shared" si="2"/>
        <v>575000</v>
      </c>
    </row>
    <row r="14" spans="2:11" x14ac:dyDescent="0.2">
      <c r="B14" s="122">
        <f t="shared" si="4"/>
        <v>9</v>
      </c>
      <c r="C14" s="73"/>
      <c r="D14" s="73"/>
      <c r="E14" s="73">
        <v>121002</v>
      </c>
      <c r="F14" s="4" t="s">
        <v>277</v>
      </c>
      <c r="G14" s="92">
        <v>4625000</v>
      </c>
      <c r="H14" s="92"/>
      <c r="I14" s="92">
        <f t="shared" si="2"/>
        <v>4625000</v>
      </c>
    </row>
    <row r="15" spans="2:11" x14ac:dyDescent="0.2">
      <c r="B15" s="122">
        <f t="shared" si="4"/>
        <v>10</v>
      </c>
      <c r="C15" s="73"/>
      <c r="D15" s="73"/>
      <c r="E15" s="73">
        <v>121003</v>
      </c>
      <c r="F15" s="4" t="s">
        <v>278</v>
      </c>
      <c r="G15" s="92">
        <v>390000</v>
      </c>
      <c r="H15" s="92"/>
      <c r="I15" s="92">
        <f t="shared" si="2"/>
        <v>390000</v>
      </c>
    </row>
    <row r="16" spans="2:11" x14ac:dyDescent="0.2">
      <c r="B16" s="122">
        <f t="shared" si="4"/>
        <v>11</v>
      </c>
      <c r="C16" s="71">
        <v>130</v>
      </c>
      <c r="D16" s="71"/>
      <c r="E16" s="71"/>
      <c r="F16" s="7" t="s">
        <v>280</v>
      </c>
      <c r="G16" s="124">
        <f>G17</f>
        <v>2549000</v>
      </c>
      <c r="H16" s="124">
        <f t="shared" ref="H16" si="7">H17</f>
        <v>0</v>
      </c>
      <c r="I16" s="124">
        <f t="shared" si="2"/>
        <v>2549000</v>
      </c>
    </row>
    <row r="17" spans="2:9" x14ac:dyDescent="0.2">
      <c r="B17" s="122">
        <f t="shared" si="4"/>
        <v>12</v>
      </c>
      <c r="C17" s="72"/>
      <c r="D17" s="72">
        <v>133</v>
      </c>
      <c r="E17" s="72"/>
      <c r="F17" s="3" t="s">
        <v>281</v>
      </c>
      <c r="G17" s="118">
        <f>G21+G20+G19+G18</f>
        <v>2549000</v>
      </c>
      <c r="H17" s="118">
        <f t="shared" ref="H17" si="8">H21+H20+H19+H18</f>
        <v>0</v>
      </c>
      <c r="I17" s="118">
        <f t="shared" si="2"/>
        <v>2549000</v>
      </c>
    </row>
    <row r="18" spans="2:9" x14ac:dyDescent="0.2">
      <c r="B18" s="122">
        <f t="shared" si="4"/>
        <v>13</v>
      </c>
      <c r="C18" s="73"/>
      <c r="D18" s="73"/>
      <c r="E18" s="73">
        <v>133001</v>
      </c>
      <c r="F18" s="4" t="s">
        <v>279</v>
      </c>
      <c r="G18" s="92">
        <v>53000</v>
      </c>
      <c r="H18" s="92"/>
      <c r="I18" s="92">
        <f t="shared" si="2"/>
        <v>53000</v>
      </c>
    </row>
    <row r="19" spans="2:9" x14ac:dyDescent="0.2">
      <c r="B19" s="122">
        <f t="shared" si="4"/>
        <v>14</v>
      </c>
      <c r="C19" s="73"/>
      <c r="D19" s="73"/>
      <c r="E19" s="73">
        <v>133006</v>
      </c>
      <c r="F19" s="4" t="s">
        <v>282</v>
      </c>
      <c r="G19" s="92">
        <v>86000</v>
      </c>
      <c r="H19" s="92"/>
      <c r="I19" s="92">
        <f t="shared" si="2"/>
        <v>86000</v>
      </c>
    </row>
    <row r="20" spans="2:9" x14ac:dyDescent="0.2">
      <c r="B20" s="122">
        <f t="shared" si="4"/>
        <v>15</v>
      </c>
      <c r="C20" s="73"/>
      <c r="D20" s="73"/>
      <c r="E20" s="73">
        <v>133012</v>
      </c>
      <c r="F20" s="4" t="s">
        <v>283</v>
      </c>
      <c r="G20" s="92">
        <v>60000</v>
      </c>
      <c r="H20" s="92"/>
      <c r="I20" s="92">
        <f t="shared" si="2"/>
        <v>60000</v>
      </c>
    </row>
    <row r="21" spans="2:9" x14ac:dyDescent="0.2">
      <c r="B21" s="122">
        <f t="shared" si="4"/>
        <v>16</v>
      </c>
      <c r="C21" s="73"/>
      <c r="D21" s="73"/>
      <c r="E21" s="73">
        <v>133013</v>
      </c>
      <c r="F21" s="4" t="s">
        <v>284</v>
      </c>
      <c r="G21" s="92">
        <v>2350000</v>
      </c>
      <c r="H21" s="92"/>
      <c r="I21" s="92">
        <f t="shared" si="2"/>
        <v>2350000</v>
      </c>
    </row>
    <row r="22" spans="2:9" ht="16.5" thickBot="1" x14ac:dyDescent="0.3">
      <c r="B22" s="122">
        <f t="shared" si="4"/>
        <v>17</v>
      </c>
      <c r="C22" s="69">
        <v>200</v>
      </c>
      <c r="D22" s="69"/>
      <c r="E22" s="69"/>
      <c r="F22" s="11" t="s">
        <v>174</v>
      </c>
      <c r="G22" s="123">
        <f>G373+G361+G350+G338+G326+G314+G304+G295+G280+G213+G123+G119+G53+G49+G23</f>
        <v>4893843</v>
      </c>
      <c r="H22" s="123">
        <f t="shared" ref="H22" si="9">H373+H361+H350+H338+H326+H314+H304+H295+H280+H213+H123+H119+H53+H49+H23</f>
        <v>900</v>
      </c>
      <c r="I22" s="123">
        <f t="shared" si="2"/>
        <v>4894743</v>
      </c>
    </row>
    <row r="23" spans="2:9" ht="15.75" thickBot="1" x14ac:dyDescent="0.3">
      <c r="B23" s="122">
        <f t="shared" si="4"/>
        <v>18</v>
      </c>
      <c r="C23" s="70"/>
      <c r="D23" s="70"/>
      <c r="E23" s="70"/>
      <c r="F23" s="12" t="s">
        <v>43</v>
      </c>
      <c r="G23" s="21">
        <f>G43+G40+G28+G24</f>
        <v>2167900</v>
      </c>
      <c r="H23" s="21">
        <f t="shared" ref="H23" si="10">H43+H40+H28+H24</f>
        <v>0</v>
      </c>
      <c r="I23" s="21">
        <f t="shared" si="2"/>
        <v>2167900</v>
      </c>
    </row>
    <row r="24" spans="2:9" x14ac:dyDescent="0.2">
      <c r="B24" s="122">
        <f t="shared" si="4"/>
        <v>19</v>
      </c>
      <c r="C24" s="71">
        <v>210</v>
      </c>
      <c r="D24" s="71"/>
      <c r="E24" s="71"/>
      <c r="F24" s="7" t="s">
        <v>251</v>
      </c>
      <c r="G24" s="124">
        <f>G25</f>
        <v>494950</v>
      </c>
      <c r="H24" s="124">
        <f t="shared" ref="H24" si="11">H25</f>
        <v>0</v>
      </c>
      <c r="I24" s="124">
        <f t="shared" si="2"/>
        <v>494950</v>
      </c>
    </row>
    <row r="25" spans="2:9" x14ac:dyDescent="0.2">
      <c r="B25" s="122">
        <f t="shared" si="4"/>
        <v>20</v>
      </c>
      <c r="C25" s="72"/>
      <c r="D25" s="72">
        <v>212</v>
      </c>
      <c r="E25" s="72"/>
      <c r="F25" s="3" t="s">
        <v>252</v>
      </c>
      <c r="G25" s="118">
        <f>G26+G27</f>
        <v>494950</v>
      </c>
      <c r="H25" s="118">
        <f t="shared" ref="H25" si="12">H26+H27</f>
        <v>0</v>
      </c>
      <c r="I25" s="118">
        <f t="shared" si="2"/>
        <v>494950</v>
      </c>
    </row>
    <row r="26" spans="2:9" x14ac:dyDescent="0.2">
      <c r="B26" s="122">
        <f t="shared" si="4"/>
        <v>21</v>
      </c>
      <c r="C26" s="73"/>
      <c r="D26" s="73"/>
      <c r="E26" s="73">
        <v>212002</v>
      </c>
      <c r="F26" s="4" t="s">
        <v>285</v>
      </c>
      <c r="G26" s="92">
        <v>65000</v>
      </c>
      <c r="H26" s="92"/>
      <c r="I26" s="92">
        <f t="shared" si="2"/>
        <v>65000</v>
      </c>
    </row>
    <row r="27" spans="2:9" x14ac:dyDescent="0.2">
      <c r="B27" s="122">
        <f t="shared" si="4"/>
        <v>22</v>
      </c>
      <c r="C27" s="73"/>
      <c r="D27" s="73"/>
      <c r="E27" s="73">
        <v>212003</v>
      </c>
      <c r="F27" s="4" t="s">
        <v>253</v>
      </c>
      <c r="G27" s="92">
        <f>390000+14800+20000+150+5000</f>
        <v>429950</v>
      </c>
      <c r="H27" s="92"/>
      <c r="I27" s="92">
        <f t="shared" si="2"/>
        <v>429950</v>
      </c>
    </row>
    <row r="28" spans="2:9" x14ac:dyDescent="0.2">
      <c r="B28" s="122">
        <f t="shared" si="4"/>
        <v>23</v>
      </c>
      <c r="C28" s="71">
        <v>220</v>
      </c>
      <c r="D28" s="71"/>
      <c r="E28" s="71"/>
      <c r="F28" s="7" t="s">
        <v>226</v>
      </c>
      <c r="G28" s="124">
        <f>G38+G34+G32+G29</f>
        <v>1207750</v>
      </c>
      <c r="H28" s="124">
        <f t="shared" ref="H28" si="13">H38+H34+H32+H29</f>
        <v>0</v>
      </c>
      <c r="I28" s="124">
        <f t="shared" si="2"/>
        <v>1207750</v>
      </c>
    </row>
    <row r="29" spans="2:9" x14ac:dyDescent="0.2">
      <c r="B29" s="122">
        <f t="shared" si="4"/>
        <v>24</v>
      </c>
      <c r="C29" s="72"/>
      <c r="D29" s="72">
        <v>221</v>
      </c>
      <c r="E29" s="72"/>
      <c r="F29" s="3" t="s">
        <v>227</v>
      </c>
      <c r="G29" s="118">
        <f>G31+G30</f>
        <v>265000</v>
      </c>
      <c r="H29" s="118">
        <f t="shared" ref="H29" si="14">H31+H30</f>
        <v>0</v>
      </c>
      <c r="I29" s="118">
        <f t="shared" si="2"/>
        <v>265000</v>
      </c>
    </row>
    <row r="30" spans="2:9" x14ac:dyDescent="0.2">
      <c r="B30" s="122">
        <f t="shared" si="4"/>
        <v>25</v>
      </c>
      <c r="C30" s="73"/>
      <c r="D30" s="73"/>
      <c r="E30" s="73">
        <v>221004</v>
      </c>
      <c r="F30" s="4" t="s">
        <v>228</v>
      </c>
      <c r="G30" s="92">
        <v>150000</v>
      </c>
      <c r="H30" s="92"/>
      <c r="I30" s="92">
        <f t="shared" si="2"/>
        <v>150000</v>
      </c>
    </row>
    <row r="31" spans="2:9" x14ac:dyDescent="0.2">
      <c r="B31" s="122">
        <f t="shared" si="4"/>
        <v>26</v>
      </c>
      <c r="C31" s="73"/>
      <c r="D31" s="73"/>
      <c r="E31" s="73">
        <v>221005</v>
      </c>
      <c r="F31" s="4" t="s">
        <v>62</v>
      </c>
      <c r="G31" s="92">
        <v>115000</v>
      </c>
      <c r="H31" s="92"/>
      <c r="I31" s="92">
        <f t="shared" si="2"/>
        <v>115000</v>
      </c>
    </row>
    <row r="32" spans="2:9" x14ac:dyDescent="0.2">
      <c r="B32" s="122">
        <f t="shared" si="4"/>
        <v>27</v>
      </c>
      <c r="C32" s="72"/>
      <c r="D32" s="72">
        <v>222</v>
      </c>
      <c r="E32" s="72"/>
      <c r="F32" s="3" t="s">
        <v>61</v>
      </c>
      <c r="G32" s="118">
        <f>G33</f>
        <v>100000</v>
      </c>
      <c r="H32" s="118">
        <f t="shared" ref="H32" si="15">H33</f>
        <v>0</v>
      </c>
      <c r="I32" s="118">
        <f t="shared" si="2"/>
        <v>100000</v>
      </c>
    </row>
    <row r="33" spans="2:9" x14ac:dyDescent="0.2">
      <c r="B33" s="122">
        <f t="shared" si="4"/>
        <v>28</v>
      </c>
      <c r="C33" s="73"/>
      <c r="D33" s="73"/>
      <c r="E33" s="73">
        <v>222003</v>
      </c>
      <c r="F33" s="4" t="s">
        <v>60</v>
      </c>
      <c r="G33" s="92">
        <v>100000</v>
      </c>
      <c r="H33" s="92"/>
      <c r="I33" s="92">
        <f t="shared" si="2"/>
        <v>100000</v>
      </c>
    </row>
    <row r="34" spans="2:9" x14ac:dyDescent="0.2">
      <c r="B34" s="122">
        <f t="shared" si="4"/>
        <v>29</v>
      </c>
      <c r="C34" s="72"/>
      <c r="D34" s="72">
        <v>223</v>
      </c>
      <c r="E34" s="72"/>
      <c r="F34" s="3" t="s">
        <v>255</v>
      </c>
      <c r="G34" s="118">
        <f>G35+G36+G37</f>
        <v>842300</v>
      </c>
      <c r="H34" s="118">
        <f t="shared" ref="H34" si="16">H35+H36+H37</f>
        <v>0</v>
      </c>
      <c r="I34" s="118">
        <f t="shared" si="2"/>
        <v>842300</v>
      </c>
    </row>
    <row r="35" spans="2:9" x14ac:dyDescent="0.2">
      <c r="B35" s="122">
        <f t="shared" si="4"/>
        <v>30</v>
      </c>
      <c r="C35" s="73"/>
      <c r="D35" s="73"/>
      <c r="E35" s="73">
        <v>223001</v>
      </c>
      <c r="F35" s="4" t="s">
        <v>256</v>
      </c>
      <c r="G35" s="92">
        <f>100000+2000+1000+8500+1500+1500+45000+1000+4500+1000</f>
        <v>166000</v>
      </c>
      <c r="H35" s="92"/>
      <c r="I35" s="92">
        <f t="shared" si="2"/>
        <v>166000</v>
      </c>
    </row>
    <row r="36" spans="2:9" x14ac:dyDescent="0.2">
      <c r="B36" s="122">
        <f t="shared" si="4"/>
        <v>31</v>
      </c>
      <c r="C36" s="73"/>
      <c r="D36" s="73"/>
      <c r="E36" s="73">
        <v>223001</v>
      </c>
      <c r="F36" s="4" t="s">
        <v>355</v>
      </c>
      <c r="G36" s="92">
        <f>800000-150000</f>
        <v>650000</v>
      </c>
      <c r="H36" s="92"/>
      <c r="I36" s="92">
        <f t="shared" si="2"/>
        <v>650000</v>
      </c>
    </row>
    <row r="37" spans="2:9" x14ac:dyDescent="0.2">
      <c r="B37" s="122">
        <f t="shared" si="4"/>
        <v>32</v>
      </c>
      <c r="C37" s="73"/>
      <c r="D37" s="73"/>
      <c r="E37" s="138">
        <v>223</v>
      </c>
      <c r="F37" s="4" t="s">
        <v>429</v>
      </c>
      <c r="G37" s="92">
        <v>26300</v>
      </c>
      <c r="H37" s="92"/>
      <c r="I37" s="92">
        <f t="shared" si="2"/>
        <v>26300</v>
      </c>
    </row>
    <row r="38" spans="2:9" x14ac:dyDescent="0.2">
      <c r="B38" s="122">
        <f t="shared" si="4"/>
        <v>33</v>
      </c>
      <c r="C38" s="72"/>
      <c r="D38" s="72">
        <v>229</v>
      </c>
      <c r="E38" s="72"/>
      <c r="F38" s="3" t="s">
        <v>267</v>
      </c>
      <c r="G38" s="118">
        <f>G39</f>
        <v>450</v>
      </c>
      <c r="H38" s="118">
        <f t="shared" ref="H38" si="17">H39</f>
        <v>0</v>
      </c>
      <c r="I38" s="118">
        <f t="shared" si="2"/>
        <v>450</v>
      </c>
    </row>
    <row r="39" spans="2:9" x14ac:dyDescent="0.2">
      <c r="B39" s="122">
        <f t="shared" si="4"/>
        <v>34</v>
      </c>
      <c r="C39" s="73"/>
      <c r="D39" s="73"/>
      <c r="E39" s="73">
        <v>229005</v>
      </c>
      <c r="F39" s="4" t="s">
        <v>268</v>
      </c>
      <c r="G39" s="92">
        <v>450</v>
      </c>
      <c r="H39" s="92"/>
      <c r="I39" s="92">
        <f t="shared" si="2"/>
        <v>450</v>
      </c>
    </row>
    <row r="40" spans="2:9" x14ac:dyDescent="0.2">
      <c r="B40" s="122">
        <f t="shared" si="4"/>
        <v>35</v>
      </c>
      <c r="C40" s="71">
        <v>240</v>
      </c>
      <c r="D40" s="71"/>
      <c r="E40" s="71"/>
      <c r="F40" s="7" t="s">
        <v>179</v>
      </c>
      <c r="G40" s="124">
        <f>G41</f>
        <v>4000</v>
      </c>
      <c r="H40" s="124">
        <f t="shared" ref="H40:H41" si="18">H41</f>
        <v>0</v>
      </c>
      <c r="I40" s="124">
        <f t="shared" si="2"/>
        <v>4000</v>
      </c>
    </row>
    <row r="41" spans="2:9" x14ac:dyDescent="0.2">
      <c r="B41" s="122">
        <f t="shared" si="4"/>
        <v>36</v>
      </c>
      <c r="C41" s="72"/>
      <c r="D41" s="72">
        <v>242</v>
      </c>
      <c r="E41" s="72"/>
      <c r="F41" s="3" t="s">
        <v>178</v>
      </c>
      <c r="G41" s="118">
        <f>G42</f>
        <v>4000</v>
      </c>
      <c r="H41" s="118">
        <f t="shared" si="18"/>
        <v>0</v>
      </c>
      <c r="I41" s="118">
        <f t="shared" si="2"/>
        <v>4000</v>
      </c>
    </row>
    <row r="42" spans="2:9" x14ac:dyDescent="0.2">
      <c r="B42" s="122">
        <f t="shared" si="4"/>
        <v>37</v>
      </c>
      <c r="C42" s="73"/>
      <c r="D42" s="73"/>
      <c r="E42" s="73">
        <v>242</v>
      </c>
      <c r="F42" s="4" t="s">
        <v>178</v>
      </c>
      <c r="G42" s="92">
        <v>4000</v>
      </c>
      <c r="H42" s="92"/>
      <c r="I42" s="92">
        <f t="shared" si="2"/>
        <v>4000</v>
      </c>
    </row>
    <row r="43" spans="2:9" x14ac:dyDescent="0.2">
      <c r="B43" s="122">
        <f t="shared" si="4"/>
        <v>38</v>
      </c>
      <c r="C43" s="71">
        <v>290</v>
      </c>
      <c r="D43" s="71"/>
      <c r="E43" s="71"/>
      <c r="F43" s="7" t="s">
        <v>181</v>
      </c>
      <c r="G43" s="124">
        <f>G44</f>
        <v>461200</v>
      </c>
      <c r="H43" s="124">
        <f t="shared" ref="H43" si="19">H44</f>
        <v>0</v>
      </c>
      <c r="I43" s="124">
        <f t="shared" si="2"/>
        <v>461200</v>
      </c>
    </row>
    <row r="44" spans="2:9" x14ac:dyDescent="0.2">
      <c r="B44" s="122">
        <f t="shared" si="4"/>
        <v>39</v>
      </c>
      <c r="C44" s="72"/>
      <c r="D44" s="72">
        <v>292</v>
      </c>
      <c r="E44" s="72"/>
      <c r="F44" s="3" t="s">
        <v>182</v>
      </c>
      <c r="G44" s="118">
        <f>SUM(G45:G48)</f>
        <v>461200</v>
      </c>
      <c r="H44" s="118">
        <f t="shared" ref="H44" si="20">SUM(H45:H48)</f>
        <v>0</v>
      </c>
      <c r="I44" s="118">
        <f t="shared" si="2"/>
        <v>461200</v>
      </c>
    </row>
    <row r="45" spans="2:9" x14ac:dyDescent="0.2">
      <c r="B45" s="122">
        <f t="shared" si="4"/>
        <v>40</v>
      </c>
      <c r="C45" s="73"/>
      <c r="D45" s="73"/>
      <c r="E45" s="73">
        <v>292008</v>
      </c>
      <c r="F45" s="4" t="s">
        <v>183</v>
      </c>
      <c r="G45" s="92">
        <v>300000</v>
      </c>
      <c r="H45" s="92"/>
      <c r="I45" s="92">
        <f t="shared" si="2"/>
        <v>300000</v>
      </c>
    </row>
    <row r="46" spans="2:9" x14ac:dyDescent="0.2">
      <c r="B46" s="122">
        <f t="shared" si="4"/>
        <v>41</v>
      </c>
      <c r="C46" s="73"/>
      <c r="D46" s="73"/>
      <c r="E46" s="73">
        <v>292012</v>
      </c>
      <c r="F46" s="4" t="s">
        <v>237</v>
      </c>
      <c r="G46" s="92">
        <v>30000</v>
      </c>
      <c r="H46" s="92"/>
      <c r="I46" s="92">
        <f t="shared" si="2"/>
        <v>30000</v>
      </c>
    </row>
    <row r="47" spans="2:9" x14ac:dyDescent="0.2">
      <c r="B47" s="122">
        <f t="shared" si="4"/>
        <v>42</v>
      </c>
      <c r="C47" s="73"/>
      <c r="D47" s="73"/>
      <c r="E47" s="73">
        <v>292017</v>
      </c>
      <c r="F47" s="4" t="s">
        <v>238</v>
      </c>
      <c r="G47" s="92">
        <v>80000</v>
      </c>
      <c r="H47" s="92"/>
      <c r="I47" s="92">
        <f t="shared" si="2"/>
        <v>80000</v>
      </c>
    </row>
    <row r="48" spans="2:9" ht="13.5" thickBot="1" x14ac:dyDescent="0.25">
      <c r="B48" s="122">
        <f t="shared" si="4"/>
        <v>43</v>
      </c>
      <c r="C48" s="73"/>
      <c r="D48" s="73"/>
      <c r="E48" s="73">
        <v>292027</v>
      </c>
      <c r="F48" s="4" t="s">
        <v>231</v>
      </c>
      <c r="G48" s="92">
        <v>51200</v>
      </c>
      <c r="H48" s="92"/>
      <c r="I48" s="92">
        <f t="shared" si="2"/>
        <v>51200</v>
      </c>
    </row>
    <row r="49" spans="2:9" ht="15.75" thickBot="1" x14ac:dyDescent="0.3">
      <c r="B49" s="122">
        <f t="shared" si="4"/>
        <v>44</v>
      </c>
      <c r="C49" s="70">
        <v>1</v>
      </c>
      <c r="D49" s="70"/>
      <c r="E49" s="70"/>
      <c r="F49" s="12" t="s">
        <v>54</v>
      </c>
      <c r="G49" s="21">
        <f>G50</f>
        <v>4090</v>
      </c>
      <c r="H49" s="21">
        <f t="shared" ref="H49:H51" si="21">H50</f>
        <v>900</v>
      </c>
      <c r="I49" s="21">
        <f t="shared" si="2"/>
        <v>4990</v>
      </c>
    </row>
    <row r="50" spans="2:9" x14ac:dyDescent="0.2">
      <c r="B50" s="122">
        <f t="shared" si="4"/>
        <v>45</v>
      </c>
      <c r="C50" s="230">
        <v>220</v>
      </c>
      <c r="D50" s="71"/>
      <c r="E50" s="71"/>
      <c r="F50" s="7" t="s">
        <v>226</v>
      </c>
      <c r="G50" s="218">
        <f>G51</f>
        <v>4090</v>
      </c>
      <c r="H50" s="402">
        <f t="shared" si="21"/>
        <v>900</v>
      </c>
      <c r="I50" s="402">
        <f t="shared" si="2"/>
        <v>4990</v>
      </c>
    </row>
    <row r="51" spans="2:9" x14ac:dyDescent="0.2">
      <c r="B51" s="122">
        <f t="shared" si="4"/>
        <v>46</v>
      </c>
      <c r="C51" s="231"/>
      <c r="D51" s="77">
        <v>223</v>
      </c>
      <c r="E51" s="72"/>
      <c r="F51" s="3" t="s">
        <v>255</v>
      </c>
      <c r="G51" s="219">
        <f>G52</f>
        <v>4090</v>
      </c>
      <c r="H51" s="403">
        <f t="shared" si="21"/>
        <v>900</v>
      </c>
      <c r="I51" s="403">
        <f t="shared" si="2"/>
        <v>4990</v>
      </c>
    </row>
    <row r="52" spans="2:9" ht="13.5" thickBot="1" x14ac:dyDescent="0.25">
      <c r="B52" s="122">
        <f t="shared" si="4"/>
        <v>47</v>
      </c>
      <c r="C52" s="232"/>
      <c r="D52" s="79"/>
      <c r="E52" s="73">
        <v>223</v>
      </c>
      <c r="F52" s="4" t="s">
        <v>615</v>
      </c>
      <c r="G52" s="220">
        <v>4090</v>
      </c>
      <c r="H52" s="307">
        <v>900</v>
      </c>
      <c r="I52" s="307">
        <f t="shared" si="2"/>
        <v>4990</v>
      </c>
    </row>
    <row r="53" spans="2:9" ht="15.75" thickBot="1" x14ac:dyDescent="0.3">
      <c r="B53" s="122">
        <f t="shared" si="4"/>
        <v>48</v>
      </c>
      <c r="C53" s="70">
        <v>2</v>
      </c>
      <c r="D53" s="70"/>
      <c r="E53" s="70"/>
      <c r="F53" s="12" t="s">
        <v>18</v>
      </c>
      <c r="G53" s="21">
        <f>G54+G57+G60+G65+G72+G80+G87+G94+G98+G105+G112</f>
        <v>557849</v>
      </c>
      <c r="H53" s="21">
        <f t="shared" ref="H53" si="22">H54+H57+H60+H65+H72+H80+H87+H94+H98+H105+H112</f>
        <v>0</v>
      </c>
      <c r="I53" s="21">
        <f t="shared" si="2"/>
        <v>557849</v>
      </c>
    </row>
    <row r="54" spans="2:9" x14ac:dyDescent="0.2">
      <c r="B54" s="122">
        <f t="shared" si="4"/>
        <v>49</v>
      </c>
      <c r="C54" s="72">
        <v>220</v>
      </c>
      <c r="D54" s="72"/>
      <c r="E54" s="72"/>
      <c r="F54" s="3" t="s">
        <v>226</v>
      </c>
      <c r="G54" s="118">
        <f>G55</f>
        <v>50</v>
      </c>
      <c r="H54" s="118">
        <f t="shared" ref="H54:H55" si="23">H55</f>
        <v>0</v>
      </c>
      <c r="I54" s="118">
        <f t="shared" si="2"/>
        <v>50</v>
      </c>
    </row>
    <row r="55" spans="2:9" x14ac:dyDescent="0.2">
      <c r="B55" s="122">
        <f t="shared" si="4"/>
        <v>50</v>
      </c>
      <c r="C55" s="73"/>
      <c r="D55" s="73">
        <v>222</v>
      </c>
      <c r="E55" s="73"/>
      <c r="F55" s="4" t="s">
        <v>61</v>
      </c>
      <c r="G55" s="92">
        <f>G56</f>
        <v>50</v>
      </c>
      <c r="H55" s="92">
        <f t="shared" si="23"/>
        <v>0</v>
      </c>
      <c r="I55" s="92">
        <f t="shared" si="2"/>
        <v>50</v>
      </c>
    </row>
    <row r="56" spans="2:9" x14ac:dyDescent="0.2">
      <c r="B56" s="122">
        <f t="shared" si="4"/>
        <v>51</v>
      </c>
      <c r="C56" s="5"/>
      <c r="D56" s="5"/>
      <c r="E56" s="5">
        <v>222003</v>
      </c>
      <c r="F56" s="5" t="s">
        <v>60</v>
      </c>
      <c r="G56" s="93">
        <v>50</v>
      </c>
      <c r="H56" s="93"/>
      <c r="I56" s="93">
        <f t="shared" si="2"/>
        <v>50</v>
      </c>
    </row>
    <row r="57" spans="2:9" x14ac:dyDescent="0.2">
      <c r="B57" s="122">
        <f t="shared" si="4"/>
        <v>52</v>
      </c>
      <c r="C57" s="72">
        <v>240</v>
      </c>
      <c r="D57" s="72"/>
      <c r="E57" s="72"/>
      <c r="F57" s="3" t="s">
        <v>179</v>
      </c>
      <c r="G57" s="118">
        <f>G58</f>
        <v>50</v>
      </c>
      <c r="H57" s="118">
        <f t="shared" ref="H57:H58" si="24">H58</f>
        <v>0</v>
      </c>
      <c r="I57" s="118">
        <f t="shared" si="2"/>
        <v>50</v>
      </c>
    </row>
    <row r="58" spans="2:9" x14ac:dyDescent="0.2">
      <c r="B58" s="122">
        <f t="shared" si="4"/>
        <v>53</v>
      </c>
      <c r="C58" s="73"/>
      <c r="D58" s="73">
        <v>242</v>
      </c>
      <c r="E58" s="73"/>
      <c r="F58" s="4" t="s">
        <v>178</v>
      </c>
      <c r="G58" s="92">
        <f>G59</f>
        <v>50</v>
      </c>
      <c r="H58" s="92">
        <f t="shared" si="24"/>
        <v>0</v>
      </c>
      <c r="I58" s="92">
        <f t="shared" si="2"/>
        <v>50</v>
      </c>
    </row>
    <row r="59" spans="2:9" x14ac:dyDescent="0.2">
      <c r="B59" s="122">
        <f t="shared" si="4"/>
        <v>54</v>
      </c>
      <c r="C59" s="5"/>
      <c r="D59" s="5"/>
      <c r="E59" s="5">
        <v>242</v>
      </c>
      <c r="F59" s="5" t="s">
        <v>178</v>
      </c>
      <c r="G59" s="93">
        <v>50</v>
      </c>
      <c r="H59" s="93"/>
      <c r="I59" s="93">
        <f t="shared" si="2"/>
        <v>50</v>
      </c>
    </row>
    <row r="60" spans="2:9" x14ac:dyDescent="0.2">
      <c r="B60" s="122">
        <f t="shared" si="4"/>
        <v>55</v>
      </c>
      <c r="C60" s="72">
        <v>290</v>
      </c>
      <c r="D60" s="72"/>
      <c r="E60" s="72"/>
      <c r="F60" s="3" t="s">
        <v>181</v>
      </c>
      <c r="G60" s="118">
        <f>G61</f>
        <v>2050</v>
      </c>
      <c r="H60" s="118">
        <f t="shared" ref="H60" si="25">H61</f>
        <v>0</v>
      </c>
      <c r="I60" s="118">
        <f t="shared" si="2"/>
        <v>2050</v>
      </c>
    </row>
    <row r="61" spans="2:9" x14ac:dyDescent="0.2">
      <c r="B61" s="122">
        <f t="shared" si="4"/>
        <v>56</v>
      </c>
      <c r="C61" s="73"/>
      <c r="D61" s="73">
        <v>292</v>
      </c>
      <c r="E61" s="73"/>
      <c r="F61" s="4" t="s">
        <v>182</v>
      </c>
      <c r="G61" s="92">
        <f>SUM(G62:G64)</f>
        <v>2050</v>
      </c>
      <c r="H61" s="92">
        <f t="shared" ref="H61" si="26">SUM(H62:H64)</f>
        <v>0</v>
      </c>
      <c r="I61" s="92">
        <f t="shared" si="2"/>
        <v>2050</v>
      </c>
    </row>
    <row r="62" spans="2:9" x14ac:dyDescent="0.2">
      <c r="B62" s="122">
        <f t="shared" si="4"/>
        <v>57</v>
      </c>
      <c r="C62" s="5"/>
      <c r="D62" s="5"/>
      <c r="E62" s="5">
        <v>292012</v>
      </c>
      <c r="F62" s="5" t="s">
        <v>237</v>
      </c>
      <c r="G62" s="93">
        <v>1000</v>
      </c>
      <c r="H62" s="93"/>
      <c r="I62" s="93">
        <f t="shared" si="2"/>
        <v>1000</v>
      </c>
    </row>
    <row r="63" spans="2:9" x14ac:dyDescent="0.2">
      <c r="B63" s="122">
        <f t="shared" si="4"/>
        <v>58</v>
      </c>
      <c r="C63" s="5"/>
      <c r="D63" s="5"/>
      <c r="E63" s="5">
        <v>292017</v>
      </c>
      <c r="F63" s="5" t="s">
        <v>238</v>
      </c>
      <c r="G63" s="93">
        <v>50</v>
      </c>
      <c r="H63" s="93"/>
      <c r="I63" s="93">
        <f t="shared" si="2"/>
        <v>50</v>
      </c>
    </row>
    <row r="64" spans="2:9" x14ac:dyDescent="0.2">
      <c r="B64" s="122">
        <f t="shared" si="4"/>
        <v>59</v>
      </c>
      <c r="C64" s="5"/>
      <c r="D64" s="5"/>
      <c r="E64" s="5">
        <v>292027</v>
      </c>
      <c r="F64" s="5" t="s">
        <v>231</v>
      </c>
      <c r="G64" s="93">
        <v>1000</v>
      </c>
      <c r="H64" s="93"/>
      <c r="I64" s="93">
        <f t="shared" si="2"/>
        <v>1000</v>
      </c>
    </row>
    <row r="65" spans="2:9" x14ac:dyDescent="0.2">
      <c r="B65" s="122">
        <f t="shared" si="4"/>
        <v>60</v>
      </c>
      <c r="C65" s="74"/>
      <c r="D65" s="71"/>
      <c r="E65" s="75"/>
      <c r="F65" s="7" t="s">
        <v>52</v>
      </c>
      <c r="G65" s="124">
        <f>G66+G69</f>
        <v>167000</v>
      </c>
      <c r="H65" s="124">
        <f t="shared" ref="H65" si="27">H66+H69</f>
        <v>0</v>
      </c>
      <c r="I65" s="124">
        <f t="shared" si="2"/>
        <v>167000</v>
      </c>
    </row>
    <row r="66" spans="2:9" x14ac:dyDescent="0.2">
      <c r="B66" s="122">
        <f t="shared" si="4"/>
        <v>61</v>
      </c>
      <c r="C66" s="76">
        <v>210</v>
      </c>
      <c r="D66" s="72"/>
      <c r="E66" s="77"/>
      <c r="F66" s="3" t="s">
        <v>251</v>
      </c>
      <c r="G66" s="118">
        <f>G67</f>
        <v>12000</v>
      </c>
      <c r="H66" s="118">
        <f t="shared" ref="H66:H67" si="28">H67</f>
        <v>0</v>
      </c>
      <c r="I66" s="118">
        <f t="shared" si="2"/>
        <v>12000</v>
      </c>
    </row>
    <row r="67" spans="2:9" x14ac:dyDescent="0.2">
      <c r="B67" s="122">
        <f t="shared" si="4"/>
        <v>62</v>
      </c>
      <c r="C67" s="78"/>
      <c r="D67" s="73">
        <v>212</v>
      </c>
      <c r="E67" s="79"/>
      <c r="F67" s="4" t="s">
        <v>252</v>
      </c>
      <c r="G67" s="92">
        <f>G68</f>
        <v>12000</v>
      </c>
      <c r="H67" s="92">
        <f t="shared" si="28"/>
        <v>0</v>
      </c>
      <c r="I67" s="92">
        <f t="shared" si="2"/>
        <v>12000</v>
      </c>
    </row>
    <row r="68" spans="2:9" x14ac:dyDescent="0.2">
      <c r="B68" s="122">
        <f t="shared" si="4"/>
        <v>63</v>
      </c>
      <c r="C68" s="15"/>
      <c r="D68" s="5"/>
      <c r="E68" s="16">
        <v>212003</v>
      </c>
      <c r="F68" s="5" t="s">
        <v>253</v>
      </c>
      <c r="G68" s="93">
        <v>12000</v>
      </c>
      <c r="H68" s="93"/>
      <c r="I68" s="93">
        <f t="shared" si="2"/>
        <v>12000</v>
      </c>
    </row>
    <row r="69" spans="2:9" x14ac:dyDescent="0.2">
      <c r="B69" s="122">
        <f t="shared" si="4"/>
        <v>64</v>
      </c>
      <c r="C69" s="76">
        <v>220</v>
      </c>
      <c r="D69" s="72"/>
      <c r="E69" s="77"/>
      <c r="F69" s="3" t="s">
        <v>226</v>
      </c>
      <c r="G69" s="118">
        <f>G70</f>
        <v>155000</v>
      </c>
      <c r="H69" s="118">
        <f t="shared" ref="H69:H70" si="29">H70</f>
        <v>0</v>
      </c>
      <c r="I69" s="118">
        <f t="shared" si="2"/>
        <v>155000</v>
      </c>
    </row>
    <row r="70" spans="2:9" x14ac:dyDescent="0.2">
      <c r="B70" s="122">
        <f t="shared" ref="B70:B133" si="30">B69+1</f>
        <v>65</v>
      </c>
      <c r="C70" s="78"/>
      <c r="D70" s="73">
        <v>223</v>
      </c>
      <c r="E70" s="79"/>
      <c r="F70" s="4" t="s">
        <v>255</v>
      </c>
      <c r="G70" s="92">
        <f>G71</f>
        <v>155000</v>
      </c>
      <c r="H70" s="92">
        <f t="shared" si="29"/>
        <v>0</v>
      </c>
      <c r="I70" s="92">
        <f t="shared" si="2"/>
        <v>155000</v>
      </c>
    </row>
    <row r="71" spans="2:9" x14ac:dyDescent="0.2">
      <c r="B71" s="122">
        <f t="shared" si="30"/>
        <v>66</v>
      </c>
      <c r="C71" s="15"/>
      <c r="D71" s="5"/>
      <c r="E71" s="16">
        <v>223001</v>
      </c>
      <c r="F71" s="5" t="s">
        <v>256</v>
      </c>
      <c r="G71" s="93">
        <v>155000</v>
      </c>
      <c r="H71" s="93"/>
      <c r="I71" s="93">
        <f t="shared" ref="I71:I134" si="31">G71+H71</f>
        <v>155000</v>
      </c>
    </row>
    <row r="72" spans="2:9" x14ac:dyDescent="0.2">
      <c r="B72" s="122">
        <f t="shared" si="30"/>
        <v>67</v>
      </c>
      <c r="C72" s="74"/>
      <c r="D72" s="71"/>
      <c r="E72" s="75"/>
      <c r="F72" s="7" t="s">
        <v>427</v>
      </c>
      <c r="G72" s="124">
        <f>G73+G77</f>
        <v>164500</v>
      </c>
      <c r="H72" s="124">
        <f t="shared" ref="H72" si="32">H73+H77</f>
        <v>0</v>
      </c>
      <c r="I72" s="124">
        <f t="shared" si="31"/>
        <v>164500</v>
      </c>
    </row>
    <row r="73" spans="2:9" x14ac:dyDescent="0.2">
      <c r="B73" s="122">
        <f t="shared" si="30"/>
        <v>68</v>
      </c>
      <c r="C73" s="76">
        <v>210</v>
      </c>
      <c r="D73" s="72"/>
      <c r="E73" s="77"/>
      <c r="F73" s="3" t="s">
        <v>251</v>
      </c>
      <c r="G73" s="118">
        <f>G74</f>
        <v>10500</v>
      </c>
      <c r="H73" s="118">
        <f t="shared" ref="H73" si="33">H74</f>
        <v>0</v>
      </c>
      <c r="I73" s="118">
        <f t="shared" si="31"/>
        <v>10500</v>
      </c>
    </row>
    <row r="74" spans="2:9" x14ac:dyDescent="0.2">
      <c r="B74" s="122">
        <f t="shared" si="30"/>
        <v>69</v>
      </c>
      <c r="C74" s="78"/>
      <c r="D74" s="73">
        <v>212</v>
      </c>
      <c r="E74" s="79"/>
      <c r="F74" s="4" t="s">
        <v>252</v>
      </c>
      <c r="G74" s="92">
        <f>G76+G75</f>
        <v>10500</v>
      </c>
      <c r="H74" s="92">
        <f t="shared" ref="H74" si="34">H76+H75</f>
        <v>0</v>
      </c>
      <c r="I74" s="92">
        <f t="shared" si="31"/>
        <v>10500</v>
      </c>
    </row>
    <row r="75" spans="2:9" x14ac:dyDescent="0.2">
      <c r="B75" s="122">
        <f t="shared" si="30"/>
        <v>70</v>
      </c>
      <c r="C75" s="15"/>
      <c r="D75" s="5"/>
      <c r="E75" s="16">
        <v>212002</v>
      </c>
      <c r="F75" s="5" t="s">
        <v>285</v>
      </c>
      <c r="G75" s="93">
        <v>7000</v>
      </c>
      <c r="H75" s="93"/>
      <c r="I75" s="93">
        <f t="shared" si="31"/>
        <v>7000</v>
      </c>
    </row>
    <row r="76" spans="2:9" x14ac:dyDescent="0.2">
      <c r="B76" s="122">
        <f t="shared" si="30"/>
        <v>71</v>
      </c>
      <c r="C76" s="15"/>
      <c r="D76" s="5"/>
      <c r="E76" s="16">
        <v>212003</v>
      </c>
      <c r="F76" s="5" t="s">
        <v>253</v>
      </c>
      <c r="G76" s="93">
        <v>3500</v>
      </c>
      <c r="H76" s="93"/>
      <c r="I76" s="93">
        <f t="shared" si="31"/>
        <v>3500</v>
      </c>
    </row>
    <row r="77" spans="2:9" x14ac:dyDescent="0.2">
      <c r="B77" s="122">
        <f t="shared" si="30"/>
        <v>72</v>
      </c>
      <c r="C77" s="76">
        <v>220</v>
      </c>
      <c r="D77" s="72"/>
      <c r="E77" s="77"/>
      <c r="F77" s="3" t="s">
        <v>226</v>
      </c>
      <c r="G77" s="118">
        <f>G78</f>
        <v>154000</v>
      </c>
      <c r="H77" s="118">
        <f t="shared" ref="H77:H78" si="35">H78</f>
        <v>0</v>
      </c>
      <c r="I77" s="118">
        <f t="shared" si="31"/>
        <v>154000</v>
      </c>
    </row>
    <row r="78" spans="2:9" x14ac:dyDescent="0.2">
      <c r="B78" s="122">
        <f t="shared" si="30"/>
        <v>73</v>
      </c>
      <c r="C78" s="78"/>
      <c r="D78" s="73">
        <v>223</v>
      </c>
      <c r="E78" s="79"/>
      <c r="F78" s="4" t="s">
        <v>255</v>
      </c>
      <c r="G78" s="92">
        <f>G79</f>
        <v>154000</v>
      </c>
      <c r="H78" s="92">
        <f t="shared" si="35"/>
        <v>0</v>
      </c>
      <c r="I78" s="92">
        <f t="shared" si="31"/>
        <v>154000</v>
      </c>
    </row>
    <row r="79" spans="2:9" x14ac:dyDescent="0.2">
      <c r="B79" s="122">
        <f t="shared" si="30"/>
        <v>74</v>
      </c>
      <c r="C79" s="15"/>
      <c r="D79" s="5"/>
      <c r="E79" s="16">
        <v>223001</v>
      </c>
      <c r="F79" s="5" t="s">
        <v>256</v>
      </c>
      <c r="G79" s="93">
        <v>154000</v>
      </c>
      <c r="H79" s="93"/>
      <c r="I79" s="93">
        <f t="shared" si="31"/>
        <v>154000</v>
      </c>
    </row>
    <row r="80" spans="2:9" x14ac:dyDescent="0.2">
      <c r="B80" s="122">
        <f t="shared" si="30"/>
        <v>75</v>
      </c>
      <c r="C80" s="74"/>
      <c r="D80" s="71"/>
      <c r="E80" s="75"/>
      <c r="F80" s="7" t="s">
        <v>216</v>
      </c>
      <c r="G80" s="124">
        <f>G81+G84</f>
        <v>72149</v>
      </c>
      <c r="H80" s="124">
        <f t="shared" ref="H80" si="36">H81+H84</f>
        <v>0</v>
      </c>
      <c r="I80" s="124">
        <f t="shared" si="31"/>
        <v>72149</v>
      </c>
    </row>
    <row r="81" spans="2:9" x14ac:dyDescent="0.2">
      <c r="B81" s="122">
        <f t="shared" si="30"/>
        <v>76</v>
      </c>
      <c r="C81" s="76">
        <v>210</v>
      </c>
      <c r="D81" s="72"/>
      <c r="E81" s="77"/>
      <c r="F81" s="3" t="s">
        <v>251</v>
      </c>
      <c r="G81" s="118">
        <f>G82</f>
        <v>50056</v>
      </c>
      <c r="H81" s="118">
        <f t="shared" ref="H81:H82" si="37">H82</f>
        <v>0</v>
      </c>
      <c r="I81" s="118">
        <f t="shared" si="31"/>
        <v>50056</v>
      </c>
    </row>
    <row r="82" spans="2:9" x14ac:dyDescent="0.2">
      <c r="B82" s="122">
        <f t="shared" si="30"/>
        <v>77</v>
      </c>
      <c r="C82" s="78"/>
      <c r="D82" s="73">
        <v>212</v>
      </c>
      <c r="E82" s="79"/>
      <c r="F82" s="4" t="s">
        <v>252</v>
      </c>
      <c r="G82" s="92">
        <f>G83</f>
        <v>50056</v>
      </c>
      <c r="H82" s="92">
        <f t="shared" si="37"/>
        <v>0</v>
      </c>
      <c r="I82" s="92">
        <f t="shared" si="31"/>
        <v>50056</v>
      </c>
    </row>
    <row r="83" spans="2:9" x14ac:dyDescent="0.2">
      <c r="B83" s="122">
        <f t="shared" si="30"/>
        <v>78</v>
      </c>
      <c r="C83" s="15"/>
      <c r="D83" s="5"/>
      <c r="E83" s="16">
        <v>212003</v>
      </c>
      <c r="F83" s="5" t="s">
        <v>253</v>
      </c>
      <c r="G83" s="93">
        <f>101800-51744</f>
        <v>50056</v>
      </c>
      <c r="H83" s="93"/>
      <c r="I83" s="93">
        <f t="shared" si="31"/>
        <v>50056</v>
      </c>
    </row>
    <row r="84" spans="2:9" x14ac:dyDescent="0.2">
      <c r="B84" s="122">
        <f t="shared" si="30"/>
        <v>79</v>
      </c>
      <c r="C84" s="76">
        <v>220</v>
      </c>
      <c r="D84" s="72"/>
      <c r="E84" s="77"/>
      <c r="F84" s="3" t="s">
        <v>226</v>
      </c>
      <c r="G84" s="118">
        <f>G85</f>
        <v>22093</v>
      </c>
      <c r="H84" s="118">
        <f t="shared" ref="H84:H85" si="38">H85</f>
        <v>0</v>
      </c>
      <c r="I84" s="118">
        <f t="shared" si="31"/>
        <v>22093</v>
      </c>
    </row>
    <row r="85" spans="2:9" x14ac:dyDescent="0.2">
      <c r="B85" s="122">
        <f t="shared" si="30"/>
        <v>80</v>
      </c>
      <c r="C85" s="78"/>
      <c r="D85" s="73">
        <v>223</v>
      </c>
      <c r="E85" s="79"/>
      <c r="F85" s="4" t="s">
        <v>255</v>
      </c>
      <c r="G85" s="92">
        <f>G86</f>
        <v>22093</v>
      </c>
      <c r="H85" s="92">
        <f t="shared" si="38"/>
        <v>0</v>
      </c>
      <c r="I85" s="92">
        <f t="shared" si="31"/>
        <v>22093</v>
      </c>
    </row>
    <row r="86" spans="2:9" x14ac:dyDescent="0.2">
      <c r="B86" s="122">
        <f t="shared" si="30"/>
        <v>81</v>
      </c>
      <c r="C86" s="15"/>
      <c r="D86" s="5"/>
      <c r="E86" s="16">
        <v>223001</v>
      </c>
      <c r="F86" s="5" t="s">
        <v>256</v>
      </c>
      <c r="G86" s="93">
        <f>376800-354707</f>
        <v>22093</v>
      </c>
      <c r="H86" s="93"/>
      <c r="I86" s="93">
        <f t="shared" si="31"/>
        <v>22093</v>
      </c>
    </row>
    <row r="87" spans="2:9" x14ac:dyDescent="0.2">
      <c r="B87" s="122">
        <f t="shared" si="30"/>
        <v>82</v>
      </c>
      <c r="C87" s="74"/>
      <c r="D87" s="71"/>
      <c r="E87" s="75"/>
      <c r="F87" s="7" t="s">
        <v>233</v>
      </c>
      <c r="G87" s="124">
        <f>G91+G88</f>
        <v>90000</v>
      </c>
      <c r="H87" s="124">
        <f t="shared" ref="H87" si="39">H91+H88</f>
        <v>0</v>
      </c>
      <c r="I87" s="124">
        <f t="shared" si="31"/>
        <v>90000</v>
      </c>
    </row>
    <row r="88" spans="2:9" x14ac:dyDescent="0.2">
      <c r="B88" s="122">
        <f t="shared" si="30"/>
        <v>83</v>
      </c>
      <c r="C88" s="76">
        <v>210</v>
      </c>
      <c r="D88" s="72"/>
      <c r="E88" s="77"/>
      <c r="F88" s="3" t="s">
        <v>251</v>
      </c>
      <c r="G88" s="118">
        <f>G89</f>
        <v>2500</v>
      </c>
      <c r="H88" s="118">
        <f t="shared" ref="H88:H89" si="40">H89</f>
        <v>0</v>
      </c>
      <c r="I88" s="118">
        <f t="shared" si="31"/>
        <v>2500</v>
      </c>
    </row>
    <row r="89" spans="2:9" x14ac:dyDescent="0.2">
      <c r="B89" s="122">
        <f t="shared" si="30"/>
        <v>84</v>
      </c>
      <c r="C89" s="78"/>
      <c r="D89" s="73">
        <v>212</v>
      </c>
      <c r="E89" s="79"/>
      <c r="F89" s="4" t="s">
        <v>252</v>
      </c>
      <c r="G89" s="92">
        <f>G90</f>
        <v>2500</v>
      </c>
      <c r="H89" s="92">
        <f t="shared" si="40"/>
        <v>0</v>
      </c>
      <c r="I89" s="92">
        <f t="shared" si="31"/>
        <v>2500</v>
      </c>
    </row>
    <row r="90" spans="2:9" x14ac:dyDescent="0.2">
      <c r="B90" s="122">
        <f t="shared" si="30"/>
        <v>85</v>
      </c>
      <c r="C90" s="15"/>
      <c r="D90" s="5"/>
      <c r="E90" s="16">
        <v>212004</v>
      </c>
      <c r="F90" s="5" t="s">
        <v>254</v>
      </c>
      <c r="G90" s="93">
        <v>2500</v>
      </c>
      <c r="H90" s="93"/>
      <c r="I90" s="93">
        <f t="shared" si="31"/>
        <v>2500</v>
      </c>
    </row>
    <row r="91" spans="2:9" x14ac:dyDescent="0.2">
      <c r="B91" s="122">
        <f t="shared" si="30"/>
        <v>86</v>
      </c>
      <c r="C91" s="76">
        <v>220</v>
      </c>
      <c r="D91" s="72"/>
      <c r="E91" s="77"/>
      <c r="F91" s="3" t="s">
        <v>226</v>
      </c>
      <c r="G91" s="118">
        <f>G92</f>
        <v>87500</v>
      </c>
      <c r="H91" s="118">
        <f t="shared" ref="H91:H92" si="41">H92</f>
        <v>0</v>
      </c>
      <c r="I91" s="118">
        <f t="shared" si="31"/>
        <v>87500</v>
      </c>
    </row>
    <row r="92" spans="2:9" x14ac:dyDescent="0.2">
      <c r="B92" s="122">
        <f t="shared" si="30"/>
        <v>87</v>
      </c>
      <c r="C92" s="78"/>
      <c r="D92" s="73">
        <v>223</v>
      </c>
      <c r="E92" s="79"/>
      <c r="F92" s="4" t="s">
        <v>255</v>
      </c>
      <c r="G92" s="92">
        <f>G93</f>
        <v>87500</v>
      </c>
      <c r="H92" s="92">
        <f t="shared" si="41"/>
        <v>0</v>
      </c>
      <c r="I92" s="92">
        <f t="shared" si="31"/>
        <v>87500</v>
      </c>
    </row>
    <row r="93" spans="2:9" x14ac:dyDescent="0.2">
      <c r="B93" s="122">
        <f t="shared" si="30"/>
        <v>88</v>
      </c>
      <c r="C93" s="15"/>
      <c r="D93" s="5"/>
      <c r="E93" s="16">
        <v>223001</v>
      </c>
      <c r="F93" s="5" t="s">
        <v>256</v>
      </c>
      <c r="G93" s="93">
        <v>87500</v>
      </c>
      <c r="H93" s="93"/>
      <c r="I93" s="93">
        <f t="shared" si="31"/>
        <v>87500</v>
      </c>
    </row>
    <row r="94" spans="2:9" x14ac:dyDescent="0.2">
      <c r="B94" s="122">
        <f t="shared" si="30"/>
        <v>89</v>
      </c>
      <c r="C94" s="74"/>
      <c r="D94" s="71"/>
      <c r="E94" s="75"/>
      <c r="F94" s="7" t="s">
        <v>222</v>
      </c>
      <c r="G94" s="124">
        <f>G95</f>
        <v>2000</v>
      </c>
      <c r="H94" s="124">
        <f t="shared" ref="H94:H96" si="42">H95</f>
        <v>0</v>
      </c>
      <c r="I94" s="124">
        <f t="shared" si="31"/>
        <v>2000</v>
      </c>
    </row>
    <row r="95" spans="2:9" x14ac:dyDescent="0.2">
      <c r="B95" s="122">
        <f t="shared" si="30"/>
        <v>90</v>
      </c>
      <c r="C95" s="76">
        <v>290</v>
      </c>
      <c r="D95" s="72"/>
      <c r="E95" s="77"/>
      <c r="F95" s="3" t="s">
        <v>181</v>
      </c>
      <c r="G95" s="118">
        <f>G96</f>
        <v>2000</v>
      </c>
      <c r="H95" s="118">
        <f t="shared" si="42"/>
        <v>0</v>
      </c>
      <c r="I95" s="118">
        <f t="shared" si="31"/>
        <v>2000</v>
      </c>
    </row>
    <row r="96" spans="2:9" x14ac:dyDescent="0.2">
      <c r="B96" s="122">
        <f t="shared" si="30"/>
        <v>91</v>
      </c>
      <c r="C96" s="78"/>
      <c r="D96" s="73">
        <v>292</v>
      </c>
      <c r="E96" s="79"/>
      <c r="F96" s="4" t="s">
        <v>182</v>
      </c>
      <c r="G96" s="92">
        <f>G97</f>
        <v>2000</v>
      </c>
      <c r="H96" s="92">
        <f t="shared" si="42"/>
        <v>0</v>
      </c>
      <c r="I96" s="92">
        <f t="shared" si="31"/>
        <v>2000</v>
      </c>
    </row>
    <row r="97" spans="2:9" x14ac:dyDescent="0.2">
      <c r="B97" s="122">
        <f t="shared" si="30"/>
        <v>92</v>
      </c>
      <c r="C97" s="15"/>
      <c r="D97" s="5"/>
      <c r="E97" s="16">
        <v>292006</v>
      </c>
      <c r="F97" s="5" t="s">
        <v>180</v>
      </c>
      <c r="G97" s="93">
        <v>2000</v>
      </c>
      <c r="H97" s="93"/>
      <c r="I97" s="93">
        <f t="shared" si="31"/>
        <v>2000</v>
      </c>
    </row>
    <row r="98" spans="2:9" x14ac:dyDescent="0.2">
      <c r="B98" s="122">
        <f t="shared" si="30"/>
        <v>93</v>
      </c>
      <c r="C98" s="74"/>
      <c r="D98" s="71"/>
      <c r="E98" s="75"/>
      <c r="F98" s="7" t="s">
        <v>50</v>
      </c>
      <c r="G98" s="124">
        <f>G102+G99</f>
        <v>12150</v>
      </c>
      <c r="H98" s="124">
        <f t="shared" ref="H98" si="43">H102+H99</f>
        <v>0</v>
      </c>
      <c r="I98" s="124">
        <f t="shared" si="31"/>
        <v>12150</v>
      </c>
    </row>
    <row r="99" spans="2:9" x14ac:dyDescent="0.2">
      <c r="B99" s="122">
        <f t="shared" si="30"/>
        <v>94</v>
      </c>
      <c r="C99" s="76">
        <v>210</v>
      </c>
      <c r="D99" s="72"/>
      <c r="E99" s="77"/>
      <c r="F99" s="3" t="s">
        <v>251</v>
      </c>
      <c r="G99" s="118">
        <f>G100</f>
        <v>50</v>
      </c>
      <c r="H99" s="118">
        <f t="shared" ref="H99:H100" si="44">H100</f>
        <v>0</v>
      </c>
      <c r="I99" s="118">
        <f t="shared" si="31"/>
        <v>50</v>
      </c>
    </row>
    <row r="100" spans="2:9" x14ac:dyDescent="0.2">
      <c r="B100" s="122">
        <f t="shared" si="30"/>
        <v>95</v>
      </c>
      <c r="C100" s="78"/>
      <c r="D100" s="73">
        <v>212</v>
      </c>
      <c r="E100" s="79"/>
      <c r="F100" s="4" t="s">
        <v>252</v>
      </c>
      <c r="G100" s="92">
        <f>G101</f>
        <v>50</v>
      </c>
      <c r="H100" s="92">
        <f t="shared" si="44"/>
        <v>0</v>
      </c>
      <c r="I100" s="92">
        <f t="shared" si="31"/>
        <v>50</v>
      </c>
    </row>
    <row r="101" spans="2:9" x14ac:dyDescent="0.2">
      <c r="B101" s="122">
        <f t="shared" si="30"/>
        <v>96</v>
      </c>
      <c r="C101" s="15"/>
      <c r="D101" s="5"/>
      <c r="E101" s="16">
        <v>212003</v>
      </c>
      <c r="F101" s="5" t="s">
        <v>253</v>
      </c>
      <c r="G101" s="93">
        <v>50</v>
      </c>
      <c r="H101" s="93"/>
      <c r="I101" s="93">
        <f t="shared" si="31"/>
        <v>50</v>
      </c>
    </row>
    <row r="102" spans="2:9" x14ac:dyDescent="0.2">
      <c r="B102" s="122">
        <f t="shared" si="30"/>
        <v>97</v>
      </c>
      <c r="C102" s="76">
        <v>220</v>
      </c>
      <c r="D102" s="72"/>
      <c r="E102" s="77"/>
      <c r="F102" s="3" t="s">
        <v>226</v>
      </c>
      <c r="G102" s="118">
        <f>G103</f>
        <v>12100</v>
      </c>
      <c r="H102" s="118">
        <f t="shared" ref="H102:H103" si="45">H103</f>
        <v>0</v>
      </c>
      <c r="I102" s="118">
        <f t="shared" si="31"/>
        <v>12100</v>
      </c>
    </row>
    <row r="103" spans="2:9" x14ac:dyDescent="0.2">
      <c r="B103" s="122">
        <f t="shared" si="30"/>
        <v>98</v>
      </c>
      <c r="C103" s="78"/>
      <c r="D103" s="73">
        <v>223</v>
      </c>
      <c r="E103" s="79"/>
      <c r="F103" s="4" t="s">
        <v>255</v>
      </c>
      <c r="G103" s="92">
        <f>G104</f>
        <v>12100</v>
      </c>
      <c r="H103" s="92">
        <f t="shared" si="45"/>
        <v>0</v>
      </c>
      <c r="I103" s="92">
        <f t="shared" si="31"/>
        <v>12100</v>
      </c>
    </row>
    <row r="104" spans="2:9" x14ac:dyDescent="0.2">
      <c r="B104" s="122">
        <f t="shared" si="30"/>
        <v>99</v>
      </c>
      <c r="C104" s="15"/>
      <c r="D104" s="5"/>
      <c r="E104" s="16">
        <v>223001</v>
      </c>
      <c r="F104" s="5" t="s">
        <v>256</v>
      </c>
      <c r="G104" s="93">
        <v>12100</v>
      </c>
      <c r="H104" s="93"/>
      <c r="I104" s="93">
        <f t="shared" si="31"/>
        <v>12100</v>
      </c>
    </row>
    <row r="105" spans="2:9" x14ac:dyDescent="0.2">
      <c r="B105" s="122">
        <f t="shared" si="30"/>
        <v>100</v>
      </c>
      <c r="C105" s="74"/>
      <c r="D105" s="71"/>
      <c r="E105" s="75"/>
      <c r="F105" s="7" t="s">
        <v>51</v>
      </c>
      <c r="G105" s="124">
        <f>G106+G109</f>
        <v>40200</v>
      </c>
      <c r="H105" s="124">
        <f t="shared" ref="H105" si="46">H106+H109</f>
        <v>0</v>
      </c>
      <c r="I105" s="124">
        <f t="shared" si="31"/>
        <v>40200</v>
      </c>
    </row>
    <row r="106" spans="2:9" x14ac:dyDescent="0.2">
      <c r="B106" s="122">
        <f t="shared" si="30"/>
        <v>101</v>
      </c>
      <c r="C106" s="76">
        <v>210</v>
      </c>
      <c r="D106" s="72"/>
      <c r="E106" s="77"/>
      <c r="F106" s="3" t="s">
        <v>251</v>
      </c>
      <c r="G106" s="118">
        <f>G107</f>
        <v>200</v>
      </c>
      <c r="H106" s="118">
        <f t="shared" ref="H106:H107" si="47">H107</f>
        <v>0</v>
      </c>
      <c r="I106" s="118">
        <f t="shared" si="31"/>
        <v>200</v>
      </c>
    </row>
    <row r="107" spans="2:9" x14ac:dyDescent="0.2">
      <c r="B107" s="122">
        <f t="shared" si="30"/>
        <v>102</v>
      </c>
      <c r="C107" s="78"/>
      <c r="D107" s="73">
        <v>212</v>
      </c>
      <c r="E107" s="79"/>
      <c r="F107" s="4" t="s">
        <v>252</v>
      </c>
      <c r="G107" s="92">
        <f>G108</f>
        <v>200</v>
      </c>
      <c r="H107" s="92">
        <f t="shared" si="47"/>
        <v>0</v>
      </c>
      <c r="I107" s="92">
        <f t="shared" si="31"/>
        <v>200</v>
      </c>
    </row>
    <row r="108" spans="2:9" x14ac:dyDescent="0.2">
      <c r="B108" s="122">
        <f t="shared" si="30"/>
        <v>103</v>
      </c>
      <c r="C108" s="15"/>
      <c r="D108" s="5"/>
      <c r="E108" s="16">
        <v>212002</v>
      </c>
      <c r="F108" s="5" t="s">
        <v>285</v>
      </c>
      <c r="G108" s="93">
        <v>200</v>
      </c>
      <c r="H108" s="93"/>
      <c r="I108" s="93">
        <f t="shared" si="31"/>
        <v>200</v>
      </c>
    </row>
    <row r="109" spans="2:9" x14ac:dyDescent="0.2">
      <c r="B109" s="122">
        <f t="shared" si="30"/>
        <v>104</v>
      </c>
      <c r="C109" s="76">
        <v>220</v>
      </c>
      <c r="D109" s="72"/>
      <c r="E109" s="77"/>
      <c r="F109" s="3" t="s">
        <v>226</v>
      </c>
      <c r="G109" s="118">
        <f>G110</f>
        <v>40000</v>
      </c>
      <c r="H109" s="118">
        <f t="shared" ref="H109:H110" si="48">H110</f>
        <v>0</v>
      </c>
      <c r="I109" s="118">
        <f t="shared" si="31"/>
        <v>40000</v>
      </c>
    </row>
    <row r="110" spans="2:9" x14ac:dyDescent="0.2">
      <c r="B110" s="122">
        <f t="shared" si="30"/>
        <v>105</v>
      </c>
      <c r="C110" s="78"/>
      <c r="D110" s="73">
        <v>223</v>
      </c>
      <c r="E110" s="79"/>
      <c r="F110" s="4" t="s">
        <v>255</v>
      </c>
      <c r="G110" s="92">
        <f>G111</f>
        <v>40000</v>
      </c>
      <c r="H110" s="92">
        <f t="shared" si="48"/>
        <v>0</v>
      </c>
      <c r="I110" s="92">
        <f t="shared" si="31"/>
        <v>40000</v>
      </c>
    </row>
    <row r="111" spans="2:9" x14ac:dyDescent="0.2">
      <c r="B111" s="122">
        <f t="shared" si="30"/>
        <v>106</v>
      </c>
      <c r="C111" s="15"/>
      <c r="D111" s="5"/>
      <c r="E111" s="16">
        <v>223001</v>
      </c>
      <c r="F111" s="5" t="s">
        <v>256</v>
      </c>
      <c r="G111" s="93">
        <v>40000</v>
      </c>
      <c r="H111" s="93"/>
      <c r="I111" s="93">
        <f t="shared" si="31"/>
        <v>40000</v>
      </c>
    </row>
    <row r="112" spans="2:9" x14ac:dyDescent="0.2">
      <c r="B112" s="122">
        <f t="shared" si="30"/>
        <v>107</v>
      </c>
      <c r="C112" s="74"/>
      <c r="D112" s="71"/>
      <c r="E112" s="75"/>
      <c r="F112" s="7" t="s">
        <v>53</v>
      </c>
      <c r="G112" s="124">
        <f>G113+G116</f>
        <v>7700</v>
      </c>
      <c r="H112" s="124">
        <f t="shared" ref="H112" si="49">H113+H116</f>
        <v>0</v>
      </c>
      <c r="I112" s="124">
        <f t="shared" si="31"/>
        <v>7700</v>
      </c>
    </row>
    <row r="113" spans="2:9" x14ac:dyDescent="0.2">
      <c r="B113" s="122">
        <f t="shared" si="30"/>
        <v>108</v>
      </c>
      <c r="C113" s="76">
        <v>210</v>
      </c>
      <c r="D113" s="72"/>
      <c r="E113" s="77"/>
      <c r="F113" s="3" t="s">
        <v>251</v>
      </c>
      <c r="G113" s="118">
        <f>G114</f>
        <v>700</v>
      </c>
      <c r="H113" s="118">
        <f t="shared" ref="H113:H114" si="50">H114</f>
        <v>0</v>
      </c>
      <c r="I113" s="118">
        <f t="shared" si="31"/>
        <v>700</v>
      </c>
    </row>
    <row r="114" spans="2:9" x14ac:dyDescent="0.2">
      <c r="B114" s="122">
        <f t="shared" si="30"/>
        <v>109</v>
      </c>
      <c r="C114" s="78"/>
      <c r="D114" s="73">
        <v>212</v>
      </c>
      <c r="E114" s="79"/>
      <c r="F114" s="4" t="s">
        <v>252</v>
      </c>
      <c r="G114" s="92">
        <f>G115</f>
        <v>700</v>
      </c>
      <c r="H114" s="92">
        <f t="shared" si="50"/>
        <v>0</v>
      </c>
      <c r="I114" s="92">
        <f t="shared" si="31"/>
        <v>700</v>
      </c>
    </row>
    <row r="115" spans="2:9" x14ac:dyDescent="0.2">
      <c r="B115" s="122">
        <f t="shared" si="30"/>
        <v>110</v>
      </c>
      <c r="C115" s="15"/>
      <c r="D115" s="5"/>
      <c r="E115" s="16">
        <v>212002</v>
      </c>
      <c r="F115" s="5" t="s">
        <v>285</v>
      </c>
      <c r="G115" s="93">
        <v>700</v>
      </c>
      <c r="H115" s="93"/>
      <c r="I115" s="93">
        <f t="shared" si="31"/>
        <v>700</v>
      </c>
    </row>
    <row r="116" spans="2:9" x14ac:dyDescent="0.2">
      <c r="B116" s="122">
        <f t="shared" si="30"/>
        <v>111</v>
      </c>
      <c r="C116" s="76">
        <v>220</v>
      </c>
      <c r="D116" s="72"/>
      <c r="E116" s="77"/>
      <c r="F116" s="3" t="s">
        <v>226</v>
      </c>
      <c r="G116" s="118">
        <f>G117</f>
        <v>7000</v>
      </c>
      <c r="H116" s="118">
        <f t="shared" ref="H116:H117" si="51">H117</f>
        <v>0</v>
      </c>
      <c r="I116" s="118">
        <f t="shared" si="31"/>
        <v>7000</v>
      </c>
    </row>
    <row r="117" spans="2:9" x14ac:dyDescent="0.2">
      <c r="B117" s="122">
        <f t="shared" si="30"/>
        <v>112</v>
      </c>
      <c r="C117" s="78"/>
      <c r="D117" s="73">
        <v>223</v>
      </c>
      <c r="E117" s="79"/>
      <c r="F117" s="4" t="s">
        <v>255</v>
      </c>
      <c r="G117" s="92">
        <f>G118</f>
        <v>7000</v>
      </c>
      <c r="H117" s="92">
        <f t="shared" si="51"/>
        <v>0</v>
      </c>
      <c r="I117" s="92">
        <f t="shared" si="31"/>
        <v>7000</v>
      </c>
    </row>
    <row r="118" spans="2:9" ht="13.5" thickBot="1" x14ac:dyDescent="0.25">
      <c r="B118" s="122">
        <f t="shared" si="30"/>
        <v>113</v>
      </c>
      <c r="C118" s="15"/>
      <c r="D118" s="149"/>
      <c r="E118" s="16">
        <v>223001</v>
      </c>
      <c r="F118" s="5" t="s">
        <v>256</v>
      </c>
      <c r="G118" s="93">
        <v>7000</v>
      </c>
      <c r="H118" s="93"/>
      <c r="I118" s="93">
        <f t="shared" si="31"/>
        <v>7000</v>
      </c>
    </row>
    <row r="119" spans="2:9" ht="15.75" thickBot="1" x14ac:dyDescent="0.3">
      <c r="B119" s="122">
        <f t="shared" si="30"/>
        <v>114</v>
      </c>
      <c r="C119" s="80">
        <v>3</v>
      </c>
      <c r="D119" s="162"/>
      <c r="E119" s="81"/>
      <c r="F119" s="12" t="s">
        <v>14</v>
      </c>
      <c r="G119" s="21">
        <f>G120</f>
        <v>18000</v>
      </c>
      <c r="H119" s="21">
        <f t="shared" ref="H119:H121" si="52">H120</f>
        <v>0</v>
      </c>
      <c r="I119" s="21">
        <f t="shared" si="31"/>
        <v>18000</v>
      </c>
    </row>
    <row r="120" spans="2:9" x14ac:dyDescent="0.2">
      <c r="B120" s="122">
        <f t="shared" si="30"/>
        <v>115</v>
      </c>
      <c r="C120" s="74">
        <v>220</v>
      </c>
      <c r="D120" s="161"/>
      <c r="E120" s="75"/>
      <c r="F120" s="7" t="s">
        <v>226</v>
      </c>
      <c r="G120" s="124">
        <f>G121</f>
        <v>18000</v>
      </c>
      <c r="H120" s="124">
        <f t="shared" si="52"/>
        <v>0</v>
      </c>
      <c r="I120" s="124">
        <f t="shared" si="31"/>
        <v>18000</v>
      </c>
    </row>
    <row r="121" spans="2:9" x14ac:dyDescent="0.2">
      <c r="B121" s="122">
        <f t="shared" si="30"/>
        <v>116</v>
      </c>
      <c r="C121" s="76"/>
      <c r="D121" s="72">
        <v>223</v>
      </c>
      <c r="E121" s="77"/>
      <c r="F121" s="3" t="s">
        <v>255</v>
      </c>
      <c r="G121" s="118">
        <f>G122</f>
        <v>18000</v>
      </c>
      <c r="H121" s="118">
        <f t="shared" si="52"/>
        <v>0</v>
      </c>
      <c r="I121" s="118">
        <f t="shared" si="31"/>
        <v>18000</v>
      </c>
    </row>
    <row r="122" spans="2:9" ht="13.5" thickBot="1" x14ac:dyDescent="0.25">
      <c r="B122" s="122">
        <f t="shared" si="30"/>
        <v>117</v>
      </c>
      <c r="C122" s="78"/>
      <c r="D122" s="73"/>
      <c r="E122" s="79">
        <v>223002</v>
      </c>
      <c r="F122" s="4" t="s">
        <v>76</v>
      </c>
      <c r="G122" s="92">
        <v>18000</v>
      </c>
      <c r="H122" s="92"/>
      <c r="I122" s="92">
        <f t="shared" si="31"/>
        <v>18000</v>
      </c>
    </row>
    <row r="123" spans="2:9" ht="15.75" thickBot="1" x14ac:dyDescent="0.3">
      <c r="B123" s="122">
        <f t="shared" si="30"/>
        <v>118</v>
      </c>
      <c r="C123" s="80">
        <v>4</v>
      </c>
      <c r="D123" s="162"/>
      <c r="E123" s="81"/>
      <c r="F123" s="12" t="s">
        <v>90</v>
      </c>
      <c r="G123" s="21">
        <f>G206+G202+G198+G194+G190+G185+G180+G175+G170+G164+G159+G154+G149+G144+G139+G134+G129+G124</f>
        <v>396100</v>
      </c>
      <c r="H123" s="21">
        <f t="shared" ref="H123" si="53">H206+H202+H198+H194+H190+H185+H180+H175+H170+H164+H159+H154+H149+H144+H139+H134+H129+H124</f>
        <v>0</v>
      </c>
      <c r="I123" s="21">
        <f t="shared" si="31"/>
        <v>396100</v>
      </c>
    </row>
    <row r="124" spans="2:9" x14ac:dyDescent="0.2">
      <c r="B124" s="122">
        <f t="shared" si="30"/>
        <v>119</v>
      </c>
      <c r="C124" s="74"/>
      <c r="D124" s="161"/>
      <c r="E124" s="75"/>
      <c r="F124" s="7" t="s">
        <v>72</v>
      </c>
      <c r="G124" s="124">
        <f>G125</f>
        <v>21130</v>
      </c>
      <c r="H124" s="124">
        <f t="shared" ref="H124:H125" si="54">H125</f>
        <v>0</v>
      </c>
      <c r="I124" s="124">
        <f t="shared" si="31"/>
        <v>21130</v>
      </c>
    </row>
    <row r="125" spans="2:9" x14ac:dyDescent="0.2">
      <c r="B125" s="122">
        <f t="shared" si="30"/>
        <v>120</v>
      </c>
      <c r="C125" s="76">
        <v>220</v>
      </c>
      <c r="D125" s="72"/>
      <c r="E125" s="77"/>
      <c r="F125" s="3" t="s">
        <v>226</v>
      </c>
      <c r="G125" s="118">
        <f>G126</f>
        <v>21130</v>
      </c>
      <c r="H125" s="118">
        <f t="shared" si="54"/>
        <v>0</v>
      </c>
      <c r="I125" s="118">
        <f t="shared" si="31"/>
        <v>21130</v>
      </c>
    </row>
    <row r="126" spans="2:9" x14ac:dyDescent="0.2">
      <c r="B126" s="122">
        <f t="shared" si="30"/>
        <v>121</v>
      </c>
      <c r="C126" s="78"/>
      <c r="D126" s="73">
        <v>223</v>
      </c>
      <c r="E126" s="79"/>
      <c r="F126" s="4" t="s">
        <v>255</v>
      </c>
      <c r="G126" s="92">
        <f>G128+G127</f>
        <v>21130</v>
      </c>
      <c r="H126" s="92">
        <f t="shared" ref="H126" si="55">H128+H127</f>
        <v>0</v>
      </c>
      <c r="I126" s="92">
        <f t="shared" si="31"/>
        <v>21130</v>
      </c>
    </row>
    <row r="127" spans="2:9" x14ac:dyDescent="0.2">
      <c r="B127" s="122">
        <f t="shared" si="30"/>
        <v>122</v>
      </c>
      <c r="C127" s="15"/>
      <c r="D127" s="5"/>
      <c r="E127" s="16">
        <v>223002</v>
      </c>
      <c r="F127" s="5" t="s">
        <v>76</v>
      </c>
      <c r="G127" s="93">
        <v>7470</v>
      </c>
      <c r="H127" s="93"/>
      <c r="I127" s="93">
        <f t="shared" si="31"/>
        <v>7470</v>
      </c>
    </row>
    <row r="128" spans="2:9" x14ac:dyDescent="0.2">
      <c r="B128" s="122">
        <f t="shared" si="30"/>
        <v>123</v>
      </c>
      <c r="C128" s="15"/>
      <c r="D128" s="5"/>
      <c r="E128" s="16">
        <v>223003</v>
      </c>
      <c r="F128" s="50" t="s">
        <v>77</v>
      </c>
      <c r="G128" s="93">
        <v>13660</v>
      </c>
      <c r="H128" s="93"/>
      <c r="I128" s="93">
        <f t="shared" si="31"/>
        <v>13660</v>
      </c>
    </row>
    <row r="129" spans="2:9" x14ac:dyDescent="0.2">
      <c r="B129" s="122">
        <f t="shared" si="30"/>
        <v>124</v>
      </c>
      <c r="C129" s="74"/>
      <c r="D129" s="71"/>
      <c r="E129" s="75"/>
      <c r="F129" s="7" t="s">
        <v>241</v>
      </c>
      <c r="G129" s="124">
        <f>G130</f>
        <v>33900</v>
      </c>
      <c r="H129" s="124">
        <f t="shared" ref="H129:H130" si="56">H130</f>
        <v>0</v>
      </c>
      <c r="I129" s="124">
        <f t="shared" si="31"/>
        <v>33900</v>
      </c>
    </row>
    <row r="130" spans="2:9" x14ac:dyDescent="0.2">
      <c r="B130" s="122">
        <f t="shared" si="30"/>
        <v>125</v>
      </c>
      <c r="C130" s="76">
        <v>220</v>
      </c>
      <c r="D130" s="72"/>
      <c r="E130" s="77"/>
      <c r="F130" s="3" t="s">
        <v>226</v>
      </c>
      <c r="G130" s="118">
        <f>G131</f>
        <v>33900</v>
      </c>
      <c r="H130" s="118">
        <f t="shared" si="56"/>
        <v>0</v>
      </c>
      <c r="I130" s="118">
        <f t="shared" si="31"/>
        <v>33900</v>
      </c>
    </row>
    <row r="131" spans="2:9" x14ac:dyDescent="0.2">
      <c r="B131" s="122">
        <f t="shared" si="30"/>
        <v>126</v>
      </c>
      <c r="C131" s="78"/>
      <c r="D131" s="73">
        <v>223</v>
      </c>
      <c r="E131" s="79"/>
      <c r="F131" s="4" t="s">
        <v>255</v>
      </c>
      <c r="G131" s="92">
        <f>G133+G132</f>
        <v>33900</v>
      </c>
      <c r="H131" s="92">
        <f t="shared" ref="H131" si="57">H133+H132</f>
        <v>0</v>
      </c>
      <c r="I131" s="92">
        <f t="shared" si="31"/>
        <v>33900</v>
      </c>
    </row>
    <row r="132" spans="2:9" x14ac:dyDescent="0.2">
      <c r="B132" s="122">
        <f t="shared" si="30"/>
        <v>127</v>
      </c>
      <c r="C132" s="15"/>
      <c r="D132" s="5"/>
      <c r="E132" s="16">
        <v>223002</v>
      </c>
      <c r="F132" s="5" t="s">
        <v>76</v>
      </c>
      <c r="G132" s="93">
        <v>10900</v>
      </c>
      <c r="H132" s="93"/>
      <c r="I132" s="93">
        <f t="shared" si="31"/>
        <v>10900</v>
      </c>
    </row>
    <row r="133" spans="2:9" x14ac:dyDescent="0.2">
      <c r="B133" s="122">
        <f t="shared" si="30"/>
        <v>128</v>
      </c>
      <c r="C133" s="15"/>
      <c r="D133" s="5"/>
      <c r="E133" s="16">
        <v>223003</v>
      </c>
      <c r="F133" s="50" t="s">
        <v>77</v>
      </c>
      <c r="G133" s="93">
        <v>23000</v>
      </c>
      <c r="H133" s="93"/>
      <c r="I133" s="93">
        <f t="shared" si="31"/>
        <v>23000</v>
      </c>
    </row>
    <row r="134" spans="2:9" x14ac:dyDescent="0.2">
      <c r="B134" s="122">
        <f>B133+1</f>
        <v>129</v>
      </c>
      <c r="C134" s="74"/>
      <c r="D134" s="71"/>
      <c r="E134" s="75"/>
      <c r="F134" s="7" t="s">
        <v>71</v>
      </c>
      <c r="G134" s="124">
        <f>G135</f>
        <v>20100</v>
      </c>
      <c r="H134" s="124">
        <f t="shared" ref="H134:H135" si="58">H135</f>
        <v>0</v>
      </c>
      <c r="I134" s="124">
        <f t="shared" si="31"/>
        <v>20100</v>
      </c>
    </row>
    <row r="135" spans="2:9" x14ac:dyDescent="0.2">
      <c r="B135" s="122">
        <f>B134+1</f>
        <v>130</v>
      </c>
      <c r="C135" s="76">
        <v>220</v>
      </c>
      <c r="D135" s="72"/>
      <c r="E135" s="77"/>
      <c r="F135" s="3" t="s">
        <v>226</v>
      </c>
      <c r="G135" s="118">
        <f>G136</f>
        <v>20100</v>
      </c>
      <c r="H135" s="118">
        <f t="shared" si="58"/>
        <v>0</v>
      </c>
      <c r="I135" s="118">
        <f t="shared" ref="I135:I198" si="59">G135+H135</f>
        <v>20100</v>
      </c>
    </row>
    <row r="136" spans="2:9" x14ac:dyDescent="0.2">
      <c r="B136" s="122">
        <f t="shared" ref="B136:B165" si="60">B135+1</f>
        <v>131</v>
      </c>
      <c r="C136" s="78"/>
      <c r="D136" s="73">
        <v>223</v>
      </c>
      <c r="E136" s="79"/>
      <c r="F136" s="4" t="s">
        <v>255</v>
      </c>
      <c r="G136" s="92">
        <f>G138+G137</f>
        <v>20100</v>
      </c>
      <c r="H136" s="92">
        <f t="shared" ref="H136" si="61">H138+H137</f>
        <v>0</v>
      </c>
      <c r="I136" s="92">
        <f t="shared" si="59"/>
        <v>20100</v>
      </c>
    </row>
    <row r="137" spans="2:9" x14ac:dyDescent="0.2">
      <c r="B137" s="122">
        <f t="shared" si="60"/>
        <v>132</v>
      </c>
      <c r="C137" s="15"/>
      <c r="D137" s="5"/>
      <c r="E137" s="16">
        <v>223002</v>
      </c>
      <c r="F137" s="5" t="s">
        <v>76</v>
      </c>
      <c r="G137" s="93">
        <v>6740</v>
      </c>
      <c r="H137" s="93"/>
      <c r="I137" s="93">
        <f t="shared" si="59"/>
        <v>6740</v>
      </c>
    </row>
    <row r="138" spans="2:9" x14ac:dyDescent="0.2">
      <c r="B138" s="122">
        <f t="shared" si="60"/>
        <v>133</v>
      </c>
      <c r="C138" s="15"/>
      <c r="D138" s="5"/>
      <c r="E138" s="16">
        <v>223003</v>
      </c>
      <c r="F138" s="50" t="s">
        <v>77</v>
      </c>
      <c r="G138" s="93">
        <v>13360</v>
      </c>
      <c r="H138" s="93"/>
      <c r="I138" s="93">
        <f t="shared" si="59"/>
        <v>13360</v>
      </c>
    </row>
    <row r="139" spans="2:9" x14ac:dyDescent="0.2">
      <c r="B139" s="122">
        <f t="shared" si="60"/>
        <v>134</v>
      </c>
      <c r="C139" s="74"/>
      <c r="D139" s="71"/>
      <c r="E139" s="75"/>
      <c r="F139" s="7" t="s">
        <v>105</v>
      </c>
      <c r="G139" s="124">
        <f>G140</f>
        <v>23660</v>
      </c>
      <c r="H139" s="124">
        <f t="shared" ref="H139:H140" si="62">H140</f>
        <v>0</v>
      </c>
      <c r="I139" s="124">
        <f t="shared" si="59"/>
        <v>23660</v>
      </c>
    </row>
    <row r="140" spans="2:9" x14ac:dyDescent="0.2">
      <c r="B140" s="122">
        <f t="shared" si="60"/>
        <v>135</v>
      </c>
      <c r="C140" s="76">
        <v>220</v>
      </c>
      <c r="D140" s="72"/>
      <c r="E140" s="77"/>
      <c r="F140" s="3" t="s">
        <v>226</v>
      </c>
      <c r="G140" s="118">
        <f>G141</f>
        <v>23660</v>
      </c>
      <c r="H140" s="118">
        <f t="shared" si="62"/>
        <v>0</v>
      </c>
      <c r="I140" s="118">
        <f t="shared" si="59"/>
        <v>23660</v>
      </c>
    </row>
    <row r="141" spans="2:9" x14ac:dyDescent="0.2">
      <c r="B141" s="122">
        <f t="shared" si="60"/>
        <v>136</v>
      </c>
      <c r="C141" s="78"/>
      <c r="D141" s="73">
        <v>223</v>
      </c>
      <c r="E141" s="79"/>
      <c r="F141" s="4" t="s">
        <v>255</v>
      </c>
      <c r="G141" s="92">
        <f>G143+G142</f>
        <v>23660</v>
      </c>
      <c r="H141" s="92">
        <f t="shared" ref="H141" si="63">H143+H142</f>
        <v>0</v>
      </c>
      <c r="I141" s="92">
        <f t="shared" si="59"/>
        <v>23660</v>
      </c>
    </row>
    <row r="142" spans="2:9" x14ac:dyDescent="0.2">
      <c r="B142" s="122">
        <f t="shared" si="60"/>
        <v>137</v>
      </c>
      <c r="C142" s="15"/>
      <c r="D142" s="5"/>
      <c r="E142" s="16">
        <v>223002</v>
      </c>
      <c r="F142" s="5" t="s">
        <v>76</v>
      </c>
      <c r="G142" s="93">
        <v>7745</v>
      </c>
      <c r="H142" s="93"/>
      <c r="I142" s="93">
        <f t="shared" si="59"/>
        <v>7745</v>
      </c>
    </row>
    <row r="143" spans="2:9" x14ac:dyDescent="0.2">
      <c r="B143" s="122">
        <f t="shared" si="60"/>
        <v>138</v>
      </c>
      <c r="C143" s="15"/>
      <c r="D143" s="5"/>
      <c r="E143" s="16">
        <v>223003</v>
      </c>
      <c r="F143" s="50" t="s">
        <v>77</v>
      </c>
      <c r="G143" s="93">
        <v>15915</v>
      </c>
      <c r="H143" s="93"/>
      <c r="I143" s="93">
        <f t="shared" si="59"/>
        <v>15915</v>
      </c>
    </row>
    <row r="144" spans="2:9" x14ac:dyDescent="0.2">
      <c r="B144" s="122">
        <f t="shared" si="60"/>
        <v>139</v>
      </c>
      <c r="C144" s="74"/>
      <c r="D144" s="71"/>
      <c r="E144" s="75"/>
      <c r="F144" s="7" t="s">
        <v>108</v>
      </c>
      <c r="G144" s="124">
        <f>G145</f>
        <v>24160</v>
      </c>
      <c r="H144" s="124">
        <f t="shared" ref="H144:H145" si="64">H145</f>
        <v>0</v>
      </c>
      <c r="I144" s="124">
        <f t="shared" si="59"/>
        <v>24160</v>
      </c>
    </row>
    <row r="145" spans="2:9" x14ac:dyDescent="0.2">
      <c r="B145" s="122">
        <f t="shared" si="60"/>
        <v>140</v>
      </c>
      <c r="C145" s="76">
        <v>220</v>
      </c>
      <c r="D145" s="72"/>
      <c r="E145" s="77"/>
      <c r="F145" s="3" t="s">
        <v>226</v>
      </c>
      <c r="G145" s="118">
        <f>G146</f>
        <v>24160</v>
      </c>
      <c r="H145" s="118">
        <f t="shared" si="64"/>
        <v>0</v>
      </c>
      <c r="I145" s="118">
        <f t="shared" si="59"/>
        <v>24160</v>
      </c>
    </row>
    <row r="146" spans="2:9" x14ac:dyDescent="0.2">
      <c r="B146" s="122">
        <f t="shared" si="60"/>
        <v>141</v>
      </c>
      <c r="C146" s="78"/>
      <c r="D146" s="73">
        <v>223</v>
      </c>
      <c r="E146" s="79"/>
      <c r="F146" s="4" t="s">
        <v>255</v>
      </c>
      <c r="G146" s="92">
        <f>G148+G147</f>
        <v>24160</v>
      </c>
      <c r="H146" s="92">
        <f t="shared" ref="H146" si="65">H148+H147</f>
        <v>0</v>
      </c>
      <c r="I146" s="92">
        <f t="shared" si="59"/>
        <v>24160</v>
      </c>
    </row>
    <row r="147" spans="2:9" x14ac:dyDescent="0.2">
      <c r="B147" s="122">
        <f t="shared" si="60"/>
        <v>142</v>
      </c>
      <c r="C147" s="15"/>
      <c r="D147" s="5"/>
      <c r="E147" s="16">
        <v>223002</v>
      </c>
      <c r="F147" s="5" t="s">
        <v>76</v>
      </c>
      <c r="G147" s="93">
        <v>7030</v>
      </c>
      <c r="H147" s="93"/>
      <c r="I147" s="93">
        <f t="shared" si="59"/>
        <v>7030</v>
      </c>
    </row>
    <row r="148" spans="2:9" x14ac:dyDescent="0.2">
      <c r="B148" s="122">
        <f t="shared" si="60"/>
        <v>143</v>
      </c>
      <c r="C148" s="15"/>
      <c r="D148" s="5"/>
      <c r="E148" s="16">
        <v>223003</v>
      </c>
      <c r="F148" s="50" t="s">
        <v>77</v>
      </c>
      <c r="G148" s="93">
        <v>17130</v>
      </c>
      <c r="H148" s="93"/>
      <c r="I148" s="93">
        <f t="shared" si="59"/>
        <v>17130</v>
      </c>
    </row>
    <row r="149" spans="2:9" x14ac:dyDescent="0.2">
      <c r="B149" s="122">
        <f t="shared" si="60"/>
        <v>144</v>
      </c>
      <c r="C149" s="74"/>
      <c r="D149" s="71"/>
      <c r="E149" s="75"/>
      <c r="F149" s="7" t="s">
        <v>92</v>
      </c>
      <c r="G149" s="124">
        <f>G150</f>
        <v>38850</v>
      </c>
      <c r="H149" s="124">
        <f t="shared" ref="H149:H150" si="66">H150</f>
        <v>0</v>
      </c>
      <c r="I149" s="124">
        <f t="shared" si="59"/>
        <v>38850</v>
      </c>
    </row>
    <row r="150" spans="2:9" x14ac:dyDescent="0.2">
      <c r="B150" s="122">
        <f t="shared" si="60"/>
        <v>145</v>
      </c>
      <c r="C150" s="76">
        <v>220</v>
      </c>
      <c r="D150" s="72"/>
      <c r="E150" s="77"/>
      <c r="F150" s="3" t="s">
        <v>226</v>
      </c>
      <c r="G150" s="118">
        <f>G151</f>
        <v>38850</v>
      </c>
      <c r="H150" s="118">
        <f t="shared" si="66"/>
        <v>0</v>
      </c>
      <c r="I150" s="118">
        <f t="shared" si="59"/>
        <v>38850</v>
      </c>
    </row>
    <row r="151" spans="2:9" x14ac:dyDescent="0.2">
      <c r="B151" s="122">
        <f t="shared" si="60"/>
        <v>146</v>
      </c>
      <c r="C151" s="78"/>
      <c r="D151" s="73">
        <v>223</v>
      </c>
      <c r="E151" s="79"/>
      <c r="F151" s="4" t="s">
        <v>255</v>
      </c>
      <c r="G151" s="92">
        <f>G153+G152</f>
        <v>38850</v>
      </c>
      <c r="H151" s="92">
        <f t="shared" ref="H151" si="67">H153+H152</f>
        <v>0</v>
      </c>
      <c r="I151" s="92">
        <f t="shared" si="59"/>
        <v>38850</v>
      </c>
    </row>
    <row r="152" spans="2:9" x14ac:dyDescent="0.2">
      <c r="B152" s="122">
        <f t="shared" si="60"/>
        <v>147</v>
      </c>
      <c r="C152" s="15"/>
      <c r="D152" s="5"/>
      <c r="E152" s="16">
        <v>223002</v>
      </c>
      <c r="F152" s="5" t="s">
        <v>76</v>
      </c>
      <c r="G152" s="93">
        <v>10900</v>
      </c>
      <c r="H152" s="93"/>
      <c r="I152" s="93">
        <f t="shared" si="59"/>
        <v>10900</v>
      </c>
    </row>
    <row r="153" spans="2:9" x14ac:dyDescent="0.2">
      <c r="B153" s="122">
        <f t="shared" si="60"/>
        <v>148</v>
      </c>
      <c r="C153" s="15"/>
      <c r="D153" s="5"/>
      <c r="E153" s="16">
        <v>223003</v>
      </c>
      <c r="F153" s="50" t="s">
        <v>77</v>
      </c>
      <c r="G153" s="93">
        <v>27950</v>
      </c>
      <c r="H153" s="93"/>
      <c r="I153" s="93">
        <f t="shared" si="59"/>
        <v>27950</v>
      </c>
    </row>
    <row r="154" spans="2:9" x14ac:dyDescent="0.2">
      <c r="B154" s="122">
        <f t="shared" si="60"/>
        <v>149</v>
      </c>
      <c r="C154" s="74"/>
      <c r="D154" s="71"/>
      <c r="E154" s="75"/>
      <c r="F154" s="7" t="s">
        <v>89</v>
      </c>
      <c r="G154" s="124">
        <f>G155</f>
        <v>40175</v>
      </c>
      <c r="H154" s="124">
        <f t="shared" ref="H154:H155" si="68">H155</f>
        <v>0</v>
      </c>
      <c r="I154" s="124">
        <f t="shared" si="59"/>
        <v>40175</v>
      </c>
    </row>
    <row r="155" spans="2:9" x14ac:dyDescent="0.2">
      <c r="B155" s="122">
        <f t="shared" si="60"/>
        <v>150</v>
      </c>
      <c r="C155" s="76">
        <v>220</v>
      </c>
      <c r="D155" s="72"/>
      <c r="E155" s="77"/>
      <c r="F155" s="3" t="s">
        <v>226</v>
      </c>
      <c r="G155" s="118">
        <f>G156</f>
        <v>40175</v>
      </c>
      <c r="H155" s="118">
        <f t="shared" si="68"/>
        <v>0</v>
      </c>
      <c r="I155" s="118">
        <f t="shared" si="59"/>
        <v>40175</v>
      </c>
    </row>
    <row r="156" spans="2:9" x14ac:dyDescent="0.2">
      <c r="B156" s="122">
        <f t="shared" si="60"/>
        <v>151</v>
      </c>
      <c r="C156" s="78"/>
      <c r="D156" s="73">
        <v>223</v>
      </c>
      <c r="E156" s="79"/>
      <c r="F156" s="4" t="s">
        <v>255</v>
      </c>
      <c r="G156" s="92">
        <f>G158+G157</f>
        <v>40175</v>
      </c>
      <c r="H156" s="92">
        <f t="shared" ref="H156" si="69">H158+H157</f>
        <v>0</v>
      </c>
      <c r="I156" s="92">
        <f t="shared" si="59"/>
        <v>40175</v>
      </c>
    </row>
    <row r="157" spans="2:9" x14ac:dyDescent="0.2">
      <c r="B157" s="122">
        <f t="shared" si="60"/>
        <v>152</v>
      </c>
      <c r="C157" s="15"/>
      <c r="D157" s="5"/>
      <c r="E157" s="16">
        <v>223002</v>
      </c>
      <c r="F157" s="5" t="s">
        <v>76</v>
      </c>
      <c r="G157" s="93">
        <v>13340</v>
      </c>
      <c r="H157" s="93"/>
      <c r="I157" s="93">
        <f t="shared" si="59"/>
        <v>13340</v>
      </c>
    </row>
    <row r="158" spans="2:9" x14ac:dyDescent="0.2">
      <c r="B158" s="122">
        <f t="shared" si="60"/>
        <v>153</v>
      </c>
      <c r="C158" s="15"/>
      <c r="D158" s="5"/>
      <c r="E158" s="16">
        <v>223003</v>
      </c>
      <c r="F158" s="50" t="s">
        <v>77</v>
      </c>
      <c r="G158" s="93">
        <v>26835</v>
      </c>
      <c r="H158" s="93"/>
      <c r="I158" s="93">
        <f t="shared" si="59"/>
        <v>26835</v>
      </c>
    </row>
    <row r="159" spans="2:9" x14ac:dyDescent="0.2">
      <c r="B159" s="122">
        <f t="shared" si="60"/>
        <v>154</v>
      </c>
      <c r="C159" s="74"/>
      <c r="D159" s="71"/>
      <c r="E159" s="75"/>
      <c r="F159" s="7" t="s">
        <v>112</v>
      </c>
      <c r="G159" s="124">
        <f>G160</f>
        <v>22235</v>
      </c>
      <c r="H159" s="124">
        <f t="shared" ref="H159:H160" si="70">H160</f>
        <v>0</v>
      </c>
      <c r="I159" s="124">
        <f t="shared" si="59"/>
        <v>22235</v>
      </c>
    </row>
    <row r="160" spans="2:9" x14ac:dyDescent="0.2">
      <c r="B160" s="122">
        <f t="shared" si="60"/>
        <v>155</v>
      </c>
      <c r="C160" s="76">
        <v>220</v>
      </c>
      <c r="D160" s="72"/>
      <c r="E160" s="77"/>
      <c r="F160" s="3" t="s">
        <v>226</v>
      </c>
      <c r="G160" s="118">
        <f>G161</f>
        <v>22235</v>
      </c>
      <c r="H160" s="118">
        <f t="shared" si="70"/>
        <v>0</v>
      </c>
      <c r="I160" s="118">
        <f t="shared" si="59"/>
        <v>22235</v>
      </c>
    </row>
    <row r="161" spans="2:9" x14ac:dyDescent="0.2">
      <c r="B161" s="122">
        <f t="shared" si="60"/>
        <v>156</v>
      </c>
      <c r="C161" s="78"/>
      <c r="D161" s="73">
        <v>223</v>
      </c>
      <c r="E161" s="79"/>
      <c r="F161" s="4" t="s">
        <v>255</v>
      </c>
      <c r="G161" s="92">
        <f>G163+G162</f>
        <v>22235</v>
      </c>
      <c r="H161" s="92">
        <f t="shared" ref="H161" si="71">H163+H162</f>
        <v>0</v>
      </c>
      <c r="I161" s="92">
        <f t="shared" si="59"/>
        <v>22235</v>
      </c>
    </row>
    <row r="162" spans="2:9" x14ac:dyDescent="0.2">
      <c r="B162" s="122">
        <f t="shared" si="60"/>
        <v>157</v>
      </c>
      <c r="C162" s="15"/>
      <c r="D162" s="5"/>
      <c r="E162" s="16">
        <v>223002</v>
      </c>
      <c r="F162" s="5" t="s">
        <v>76</v>
      </c>
      <c r="G162" s="93">
        <v>7030</v>
      </c>
      <c r="H162" s="93"/>
      <c r="I162" s="93">
        <f t="shared" si="59"/>
        <v>7030</v>
      </c>
    </row>
    <row r="163" spans="2:9" x14ac:dyDescent="0.2">
      <c r="B163" s="122">
        <f t="shared" si="60"/>
        <v>158</v>
      </c>
      <c r="C163" s="15"/>
      <c r="D163" s="5"/>
      <c r="E163" s="16">
        <v>223003</v>
      </c>
      <c r="F163" s="50" t="s">
        <v>77</v>
      </c>
      <c r="G163" s="93">
        <v>15205</v>
      </c>
      <c r="H163" s="93"/>
      <c r="I163" s="93">
        <f t="shared" si="59"/>
        <v>15205</v>
      </c>
    </row>
    <row r="164" spans="2:9" x14ac:dyDescent="0.2">
      <c r="B164" s="122">
        <f t="shared" si="60"/>
        <v>159</v>
      </c>
      <c r="C164" s="74"/>
      <c r="D164" s="71"/>
      <c r="E164" s="75"/>
      <c r="F164" s="7" t="s">
        <v>67</v>
      </c>
      <c r="G164" s="124">
        <f>G165</f>
        <v>29775</v>
      </c>
      <c r="H164" s="124">
        <f t="shared" ref="H164:H165" si="72">H165</f>
        <v>0</v>
      </c>
      <c r="I164" s="124">
        <f t="shared" si="59"/>
        <v>29775</v>
      </c>
    </row>
    <row r="165" spans="2:9" x14ac:dyDescent="0.2">
      <c r="B165" s="122">
        <f t="shared" si="60"/>
        <v>160</v>
      </c>
      <c r="C165" s="76">
        <v>220</v>
      </c>
      <c r="D165" s="72"/>
      <c r="E165" s="77"/>
      <c r="F165" s="3" t="s">
        <v>226</v>
      </c>
      <c r="G165" s="118">
        <f>G166</f>
        <v>29775</v>
      </c>
      <c r="H165" s="118">
        <f t="shared" si="72"/>
        <v>0</v>
      </c>
      <c r="I165" s="118">
        <f t="shared" si="59"/>
        <v>29775</v>
      </c>
    </row>
    <row r="166" spans="2:9" x14ac:dyDescent="0.2">
      <c r="B166" s="122">
        <f t="shared" ref="B166:B232" si="73">B165+1</f>
        <v>161</v>
      </c>
      <c r="C166" s="78"/>
      <c r="D166" s="73">
        <v>223</v>
      </c>
      <c r="E166" s="79"/>
      <c r="F166" s="4" t="s">
        <v>255</v>
      </c>
      <c r="G166" s="92">
        <f>G169+G168+G167</f>
        <v>29775</v>
      </c>
      <c r="H166" s="92">
        <f t="shared" ref="H166" si="74">H169+H168+H167</f>
        <v>0</v>
      </c>
      <c r="I166" s="92">
        <f t="shared" si="59"/>
        <v>29775</v>
      </c>
    </row>
    <row r="167" spans="2:9" x14ac:dyDescent="0.2">
      <c r="B167" s="122">
        <f t="shared" si="73"/>
        <v>162</v>
      </c>
      <c r="C167" s="15"/>
      <c r="D167" s="5"/>
      <c r="E167" s="16">
        <v>223001</v>
      </c>
      <c r="F167" s="5" t="s">
        <v>256</v>
      </c>
      <c r="G167" s="93">
        <v>350</v>
      </c>
      <c r="H167" s="93"/>
      <c r="I167" s="93">
        <f t="shared" si="59"/>
        <v>350</v>
      </c>
    </row>
    <row r="168" spans="2:9" x14ac:dyDescent="0.2">
      <c r="B168" s="122">
        <f t="shared" si="73"/>
        <v>163</v>
      </c>
      <c r="C168" s="15"/>
      <c r="D168" s="5"/>
      <c r="E168" s="16">
        <v>223002</v>
      </c>
      <c r="F168" s="5" t="s">
        <v>76</v>
      </c>
      <c r="G168" s="93">
        <v>9030</v>
      </c>
      <c r="H168" s="93"/>
      <c r="I168" s="93">
        <f t="shared" si="59"/>
        <v>9030</v>
      </c>
    </row>
    <row r="169" spans="2:9" x14ac:dyDescent="0.2">
      <c r="B169" s="122">
        <f t="shared" si="73"/>
        <v>164</v>
      </c>
      <c r="C169" s="15"/>
      <c r="D169" s="5"/>
      <c r="E169" s="16">
        <v>223003</v>
      </c>
      <c r="F169" s="50" t="s">
        <v>77</v>
      </c>
      <c r="G169" s="93">
        <v>20395</v>
      </c>
      <c r="H169" s="93"/>
      <c r="I169" s="93">
        <f t="shared" si="59"/>
        <v>20395</v>
      </c>
    </row>
    <row r="170" spans="2:9" x14ac:dyDescent="0.2">
      <c r="B170" s="122">
        <f t="shared" si="73"/>
        <v>165</v>
      </c>
      <c r="C170" s="74"/>
      <c r="D170" s="71"/>
      <c r="E170" s="75"/>
      <c r="F170" s="7" t="s">
        <v>73</v>
      </c>
      <c r="G170" s="124">
        <f>G171</f>
        <v>37730</v>
      </c>
      <c r="H170" s="124">
        <f t="shared" ref="H170:H171" si="75">H171</f>
        <v>0</v>
      </c>
      <c r="I170" s="124">
        <f t="shared" si="59"/>
        <v>37730</v>
      </c>
    </row>
    <row r="171" spans="2:9" x14ac:dyDescent="0.2">
      <c r="B171" s="122">
        <f t="shared" si="73"/>
        <v>166</v>
      </c>
      <c r="C171" s="76">
        <v>220</v>
      </c>
      <c r="D171" s="72"/>
      <c r="E171" s="77"/>
      <c r="F171" s="3" t="s">
        <v>226</v>
      </c>
      <c r="G171" s="118">
        <f>G172</f>
        <v>37730</v>
      </c>
      <c r="H171" s="118">
        <f t="shared" si="75"/>
        <v>0</v>
      </c>
      <c r="I171" s="118">
        <f t="shared" si="59"/>
        <v>37730</v>
      </c>
    </row>
    <row r="172" spans="2:9" x14ac:dyDescent="0.2">
      <c r="B172" s="122">
        <f t="shared" si="73"/>
        <v>167</v>
      </c>
      <c r="C172" s="78"/>
      <c r="D172" s="73">
        <v>223</v>
      </c>
      <c r="E172" s="79"/>
      <c r="F172" s="4" t="s">
        <v>255</v>
      </c>
      <c r="G172" s="92">
        <f>G174+G173</f>
        <v>37730</v>
      </c>
      <c r="H172" s="92">
        <f t="shared" ref="H172" si="76">H174+H173</f>
        <v>0</v>
      </c>
      <c r="I172" s="92">
        <f t="shared" si="59"/>
        <v>37730</v>
      </c>
    </row>
    <row r="173" spans="2:9" x14ac:dyDescent="0.2">
      <c r="B173" s="122">
        <f t="shared" si="73"/>
        <v>168</v>
      </c>
      <c r="C173" s="15"/>
      <c r="D173" s="5"/>
      <c r="E173" s="16">
        <v>223002</v>
      </c>
      <c r="F173" s="5" t="s">
        <v>76</v>
      </c>
      <c r="G173" s="93">
        <v>12620</v>
      </c>
      <c r="H173" s="93"/>
      <c r="I173" s="93">
        <f t="shared" si="59"/>
        <v>12620</v>
      </c>
    </row>
    <row r="174" spans="2:9" x14ac:dyDescent="0.2">
      <c r="B174" s="122">
        <f t="shared" si="73"/>
        <v>169</v>
      </c>
      <c r="C174" s="15"/>
      <c r="D174" s="5"/>
      <c r="E174" s="16">
        <v>223003</v>
      </c>
      <c r="F174" s="50" t="s">
        <v>77</v>
      </c>
      <c r="G174" s="93">
        <v>25110</v>
      </c>
      <c r="H174" s="93"/>
      <c r="I174" s="93">
        <f t="shared" si="59"/>
        <v>25110</v>
      </c>
    </row>
    <row r="175" spans="2:9" x14ac:dyDescent="0.2">
      <c r="B175" s="122">
        <f t="shared" si="73"/>
        <v>170</v>
      </c>
      <c r="C175" s="74"/>
      <c r="D175" s="71"/>
      <c r="E175" s="75"/>
      <c r="F175" s="7" t="s">
        <v>74</v>
      </c>
      <c r="G175" s="124">
        <f>G176</f>
        <v>21240</v>
      </c>
      <c r="H175" s="124">
        <f t="shared" ref="H175:H176" si="77">H176</f>
        <v>0</v>
      </c>
      <c r="I175" s="124">
        <f t="shared" si="59"/>
        <v>21240</v>
      </c>
    </row>
    <row r="176" spans="2:9" x14ac:dyDescent="0.2">
      <c r="B176" s="122">
        <f t="shared" si="73"/>
        <v>171</v>
      </c>
      <c r="C176" s="76">
        <v>220</v>
      </c>
      <c r="D176" s="72"/>
      <c r="E176" s="77"/>
      <c r="F176" s="3" t="s">
        <v>226</v>
      </c>
      <c r="G176" s="118">
        <f>G177</f>
        <v>21240</v>
      </c>
      <c r="H176" s="118">
        <f t="shared" si="77"/>
        <v>0</v>
      </c>
      <c r="I176" s="118">
        <f t="shared" si="59"/>
        <v>21240</v>
      </c>
    </row>
    <row r="177" spans="2:9" x14ac:dyDescent="0.2">
      <c r="B177" s="122">
        <f t="shared" si="73"/>
        <v>172</v>
      </c>
      <c r="C177" s="78"/>
      <c r="D177" s="73">
        <v>223</v>
      </c>
      <c r="E177" s="79"/>
      <c r="F177" s="4" t="s">
        <v>255</v>
      </c>
      <c r="G177" s="92">
        <f>G179+G178</f>
        <v>21240</v>
      </c>
      <c r="H177" s="92">
        <f t="shared" ref="H177" si="78">H179+H178</f>
        <v>0</v>
      </c>
      <c r="I177" s="92">
        <f t="shared" si="59"/>
        <v>21240</v>
      </c>
    </row>
    <row r="178" spans="2:9" x14ac:dyDescent="0.2">
      <c r="B178" s="122">
        <f t="shared" si="73"/>
        <v>173</v>
      </c>
      <c r="C178" s="15"/>
      <c r="D178" s="5"/>
      <c r="E178" s="16">
        <v>223002</v>
      </c>
      <c r="F178" s="5" t="s">
        <v>76</v>
      </c>
      <c r="G178" s="93">
        <v>7030</v>
      </c>
      <c r="H178" s="93"/>
      <c r="I178" s="93">
        <f t="shared" si="59"/>
        <v>7030</v>
      </c>
    </row>
    <row r="179" spans="2:9" x14ac:dyDescent="0.2">
      <c r="B179" s="122">
        <f t="shared" si="73"/>
        <v>174</v>
      </c>
      <c r="C179" s="15"/>
      <c r="D179" s="5"/>
      <c r="E179" s="16">
        <v>223003</v>
      </c>
      <c r="F179" s="50" t="s">
        <v>77</v>
      </c>
      <c r="G179" s="93">
        <v>14210</v>
      </c>
      <c r="H179" s="93"/>
      <c r="I179" s="93">
        <f t="shared" si="59"/>
        <v>14210</v>
      </c>
    </row>
    <row r="180" spans="2:9" x14ac:dyDescent="0.2">
      <c r="B180" s="122">
        <f t="shared" si="73"/>
        <v>175</v>
      </c>
      <c r="C180" s="74"/>
      <c r="D180" s="71"/>
      <c r="E180" s="75"/>
      <c r="F180" s="7" t="s">
        <v>103</v>
      </c>
      <c r="G180" s="124">
        <f>G181</f>
        <v>14060</v>
      </c>
      <c r="H180" s="124">
        <f t="shared" ref="H180:H181" si="79">H181</f>
        <v>0</v>
      </c>
      <c r="I180" s="124">
        <f t="shared" si="59"/>
        <v>14060</v>
      </c>
    </row>
    <row r="181" spans="2:9" x14ac:dyDescent="0.2">
      <c r="B181" s="122">
        <f t="shared" si="73"/>
        <v>176</v>
      </c>
      <c r="C181" s="76">
        <v>220</v>
      </c>
      <c r="D181" s="72"/>
      <c r="E181" s="77"/>
      <c r="F181" s="3" t="s">
        <v>226</v>
      </c>
      <c r="G181" s="118">
        <f>G182</f>
        <v>14060</v>
      </c>
      <c r="H181" s="118">
        <f t="shared" si="79"/>
        <v>0</v>
      </c>
      <c r="I181" s="118">
        <f t="shared" si="59"/>
        <v>14060</v>
      </c>
    </row>
    <row r="182" spans="2:9" x14ac:dyDescent="0.2">
      <c r="B182" s="122">
        <f t="shared" si="73"/>
        <v>177</v>
      </c>
      <c r="C182" s="78"/>
      <c r="D182" s="73">
        <v>223</v>
      </c>
      <c r="E182" s="79"/>
      <c r="F182" s="4" t="s">
        <v>255</v>
      </c>
      <c r="G182" s="92">
        <f>G184+G183</f>
        <v>14060</v>
      </c>
      <c r="H182" s="92">
        <f t="shared" ref="H182" si="80">H184+H183</f>
        <v>0</v>
      </c>
      <c r="I182" s="92">
        <f t="shared" si="59"/>
        <v>14060</v>
      </c>
    </row>
    <row r="183" spans="2:9" x14ac:dyDescent="0.2">
      <c r="B183" s="122">
        <f t="shared" si="73"/>
        <v>178</v>
      </c>
      <c r="C183" s="15"/>
      <c r="D183" s="5"/>
      <c r="E183" s="16">
        <v>223002</v>
      </c>
      <c r="F183" s="5" t="s">
        <v>76</v>
      </c>
      <c r="G183" s="93">
        <v>4160</v>
      </c>
      <c r="H183" s="93"/>
      <c r="I183" s="93">
        <f t="shared" si="59"/>
        <v>4160</v>
      </c>
    </row>
    <row r="184" spans="2:9" x14ac:dyDescent="0.2">
      <c r="B184" s="122">
        <f t="shared" si="73"/>
        <v>179</v>
      </c>
      <c r="C184" s="15"/>
      <c r="D184" s="5"/>
      <c r="E184" s="16">
        <v>223003</v>
      </c>
      <c r="F184" s="50" t="s">
        <v>77</v>
      </c>
      <c r="G184" s="93">
        <v>9900</v>
      </c>
      <c r="H184" s="93"/>
      <c r="I184" s="93">
        <f t="shared" si="59"/>
        <v>9900</v>
      </c>
    </row>
    <row r="185" spans="2:9" x14ac:dyDescent="0.2">
      <c r="B185" s="122">
        <f t="shared" si="73"/>
        <v>180</v>
      </c>
      <c r="C185" s="74"/>
      <c r="D185" s="71"/>
      <c r="E185" s="75"/>
      <c r="F185" s="7" t="s">
        <v>212</v>
      </c>
      <c r="G185" s="124">
        <f>G186</f>
        <v>21500</v>
      </c>
      <c r="H185" s="124">
        <f t="shared" ref="H185:H186" si="81">H186</f>
        <v>0</v>
      </c>
      <c r="I185" s="124">
        <f t="shared" si="59"/>
        <v>21500</v>
      </c>
    </row>
    <row r="186" spans="2:9" x14ac:dyDescent="0.2">
      <c r="B186" s="122">
        <f t="shared" si="73"/>
        <v>181</v>
      </c>
      <c r="C186" s="76">
        <v>220</v>
      </c>
      <c r="D186" s="72"/>
      <c r="E186" s="77"/>
      <c r="F186" s="3" t="s">
        <v>226</v>
      </c>
      <c r="G186" s="118">
        <f>G187</f>
        <v>21500</v>
      </c>
      <c r="H186" s="118">
        <f t="shared" si="81"/>
        <v>0</v>
      </c>
      <c r="I186" s="118">
        <f t="shared" si="59"/>
        <v>21500</v>
      </c>
    </row>
    <row r="187" spans="2:9" x14ac:dyDescent="0.2">
      <c r="B187" s="122">
        <f t="shared" si="73"/>
        <v>182</v>
      </c>
      <c r="C187" s="78"/>
      <c r="D187" s="73">
        <v>223</v>
      </c>
      <c r="E187" s="79"/>
      <c r="F187" s="4" t="s">
        <v>255</v>
      </c>
      <c r="G187" s="92">
        <f>G189+G188</f>
        <v>21500</v>
      </c>
      <c r="H187" s="92">
        <f t="shared" ref="H187" si="82">H189+H188</f>
        <v>0</v>
      </c>
      <c r="I187" s="92">
        <f t="shared" si="59"/>
        <v>21500</v>
      </c>
    </row>
    <row r="188" spans="2:9" x14ac:dyDescent="0.2">
      <c r="B188" s="122">
        <f t="shared" si="73"/>
        <v>183</v>
      </c>
      <c r="C188" s="15"/>
      <c r="D188" s="5"/>
      <c r="E188" s="16">
        <v>223002</v>
      </c>
      <c r="F188" s="5" t="s">
        <v>76</v>
      </c>
      <c r="G188" s="93">
        <v>2870</v>
      </c>
      <c r="H188" s="93"/>
      <c r="I188" s="93">
        <f t="shared" si="59"/>
        <v>2870</v>
      </c>
    </row>
    <row r="189" spans="2:9" x14ac:dyDescent="0.2">
      <c r="B189" s="122">
        <f t="shared" si="73"/>
        <v>184</v>
      </c>
      <c r="C189" s="15"/>
      <c r="D189" s="5"/>
      <c r="E189" s="16">
        <v>223003</v>
      </c>
      <c r="F189" s="50" t="s">
        <v>77</v>
      </c>
      <c r="G189" s="93">
        <v>18630</v>
      </c>
      <c r="H189" s="93"/>
      <c r="I189" s="93">
        <f t="shared" si="59"/>
        <v>18630</v>
      </c>
    </row>
    <row r="190" spans="2:9" x14ac:dyDescent="0.2">
      <c r="B190" s="122">
        <f t="shared" si="73"/>
        <v>185</v>
      </c>
      <c r="C190" s="74"/>
      <c r="D190" s="71"/>
      <c r="E190" s="75"/>
      <c r="F190" s="7" t="s">
        <v>75</v>
      </c>
      <c r="G190" s="124">
        <f>G191</f>
        <v>2870</v>
      </c>
      <c r="H190" s="124">
        <f t="shared" ref="H190:H192" si="83">H191</f>
        <v>0</v>
      </c>
      <c r="I190" s="124">
        <f t="shared" si="59"/>
        <v>2870</v>
      </c>
    </row>
    <row r="191" spans="2:9" x14ac:dyDescent="0.2">
      <c r="B191" s="122">
        <f t="shared" si="73"/>
        <v>186</v>
      </c>
      <c r="C191" s="76">
        <v>220</v>
      </c>
      <c r="D191" s="72"/>
      <c r="E191" s="77"/>
      <c r="F191" s="3" t="s">
        <v>226</v>
      </c>
      <c r="G191" s="118">
        <f>G192</f>
        <v>2870</v>
      </c>
      <c r="H191" s="118">
        <f t="shared" si="83"/>
        <v>0</v>
      </c>
      <c r="I191" s="118">
        <f t="shared" si="59"/>
        <v>2870</v>
      </c>
    </row>
    <row r="192" spans="2:9" x14ac:dyDescent="0.2">
      <c r="B192" s="122">
        <f t="shared" si="73"/>
        <v>187</v>
      </c>
      <c r="C192" s="78"/>
      <c r="D192" s="73">
        <v>223</v>
      </c>
      <c r="E192" s="79"/>
      <c r="F192" s="4" t="s">
        <v>255</v>
      </c>
      <c r="G192" s="92">
        <f>G193</f>
        <v>2870</v>
      </c>
      <c r="H192" s="92">
        <f t="shared" si="83"/>
        <v>0</v>
      </c>
      <c r="I192" s="92">
        <f t="shared" si="59"/>
        <v>2870</v>
      </c>
    </row>
    <row r="193" spans="2:9" x14ac:dyDescent="0.2">
      <c r="B193" s="122">
        <f t="shared" si="73"/>
        <v>188</v>
      </c>
      <c r="C193" s="15"/>
      <c r="D193" s="5"/>
      <c r="E193" s="16">
        <v>223002</v>
      </c>
      <c r="F193" s="5" t="s">
        <v>76</v>
      </c>
      <c r="G193" s="93">
        <v>2870</v>
      </c>
      <c r="H193" s="93"/>
      <c r="I193" s="93">
        <f t="shared" si="59"/>
        <v>2870</v>
      </c>
    </row>
    <row r="194" spans="2:9" x14ac:dyDescent="0.2">
      <c r="B194" s="122">
        <f t="shared" si="73"/>
        <v>189</v>
      </c>
      <c r="C194" s="74"/>
      <c r="D194" s="71"/>
      <c r="E194" s="75"/>
      <c r="F194" s="7" t="s">
        <v>115</v>
      </c>
      <c r="G194" s="124">
        <f>G195</f>
        <v>10760</v>
      </c>
      <c r="H194" s="124">
        <f t="shared" ref="H194:H196" si="84">H195</f>
        <v>0</v>
      </c>
      <c r="I194" s="124">
        <f t="shared" si="59"/>
        <v>10760</v>
      </c>
    </row>
    <row r="195" spans="2:9" x14ac:dyDescent="0.2">
      <c r="B195" s="122">
        <f t="shared" si="73"/>
        <v>190</v>
      </c>
      <c r="C195" s="76">
        <v>220</v>
      </c>
      <c r="D195" s="72"/>
      <c r="E195" s="77"/>
      <c r="F195" s="3" t="s">
        <v>226</v>
      </c>
      <c r="G195" s="118">
        <f>G196</f>
        <v>10760</v>
      </c>
      <c r="H195" s="118">
        <f t="shared" si="84"/>
        <v>0</v>
      </c>
      <c r="I195" s="118">
        <f t="shared" si="59"/>
        <v>10760</v>
      </c>
    </row>
    <row r="196" spans="2:9" x14ac:dyDescent="0.2">
      <c r="B196" s="122">
        <f t="shared" si="73"/>
        <v>191</v>
      </c>
      <c r="C196" s="78"/>
      <c r="D196" s="73">
        <v>223</v>
      </c>
      <c r="E196" s="79"/>
      <c r="F196" s="4" t="s">
        <v>255</v>
      </c>
      <c r="G196" s="92">
        <f>G197</f>
        <v>10760</v>
      </c>
      <c r="H196" s="92">
        <f t="shared" si="84"/>
        <v>0</v>
      </c>
      <c r="I196" s="92">
        <f t="shared" si="59"/>
        <v>10760</v>
      </c>
    </row>
    <row r="197" spans="2:9" x14ac:dyDescent="0.2">
      <c r="B197" s="122">
        <f t="shared" si="73"/>
        <v>192</v>
      </c>
      <c r="C197" s="15"/>
      <c r="D197" s="5"/>
      <c r="E197" s="16">
        <v>223002</v>
      </c>
      <c r="F197" s="5" t="s">
        <v>76</v>
      </c>
      <c r="G197" s="93">
        <v>10760</v>
      </c>
      <c r="H197" s="93"/>
      <c r="I197" s="93">
        <f t="shared" si="59"/>
        <v>10760</v>
      </c>
    </row>
    <row r="198" spans="2:9" x14ac:dyDescent="0.2">
      <c r="B198" s="122">
        <f t="shared" si="73"/>
        <v>193</v>
      </c>
      <c r="C198" s="74"/>
      <c r="D198" s="71"/>
      <c r="E198" s="75"/>
      <c r="F198" s="7" t="s">
        <v>99</v>
      </c>
      <c r="G198" s="124">
        <f>G199</f>
        <v>1270</v>
      </c>
      <c r="H198" s="124">
        <f t="shared" ref="H198:H200" si="85">H199</f>
        <v>0</v>
      </c>
      <c r="I198" s="124">
        <f t="shared" si="59"/>
        <v>1270</v>
      </c>
    </row>
    <row r="199" spans="2:9" x14ac:dyDescent="0.2">
      <c r="B199" s="122">
        <f t="shared" si="73"/>
        <v>194</v>
      </c>
      <c r="C199" s="76">
        <v>220</v>
      </c>
      <c r="D199" s="72"/>
      <c r="E199" s="77"/>
      <c r="F199" s="3" t="s">
        <v>226</v>
      </c>
      <c r="G199" s="118">
        <f>G200</f>
        <v>1270</v>
      </c>
      <c r="H199" s="118">
        <f t="shared" si="85"/>
        <v>0</v>
      </c>
      <c r="I199" s="118">
        <f t="shared" ref="I199:I262" si="86">G199+H199</f>
        <v>1270</v>
      </c>
    </row>
    <row r="200" spans="2:9" x14ac:dyDescent="0.2">
      <c r="B200" s="122">
        <f t="shared" si="73"/>
        <v>195</v>
      </c>
      <c r="C200" s="78"/>
      <c r="D200" s="73">
        <v>223</v>
      </c>
      <c r="E200" s="79"/>
      <c r="F200" s="4" t="s">
        <v>255</v>
      </c>
      <c r="G200" s="92">
        <f>G201</f>
        <v>1270</v>
      </c>
      <c r="H200" s="92">
        <f t="shared" si="85"/>
        <v>0</v>
      </c>
      <c r="I200" s="92">
        <f t="shared" si="86"/>
        <v>1270</v>
      </c>
    </row>
    <row r="201" spans="2:9" x14ac:dyDescent="0.2">
      <c r="B201" s="122">
        <f t="shared" si="73"/>
        <v>196</v>
      </c>
      <c r="C201" s="15"/>
      <c r="D201" s="5"/>
      <c r="E201" s="16">
        <v>223002</v>
      </c>
      <c r="F201" s="5" t="s">
        <v>76</v>
      </c>
      <c r="G201" s="93">
        <v>1270</v>
      </c>
      <c r="H201" s="93"/>
      <c r="I201" s="93">
        <f t="shared" si="86"/>
        <v>1270</v>
      </c>
    </row>
    <row r="202" spans="2:9" x14ac:dyDescent="0.2">
      <c r="B202" s="122">
        <f t="shared" si="73"/>
        <v>197</v>
      </c>
      <c r="C202" s="74"/>
      <c r="D202" s="71"/>
      <c r="E202" s="75"/>
      <c r="F202" s="7" t="s">
        <v>96</v>
      </c>
      <c r="G202" s="124">
        <f>G203</f>
        <v>29950</v>
      </c>
      <c r="H202" s="124">
        <f t="shared" ref="H202:H204" si="87">H203</f>
        <v>0</v>
      </c>
      <c r="I202" s="124">
        <f t="shared" si="86"/>
        <v>29950</v>
      </c>
    </row>
    <row r="203" spans="2:9" x14ac:dyDescent="0.2">
      <c r="B203" s="122">
        <f t="shared" si="73"/>
        <v>198</v>
      </c>
      <c r="C203" s="76">
        <v>220</v>
      </c>
      <c r="D203" s="72"/>
      <c r="E203" s="77"/>
      <c r="F203" s="3" t="s">
        <v>226</v>
      </c>
      <c r="G203" s="118">
        <f>G204</f>
        <v>29950</v>
      </c>
      <c r="H203" s="118">
        <f t="shared" si="87"/>
        <v>0</v>
      </c>
      <c r="I203" s="118">
        <f t="shared" si="86"/>
        <v>29950</v>
      </c>
    </row>
    <row r="204" spans="2:9" x14ac:dyDescent="0.2">
      <c r="B204" s="122">
        <f t="shared" si="73"/>
        <v>199</v>
      </c>
      <c r="C204" s="78"/>
      <c r="D204" s="73">
        <v>223</v>
      </c>
      <c r="E204" s="79"/>
      <c r="F204" s="4" t="s">
        <v>255</v>
      </c>
      <c r="G204" s="92">
        <f>G205</f>
        <v>29950</v>
      </c>
      <c r="H204" s="92">
        <f t="shared" si="87"/>
        <v>0</v>
      </c>
      <c r="I204" s="92">
        <f t="shared" si="86"/>
        <v>29950</v>
      </c>
    </row>
    <row r="205" spans="2:9" x14ac:dyDescent="0.2">
      <c r="B205" s="122">
        <f t="shared" si="73"/>
        <v>200</v>
      </c>
      <c r="C205" s="15"/>
      <c r="D205" s="5"/>
      <c r="E205" s="16">
        <v>223003</v>
      </c>
      <c r="F205" s="50" t="s">
        <v>77</v>
      </c>
      <c r="G205" s="93">
        <v>29950</v>
      </c>
      <c r="H205" s="93"/>
      <c r="I205" s="93">
        <f t="shared" si="86"/>
        <v>29950</v>
      </c>
    </row>
    <row r="206" spans="2:9" x14ac:dyDescent="0.2">
      <c r="B206" s="122">
        <f t="shared" si="73"/>
        <v>201</v>
      </c>
      <c r="C206" s="74"/>
      <c r="D206" s="71"/>
      <c r="E206" s="75"/>
      <c r="F206" s="7" t="s">
        <v>97</v>
      </c>
      <c r="G206" s="124">
        <f>G210+G207</f>
        <v>2735</v>
      </c>
      <c r="H206" s="124">
        <f t="shared" ref="H206" si="88">H210+H207</f>
        <v>0</v>
      </c>
      <c r="I206" s="124">
        <f t="shared" si="86"/>
        <v>2735</v>
      </c>
    </row>
    <row r="207" spans="2:9" x14ac:dyDescent="0.2">
      <c r="B207" s="122">
        <f t="shared" si="73"/>
        <v>202</v>
      </c>
      <c r="C207" s="76">
        <v>210</v>
      </c>
      <c r="D207" s="72"/>
      <c r="E207" s="77"/>
      <c r="F207" s="3" t="s">
        <v>251</v>
      </c>
      <c r="G207" s="118">
        <f>G208</f>
        <v>2720</v>
      </c>
      <c r="H207" s="118">
        <f t="shared" ref="H207:H208" si="89">H208</f>
        <v>0</v>
      </c>
      <c r="I207" s="118">
        <f t="shared" si="86"/>
        <v>2720</v>
      </c>
    </row>
    <row r="208" spans="2:9" x14ac:dyDescent="0.2">
      <c r="B208" s="122">
        <f t="shared" si="73"/>
        <v>203</v>
      </c>
      <c r="C208" s="78"/>
      <c r="D208" s="73">
        <v>212</v>
      </c>
      <c r="E208" s="79"/>
      <c r="F208" s="4" t="s">
        <v>252</v>
      </c>
      <c r="G208" s="92">
        <f>G209</f>
        <v>2720</v>
      </c>
      <c r="H208" s="92">
        <f t="shared" si="89"/>
        <v>0</v>
      </c>
      <c r="I208" s="92">
        <f t="shared" si="86"/>
        <v>2720</v>
      </c>
    </row>
    <row r="209" spans="2:9" x14ac:dyDescent="0.2">
      <c r="B209" s="122">
        <f t="shared" si="73"/>
        <v>204</v>
      </c>
      <c r="C209" s="15"/>
      <c r="D209" s="5"/>
      <c r="E209" s="16">
        <v>212003</v>
      </c>
      <c r="F209" s="5" t="s">
        <v>253</v>
      </c>
      <c r="G209" s="93">
        <v>2720</v>
      </c>
      <c r="H209" s="93"/>
      <c r="I209" s="93">
        <f t="shared" si="86"/>
        <v>2720</v>
      </c>
    </row>
    <row r="210" spans="2:9" x14ac:dyDescent="0.2">
      <c r="B210" s="122">
        <f t="shared" si="73"/>
        <v>205</v>
      </c>
      <c r="C210" s="76">
        <v>240</v>
      </c>
      <c r="D210" s="72"/>
      <c r="E210" s="77"/>
      <c r="F210" s="3" t="s">
        <v>179</v>
      </c>
      <c r="G210" s="118">
        <f>G211</f>
        <v>15</v>
      </c>
      <c r="H210" s="118">
        <f t="shared" ref="H210:H211" si="90">H211</f>
        <v>0</v>
      </c>
      <c r="I210" s="118">
        <f t="shared" si="86"/>
        <v>15</v>
      </c>
    </row>
    <row r="211" spans="2:9" x14ac:dyDescent="0.2">
      <c r="B211" s="122">
        <f t="shared" si="73"/>
        <v>206</v>
      </c>
      <c r="C211" s="78"/>
      <c r="D211" s="73">
        <v>242</v>
      </c>
      <c r="E211" s="79"/>
      <c r="F211" s="4" t="s">
        <v>178</v>
      </c>
      <c r="G211" s="92">
        <f>G212</f>
        <v>15</v>
      </c>
      <c r="H211" s="92">
        <f t="shared" si="90"/>
        <v>0</v>
      </c>
      <c r="I211" s="92">
        <f t="shared" si="86"/>
        <v>15</v>
      </c>
    </row>
    <row r="212" spans="2:9" ht="13.5" thickBot="1" x14ac:dyDescent="0.25">
      <c r="B212" s="122">
        <f t="shared" si="73"/>
        <v>207</v>
      </c>
      <c r="C212" s="15"/>
      <c r="D212" s="5"/>
      <c r="E212" s="16">
        <v>242</v>
      </c>
      <c r="F212" s="5" t="s">
        <v>178</v>
      </c>
      <c r="G212" s="93">
        <v>15</v>
      </c>
      <c r="H212" s="93"/>
      <c r="I212" s="93">
        <f t="shared" si="86"/>
        <v>15</v>
      </c>
    </row>
    <row r="213" spans="2:9" ht="15.75" thickBot="1" x14ac:dyDescent="0.3">
      <c r="B213" s="122">
        <f t="shared" si="73"/>
        <v>208</v>
      </c>
      <c r="C213" s="80">
        <v>5</v>
      </c>
      <c r="D213" s="162"/>
      <c r="E213" s="81"/>
      <c r="F213" s="12" t="s">
        <v>116</v>
      </c>
      <c r="G213" s="21">
        <f>G217+G223+G227+G231+G235+G242+G250+G259+G265+G271+G276+G214</f>
        <v>781873</v>
      </c>
      <c r="H213" s="21">
        <f t="shared" ref="H213" si="91">H217+H223+H227+H231+H235+H242+H250+H259+H265+H271+H276+H214</f>
        <v>0</v>
      </c>
      <c r="I213" s="21">
        <f t="shared" si="86"/>
        <v>781873</v>
      </c>
    </row>
    <row r="214" spans="2:9" x14ac:dyDescent="0.2">
      <c r="B214" s="122">
        <f t="shared" si="73"/>
        <v>209</v>
      </c>
      <c r="C214" s="71">
        <v>290</v>
      </c>
      <c r="D214" s="71"/>
      <c r="E214" s="71"/>
      <c r="F214" s="7" t="s">
        <v>181</v>
      </c>
      <c r="G214" s="218">
        <f>G215</f>
        <v>6673</v>
      </c>
      <c r="H214" s="218">
        <f t="shared" ref="H214:H215" si="92">H215</f>
        <v>0</v>
      </c>
      <c r="I214" s="218">
        <f t="shared" si="86"/>
        <v>6673</v>
      </c>
    </row>
    <row r="215" spans="2:9" x14ac:dyDescent="0.2">
      <c r="B215" s="122">
        <f t="shared" si="73"/>
        <v>210</v>
      </c>
      <c r="C215" s="72"/>
      <c r="D215" s="72">
        <v>292</v>
      </c>
      <c r="E215" s="72"/>
      <c r="F215" s="3" t="s">
        <v>182</v>
      </c>
      <c r="G215" s="219">
        <f>G216</f>
        <v>6673</v>
      </c>
      <c r="H215" s="219">
        <f t="shared" si="92"/>
        <v>0</v>
      </c>
      <c r="I215" s="219">
        <f t="shared" si="86"/>
        <v>6673</v>
      </c>
    </row>
    <row r="216" spans="2:9" x14ac:dyDescent="0.2">
      <c r="B216" s="122">
        <f t="shared" si="73"/>
        <v>211</v>
      </c>
      <c r="C216" s="73"/>
      <c r="D216" s="73"/>
      <c r="E216" s="73">
        <v>292012</v>
      </c>
      <c r="F216" s="4" t="s">
        <v>237</v>
      </c>
      <c r="G216" s="220">
        <v>6673</v>
      </c>
      <c r="H216" s="220"/>
      <c r="I216" s="220">
        <f t="shared" si="86"/>
        <v>6673</v>
      </c>
    </row>
    <row r="217" spans="2:9" x14ac:dyDescent="0.2">
      <c r="B217" s="122">
        <f t="shared" si="73"/>
        <v>212</v>
      </c>
      <c r="C217" s="74"/>
      <c r="D217" s="71"/>
      <c r="E217" s="75"/>
      <c r="F217" s="7" t="s">
        <v>78</v>
      </c>
      <c r="G217" s="124">
        <f>G218</f>
        <v>144400</v>
      </c>
      <c r="H217" s="124">
        <f t="shared" ref="H217:H218" si="93">H218</f>
        <v>0</v>
      </c>
      <c r="I217" s="124">
        <f t="shared" si="86"/>
        <v>144400</v>
      </c>
    </row>
    <row r="218" spans="2:9" x14ac:dyDescent="0.2">
      <c r="B218" s="122">
        <f t="shared" si="73"/>
        <v>213</v>
      </c>
      <c r="C218" s="76">
        <v>220</v>
      </c>
      <c r="D218" s="72"/>
      <c r="E218" s="77"/>
      <c r="F218" s="3" t="s">
        <v>226</v>
      </c>
      <c r="G218" s="118">
        <f>G219</f>
        <v>144400</v>
      </c>
      <c r="H218" s="118">
        <f t="shared" si="93"/>
        <v>0</v>
      </c>
      <c r="I218" s="118">
        <f t="shared" si="86"/>
        <v>144400</v>
      </c>
    </row>
    <row r="219" spans="2:9" x14ac:dyDescent="0.2">
      <c r="B219" s="122">
        <f t="shared" si="73"/>
        <v>214</v>
      </c>
      <c r="C219" s="78"/>
      <c r="D219" s="73">
        <v>223</v>
      </c>
      <c r="E219" s="79"/>
      <c r="F219" s="4" t="s">
        <v>255</v>
      </c>
      <c r="G219" s="92">
        <f>G220+G221+G222</f>
        <v>144400</v>
      </c>
      <c r="H219" s="92">
        <f t="shared" ref="H219" si="94">H220+H221+H222</f>
        <v>0</v>
      </c>
      <c r="I219" s="92">
        <f t="shared" si="86"/>
        <v>144400</v>
      </c>
    </row>
    <row r="220" spans="2:9" x14ac:dyDescent="0.2">
      <c r="B220" s="122">
        <f t="shared" si="73"/>
        <v>215</v>
      </c>
      <c r="C220" s="15"/>
      <c r="D220" s="5"/>
      <c r="E220" s="16">
        <v>223002</v>
      </c>
      <c r="F220" s="5" t="s">
        <v>76</v>
      </c>
      <c r="G220" s="93">
        <v>134400</v>
      </c>
      <c r="H220" s="93"/>
      <c r="I220" s="93">
        <f t="shared" si="86"/>
        <v>134400</v>
      </c>
    </row>
    <row r="221" spans="2:9" x14ac:dyDescent="0.2">
      <c r="B221" s="122">
        <f t="shared" si="73"/>
        <v>216</v>
      </c>
      <c r="C221" s="15"/>
      <c r="D221" s="5"/>
      <c r="E221" s="16">
        <v>223003</v>
      </c>
      <c r="F221" s="5" t="s">
        <v>77</v>
      </c>
      <c r="G221" s="93">
        <v>9000</v>
      </c>
      <c r="H221" s="93"/>
      <c r="I221" s="93">
        <f t="shared" si="86"/>
        <v>9000</v>
      </c>
    </row>
    <row r="222" spans="2:9" x14ac:dyDescent="0.2">
      <c r="B222" s="122">
        <f t="shared" si="73"/>
        <v>217</v>
      </c>
      <c r="C222" s="15"/>
      <c r="D222" s="5"/>
      <c r="E222" s="16">
        <v>223003</v>
      </c>
      <c r="F222" s="5" t="s">
        <v>305</v>
      </c>
      <c r="G222" s="93">
        <v>1000</v>
      </c>
      <c r="H222" s="93"/>
      <c r="I222" s="93">
        <f t="shared" si="86"/>
        <v>1000</v>
      </c>
    </row>
    <row r="223" spans="2:9" x14ac:dyDescent="0.2">
      <c r="B223" s="122">
        <f t="shared" si="73"/>
        <v>218</v>
      </c>
      <c r="C223" s="74"/>
      <c r="D223" s="71"/>
      <c r="E223" s="75"/>
      <c r="F223" s="7" t="s">
        <v>307</v>
      </c>
      <c r="G223" s="124">
        <f>G224</f>
        <v>6600</v>
      </c>
      <c r="H223" s="124">
        <f t="shared" ref="H223:H225" si="95">H224</f>
        <v>0</v>
      </c>
      <c r="I223" s="124">
        <f t="shared" si="86"/>
        <v>6600</v>
      </c>
    </row>
    <row r="224" spans="2:9" x14ac:dyDescent="0.2">
      <c r="B224" s="122">
        <f t="shared" si="73"/>
        <v>219</v>
      </c>
      <c r="C224" s="76">
        <v>220</v>
      </c>
      <c r="D224" s="72"/>
      <c r="E224" s="77"/>
      <c r="F224" s="3" t="s">
        <v>226</v>
      </c>
      <c r="G224" s="118">
        <f>G225</f>
        <v>6600</v>
      </c>
      <c r="H224" s="118">
        <f t="shared" si="95"/>
        <v>0</v>
      </c>
      <c r="I224" s="118">
        <f t="shared" si="86"/>
        <v>6600</v>
      </c>
    </row>
    <row r="225" spans="2:9" x14ac:dyDescent="0.2">
      <c r="B225" s="122">
        <f t="shared" si="73"/>
        <v>220</v>
      </c>
      <c r="C225" s="78"/>
      <c r="D225" s="73">
        <v>223</v>
      </c>
      <c r="E225" s="79"/>
      <c r="F225" s="4" t="s">
        <v>255</v>
      </c>
      <c r="G225" s="92">
        <f>G226</f>
        <v>6600</v>
      </c>
      <c r="H225" s="92">
        <f t="shared" si="95"/>
        <v>0</v>
      </c>
      <c r="I225" s="92">
        <f t="shared" si="86"/>
        <v>6600</v>
      </c>
    </row>
    <row r="226" spans="2:9" x14ac:dyDescent="0.2">
      <c r="B226" s="122">
        <f t="shared" si="73"/>
        <v>221</v>
      </c>
      <c r="C226" s="15"/>
      <c r="D226" s="5"/>
      <c r="E226" s="16">
        <v>223003</v>
      </c>
      <c r="F226" s="5" t="s">
        <v>77</v>
      </c>
      <c r="G226" s="93">
        <v>6600</v>
      </c>
      <c r="H226" s="93"/>
      <c r="I226" s="93">
        <f t="shared" si="86"/>
        <v>6600</v>
      </c>
    </row>
    <row r="227" spans="2:9" x14ac:dyDescent="0.2">
      <c r="B227" s="122">
        <f t="shared" si="73"/>
        <v>222</v>
      </c>
      <c r="C227" s="74"/>
      <c r="D227" s="71"/>
      <c r="E227" s="75"/>
      <c r="F227" s="7" t="s">
        <v>117</v>
      </c>
      <c r="G227" s="124">
        <f>G228</f>
        <v>2000</v>
      </c>
      <c r="H227" s="124">
        <f t="shared" ref="H227:H229" si="96">H228</f>
        <v>0</v>
      </c>
      <c r="I227" s="124">
        <f t="shared" si="86"/>
        <v>2000</v>
      </c>
    </row>
    <row r="228" spans="2:9" x14ac:dyDescent="0.2">
      <c r="B228" s="122">
        <f t="shared" si="73"/>
        <v>223</v>
      </c>
      <c r="C228" s="76">
        <v>220</v>
      </c>
      <c r="D228" s="72"/>
      <c r="E228" s="77"/>
      <c r="F228" s="3" t="s">
        <v>226</v>
      </c>
      <c r="G228" s="118">
        <f>G229</f>
        <v>2000</v>
      </c>
      <c r="H228" s="118">
        <f t="shared" si="96"/>
        <v>0</v>
      </c>
      <c r="I228" s="118">
        <f t="shared" si="86"/>
        <v>2000</v>
      </c>
    </row>
    <row r="229" spans="2:9" x14ac:dyDescent="0.2">
      <c r="B229" s="122">
        <f t="shared" si="73"/>
        <v>224</v>
      </c>
      <c r="C229" s="78"/>
      <c r="D229" s="73">
        <v>223</v>
      </c>
      <c r="E229" s="79"/>
      <c r="F229" s="4" t="s">
        <v>255</v>
      </c>
      <c r="G229" s="92">
        <f>G230</f>
        <v>2000</v>
      </c>
      <c r="H229" s="92">
        <f t="shared" si="96"/>
        <v>0</v>
      </c>
      <c r="I229" s="92">
        <f t="shared" si="86"/>
        <v>2000</v>
      </c>
    </row>
    <row r="230" spans="2:9" x14ac:dyDescent="0.2">
      <c r="B230" s="122">
        <f t="shared" si="73"/>
        <v>225</v>
      </c>
      <c r="C230" s="15"/>
      <c r="D230" s="5"/>
      <c r="E230" s="16">
        <v>223001</v>
      </c>
      <c r="F230" s="5" t="s">
        <v>256</v>
      </c>
      <c r="G230" s="93">
        <v>2000</v>
      </c>
      <c r="H230" s="93"/>
      <c r="I230" s="93">
        <f t="shared" si="86"/>
        <v>2000</v>
      </c>
    </row>
    <row r="231" spans="2:9" x14ac:dyDescent="0.2">
      <c r="B231" s="122">
        <f t="shared" si="73"/>
        <v>226</v>
      </c>
      <c r="C231" s="74"/>
      <c r="D231" s="71"/>
      <c r="E231" s="75"/>
      <c r="F231" s="7" t="s">
        <v>306</v>
      </c>
      <c r="G231" s="124">
        <f>G232</f>
        <v>3000</v>
      </c>
      <c r="H231" s="124">
        <f t="shared" ref="H231:H233" si="97">H232</f>
        <v>0</v>
      </c>
      <c r="I231" s="124">
        <f t="shared" si="86"/>
        <v>3000</v>
      </c>
    </row>
    <row r="232" spans="2:9" x14ac:dyDescent="0.2">
      <c r="B232" s="122">
        <f t="shared" si="73"/>
        <v>227</v>
      </c>
      <c r="C232" s="76">
        <v>220</v>
      </c>
      <c r="D232" s="72"/>
      <c r="E232" s="77"/>
      <c r="F232" s="3" t="s">
        <v>226</v>
      </c>
      <c r="G232" s="118">
        <f>G233</f>
        <v>3000</v>
      </c>
      <c r="H232" s="118">
        <f t="shared" si="97"/>
        <v>0</v>
      </c>
      <c r="I232" s="118">
        <f t="shared" si="86"/>
        <v>3000</v>
      </c>
    </row>
    <row r="233" spans="2:9" x14ac:dyDescent="0.2">
      <c r="B233" s="122">
        <f>B232+1</f>
        <v>228</v>
      </c>
      <c r="C233" s="78"/>
      <c r="D233" s="73">
        <v>223</v>
      </c>
      <c r="E233" s="79"/>
      <c r="F233" s="4" t="s">
        <v>255</v>
      </c>
      <c r="G233" s="92">
        <f>G234</f>
        <v>3000</v>
      </c>
      <c r="H233" s="92">
        <f t="shared" si="97"/>
        <v>0</v>
      </c>
      <c r="I233" s="92">
        <f t="shared" si="86"/>
        <v>3000</v>
      </c>
    </row>
    <row r="234" spans="2:9" x14ac:dyDescent="0.2">
      <c r="B234" s="122">
        <f t="shared" ref="B234:B284" si="98">B233+1</f>
        <v>229</v>
      </c>
      <c r="C234" s="15"/>
      <c r="D234" s="5"/>
      <c r="E234" s="16">
        <v>223001</v>
      </c>
      <c r="F234" s="5" t="s">
        <v>256</v>
      </c>
      <c r="G234" s="93">
        <v>3000</v>
      </c>
      <c r="H234" s="93"/>
      <c r="I234" s="93">
        <f t="shared" si="86"/>
        <v>3000</v>
      </c>
    </row>
    <row r="235" spans="2:9" x14ac:dyDescent="0.2">
      <c r="B235" s="122">
        <f t="shared" si="98"/>
        <v>230</v>
      </c>
      <c r="C235" s="74"/>
      <c r="D235" s="71"/>
      <c r="E235" s="75"/>
      <c r="F235" s="7" t="s">
        <v>63</v>
      </c>
      <c r="G235" s="124">
        <f>G236+G239</f>
        <v>11400</v>
      </c>
      <c r="H235" s="124">
        <f t="shared" ref="H235" si="99">H236+H239</f>
        <v>0</v>
      </c>
      <c r="I235" s="124">
        <f t="shared" si="86"/>
        <v>11400</v>
      </c>
    </row>
    <row r="236" spans="2:9" x14ac:dyDescent="0.2">
      <c r="B236" s="122">
        <f t="shared" si="98"/>
        <v>231</v>
      </c>
      <c r="C236" s="76">
        <v>210</v>
      </c>
      <c r="D236" s="72"/>
      <c r="E236" s="77"/>
      <c r="F236" s="3" t="s">
        <v>251</v>
      </c>
      <c r="G236" s="118">
        <f>G237</f>
        <v>3600</v>
      </c>
      <c r="H236" s="118">
        <f t="shared" ref="H236:H237" si="100">H237</f>
        <v>0</v>
      </c>
      <c r="I236" s="118">
        <f t="shared" si="86"/>
        <v>3600</v>
      </c>
    </row>
    <row r="237" spans="2:9" x14ac:dyDescent="0.2">
      <c r="B237" s="122">
        <f t="shared" si="98"/>
        <v>232</v>
      </c>
      <c r="C237" s="78"/>
      <c r="D237" s="73">
        <v>212</v>
      </c>
      <c r="E237" s="79"/>
      <c r="F237" s="4" t="s">
        <v>252</v>
      </c>
      <c r="G237" s="92">
        <f>G238</f>
        <v>3600</v>
      </c>
      <c r="H237" s="92">
        <f t="shared" si="100"/>
        <v>0</v>
      </c>
      <c r="I237" s="92">
        <f t="shared" si="86"/>
        <v>3600</v>
      </c>
    </row>
    <row r="238" spans="2:9" x14ac:dyDescent="0.2">
      <c r="B238" s="122">
        <f t="shared" si="98"/>
        <v>233</v>
      </c>
      <c r="C238" s="15"/>
      <c r="D238" s="5"/>
      <c r="E238" s="16">
        <v>212003</v>
      </c>
      <c r="F238" s="5" t="s">
        <v>253</v>
      </c>
      <c r="G238" s="93">
        <v>3600</v>
      </c>
      <c r="H238" s="93"/>
      <c r="I238" s="93">
        <f t="shared" si="86"/>
        <v>3600</v>
      </c>
    </row>
    <row r="239" spans="2:9" x14ac:dyDescent="0.2">
      <c r="B239" s="122">
        <f t="shared" si="98"/>
        <v>234</v>
      </c>
      <c r="C239" s="76">
        <v>220</v>
      </c>
      <c r="D239" s="72"/>
      <c r="E239" s="77"/>
      <c r="F239" s="3" t="s">
        <v>226</v>
      </c>
      <c r="G239" s="118">
        <f>G240</f>
        <v>7800</v>
      </c>
      <c r="H239" s="118">
        <f t="shared" ref="H239:H240" si="101">H240</f>
        <v>0</v>
      </c>
      <c r="I239" s="118">
        <f t="shared" si="86"/>
        <v>7800</v>
      </c>
    </row>
    <row r="240" spans="2:9" x14ac:dyDescent="0.2">
      <c r="B240" s="122">
        <f t="shared" si="98"/>
        <v>235</v>
      </c>
      <c r="C240" s="78"/>
      <c r="D240" s="73">
        <v>223</v>
      </c>
      <c r="E240" s="79"/>
      <c r="F240" s="4" t="s">
        <v>255</v>
      </c>
      <c r="G240" s="92">
        <f>G241</f>
        <v>7800</v>
      </c>
      <c r="H240" s="92">
        <f t="shared" si="101"/>
        <v>0</v>
      </c>
      <c r="I240" s="92">
        <f t="shared" si="86"/>
        <v>7800</v>
      </c>
    </row>
    <row r="241" spans="2:9" x14ac:dyDescent="0.2">
      <c r="B241" s="122">
        <f t="shared" si="98"/>
        <v>236</v>
      </c>
      <c r="C241" s="15"/>
      <c r="D241" s="5"/>
      <c r="E241" s="16">
        <v>223001</v>
      </c>
      <c r="F241" s="5" t="s">
        <v>256</v>
      </c>
      <c r="G241" s="93">
        <v>7800</v>
      </c>
      <c r="H241" s="93"/>
      <c r="I241" s="93">
        <f t="shared" si="86"/>
        <v>7800</v>
      </c>
    </row>
    <row r="242" spans="2:9" x14ac:dyDescent="0.2">
      <c r="B242" s="122">
        <f t="shared" si="98"/>
        <v>237</v>
      </c>
      <c r="C242" s="74"/>
      <c r="D242" s="71"/>
      <c r="E242" s="75"/>
      <c r="F242" s="7" t="s">
        <v>66</v>
      </c>
      <c r="G242" s="124">
        <f>G246+G243</f>
        <v>158500</v>
      </c>
      <c r="H242" s="124">
        <f t="shared" ref="H242" si="102">H246+H243</f>
        <v>0</v>
      </c>
      <c r="I242" s="124">
        <f t="shared" si="86"/>
        <v>158500</v>
      </c>
    </row>
    <row r="243" spans="2:9" x14ac:dyDescent="0.2">
      <c r="B243" s="122">
        <f t="shared" si="98"/>
        <v>238</v>
      </c>
      <c r="C243" s="76">
        <v>210</v>
      </c>
      <c r="D243" s="72"/>
      <c r="E243" s="77"/>
      <c r="F243" s="3" t="s">
        <v>251</v>
      </c>
      <c r="G243" s="118">
        <f>G244</f>
        <v>500</v>
      </c>
      <c r="H243" s="118">
        <f t="shared" ref="H243:H244" si="103">H244</f>
        <v>0</v>
      </c>
      <c r="I243" s="118">
        <f t="shared" si="86"/>
        <v>500</v>
      </c>
    </row>
    <row r="244" spans="2:9" x14ac:dyDescent="0.2">
      <c r="B244" s="122">
        <f t="shared" si="98"/>
        <v>239</v>
      </c>
      <c r="C244" s="78"/>
      <c r="D244" s="73">
        <v>212</v>
      </c>
      <c r="E244" s="79"/>
      <c r="F244" s="4" t="s">
        <v>252</v>
      </c>
      <c r="G244" s="92">
        <f>G245</f>
        <v>500</v>
      </c>
      <c r="H244" s="92">
        <f t="shared" si="103"/>
        <v>0</v>
      </c>
      <c r="I244" s="92">
        <f t="shared" si="86"/>
        <v>500</v>
      </c>
    </row>
    <row r="245" spans="2:9" x14ac:dyDescent="0.2">
      <c r="B245" s="122">
        <f t="shared" si="98"/>
        <v>240</v>
      </c>
      <c r="C245" s="15"/>
      <c r="D245" s="5"/>
      <c r="E245" s="16">
        <v>212003</v>
      </c>
      <c r="F245" s="5" t="s">
        <v>253</v>
      </c>
      <c r="G245" s="93">
        <v>500</v>
      </c>
      <c r="H245" s="93"/>
      <c r="I245" s="93">
        <f t="shared" si="86"/>
        <v>500</v>
      </c>
    </row>
    <row r="246" spans="2:9" x14ac:dyDescent="0.2">
      <c r="B246" s="122">
        <f t="shared" si="98"/>
        <v>241</v>
      </c>
      <c r="C246" s="76">
        <v>220</v>
      </c>
      <c r="D246" s="72"/>
      <c r="E246" s="77"/>
      <c r="F246" s="3" t="s">
        <v>226</v>
      </c>
      <c r="G246" s="118">
        <f>G247</f>
        <v>158000</v>
      </c>
      <c r="H246" s="118">
        <f t="shared" ref="H246" si="104">H247</f>
        <v>0</v>
      </c>
      <c r="I246" s="118">
        <f t="shared" si="86"/>
        <v>158000</v>
      </c>
    </row>
    <row r="247" spans="2:9" x14ac:dyDescent="0.2">
      <c r="B247" s="122">
        <f t="shared" si="98"/>
        <v>242</v>
      </c>
      <c r="C247" s="78"/>
      <c r="D247" s="73">
        <v>223</v>
      </c>
      <c r="E247" s="79"/>
      <c r="F247" s="4" t="s">
        <v>255</v>
      </c>
      <c r="G247" s="92">
        <f>G248+G249</f>
        <v>158000</v>
      </c>
      <c r="H247" s="92">
        <f t="shared" ref="H247" si="105">H248+H249</f>
        <v>0</v>
      </c>
      <c r="I247" s="92">
        <f t="shared" si="86"/>
        <v>158000</v>
      </c>
    </row>
    <row r="248" spans="2:9" x14ac:dyDescent="0.2">
      <c r="B248" s="122">
        <f t="shared" si="98"/>
        <v>243</v>
      </c>
      <c r="C248" s="15"/>
      <c r="D248" s="5"/>
      <c r="E248" s="16">
        <v>223001</v>
      </c>
      <c r="F248" s="5" t="s">
        <v>308</v>
      </c>
      <c r="G248" s="93">
        <v>108000</v>
      </c>
      <c r="H248" s="93"/>
      <c r="I248" s="93">
        <f t="shared" si="86"/>
        <v>108000</v>
      </c>
    </row>
    <row r="249" spans="2:9" x14ac:dyDescent="0.2">
      <c r="B249" s="122">
        <f t="shared" si="98"/>
        <v>244</v>
      </c>
      <c r="C249" s="15"/>
      <c r="D249" s="5"/>
      <c r="E249" s="16">
        <v>223001</v>
      </c>
      <c r="F249" s="5" t="s">
        <v>309</v>
      </c>
      <c r="G249" s="93">
        <v>50000</v>
      </c>
      <c r="H249" s="93"/>
      <c r="I249" s="93">
        <f t="shared" si="86"/>
        <v>50000</v>
      </c>
    </row>
    <row r="250" spans="2:9" x14ac:dyDescent="0.2">
      <c r="B250" s="122">
        <f t="shared" si="98"/>
        <v>245</v>
      </c>
      <c r="C250" s="74"/>
      <c r="D250" s="71"/>
      <c r="E250" s="75"/>
      <c r="F250" s="7" t="s">
        <v>311</v>
      </c>
      <c r="G250" s="124">
        <f>G254+G251</f>
        <v>196900</v>
      </c>
      <c r="H250" s="124">
        <f t="shared" ref="H250" si="106">H254+H251</f>
        <v>0</v>
      </c>
      <c r="I250" s="124">
        <f t="shared" si="86"/>
        <v>196900</v>
      </c>
    </row>
    <row r="251" spans="2:9" x14ac:dyDescent="0.2">
      <c r="B251" s="122">
        <f t="shared" si="98"/>
        <v>246</v>
      </c>
      <c r="C251" s="76">
        <v>210</v>
      </c>
      <c r="D251" s="72"/>
      <c r="E251" s="77"/>
      <c r="F251" s="3" t="s">
        <v>251</v>
      </c>
      <c r="G251" s="118">
        <f>G252</f>
        <v>400</v>
      </c>
      <c r="H251" s="118">
        <f t="shared" ref="H251:H252" si="107">H252</f>
        <v>0</v>
      </c>
      <c r="I251" s="118">
        <f t="shared" si="86"/>
        <v>400</v>
      </c>
    </row>
    <row r="252" spans="2:9" x14ac:dyDescent="0.2">
      <c r="B252" s="122">
        <f t="shared" si="98"/>
        <v>247</v>
      </c>
      <c r="C252" s="78"/>
      <c r="D252" s="73">
        <v>212</v>
      </c>
      <c r="E252" s="79"/>
      <c r="F252" s="4" t="s">
        <v>252</v>
      </c>
      <c r="G252" s="92">
        <f>G253</f>
        <v>400</v>
      </c>
      <c r="H252" s="92">
        <f t="shared" si="107"/>
        <v>0</v>
      </c>
      <c r="I252" s="92">
        <f t="shared" si="86"/>
        <v>400</v>
      </c>
    </row>
    <row r="253" spans="2:9" x14ac:dyDescent="0.2">
      <c r="B253" s="122">
        <f t="shared" si="98"/>
        <v>248</v>
      </c>
      <c r="C253" s="15"/>
      <c r="D253" s="5"/>
      <c r="E253" s="16">
        <v>212003</v>
      </c>
      <c r="F253" s="5" t="s">
        <v>253</v>
      </c>
      <c r="G253" s="93">
        <v>400</v>
      </c>
      <c r="H253" s="93"/>
      <c r="I253" s="93">
        <f t="shared" si="86"/>
        <v>400</v>
      </c>
    </row>
    <row r="254" spans="2:9" x14ac:dyDescent="0.2">
      <c r="B254" s="122">
        <f t="shared" si="98"/>
        <v>249</v>
      </c>
      <c r="C254" s="76">
        <v>220</v>
      </c>
      <c r="D254" s="72"/>
      <c r="E254" s="77"/>
      <c r="F254" s="3" t="s">
        <v>226</v>
      </c>
      <c r="G254" s="118">
        <f>G255</f>
        <v>196500</v>
      </c>
      <c r="H254" s="118">
        <f t="shared" ref="H254" si="108">H255</f>
        <v>0</v>
      </c>
      <c r="I254" s="118">
        <f t="shared" si="86"/>
        <v>196500</v>
      </c>
    </row>
    <row r="255" spans="2:9" x14ac:dyDescent="0.2">
      <c r="B255" s="122">
        <f t="shared" si="98"/>
        <v>250</v>
      </c>
      <c r="C255" s="78"/>
      <c r="D255" s="73">
        <v>223</v>
      </c>
      <c r="E255" s="79"/>
      <c r="F255" s="4" t="s">
        <v>255</v>
      </c>
      <c r="G255" s="92">
        <f>G256+G257+G258</f>
        <v>196500</v>
      </c>
      <c r="H255" s="92">
        <f t="shared" ref="H255" si="109">H256+H257+H258</f>
        <v>0</v>
      </c>
      <c r="I255" s="92">
        <f t="shared" si="86"/>
        <v>196500</v>
      </c>
    </row>
    <row r="256" spans="2:9" x14ac:dyDescent="0.2">
      <c r="B256" s="122">
        <f t="shared" si="98"/>
        <v>251</v>
      </c>
      <c r="C256" s="15"/>
      <c r="D256" s="5"/>
      <c r="E256" s="16">
        <v>223001</v>
      </c>
      <c r="F256" s="5" t="s">
        <v>308</v>
      </c>
      <c r="G256" s="93">
        <v>45000</v>
      </c>
      <c r="H256" s="93"/>
      <c r="I256" s="93">
        <f t="shared" si="86"/>
        <v>45000</v>
      </c>
    </row>
    <row r="257" spans="2:9" x14ac:dyDescent="0.2">
      <c r="B257" s="122">
        <f t="shared" si="98"/>
        <v>252</v>
      </c>
      <c r="C257" s="15"/>
      <c r="D257" s="5"/>
      <c r="E257" s="16">
        <v>223001</v>
      </c>
      <c r="F257" s="5" t="s">
        <v>310</v>
      </c>
      <c r="G257" s="93">
        <v>53500</v>
      </c>
      <c r="H257" s="93"/>
      <c r="I257" s="93">
        <f t="shared" si="86"/>
        <v>53500</v>
      </c>
    </row>
    <row r="258" spans="2:9" x14ac:dyDescent="0.2">
      <c r="B258" s="122">
        <f t="shared" si="98"/>
        <v>253</v>
      </c>
      <c r="C258" s="15"/>
      <c r="D258" s="5"/>
      <c r="E258" s="16">
        <v>223001</v>
      </c>
      <c r="F258" s="5" t="s">
        <v>309</v>
      </c>
      <c r="G258" s="93">
        <v>98000</v>
      </c>
      <c r="H258" s="93"/>
      <c r="I258" s="93">
        <f t="shared" si="86"/>
        <v>98000</v>
      </c>
    </row>
    <row r="259" spans="2:9" x14ac:dyDescent="0.2">
      <c r="B259" s="122">
        <f t="shared" si="98"/>
        <v>254</v>
      </c>
      <c r="C259" s="74"/>
      <c r="D259" s="71"/>
      <c r="E259" s="75"/>
      <c r="F259" s="7" t="s">
        <v>312</v>
      </c>
      <c r="G259" s="124">
        <f>G260</f>
        <v>11000</v>
      </c>
      <c r="H259" s="124">
        <f t="shared" ref="H259:H260" si="110">H260</f>
        <v>0</v>
      </c>
      <c r="I259" s="124">
        <f t="shared" si="86"/>
        <v>11000</v>
      </c>
    </row>
    <row r="260" spans="2:9" x14ac:dyDescent="0.2">
      <c r="B260" s="122">
        <f t="shared" si="98"/>
        <v>255</v>
      </c>
      <c r="C260" s="76">
        <v>220</v>
      </c>
      <c r="D260" s="72"/>
      <c r="E260" s="77"/>
      <c r="F260" s="3" t="s">
        <v>226</v>
      </c>
      <c r="G260" s="118">
        <f>G261</f>
        <v>11000</v>
      </c>
      <c r="H260" s="118">
        <f t="shared" si="110"/>
        <v>0</v>
      </c>
      <c r="I260" s="118">
        <f t="shared" si="86"/>
        <v>11000</v>
      </c>
    </row>
    <row r="261" spans="2:9" x14ac:dyDescent="0.2">
      <c r="B261" s="122">
        <f t="shared" si="98"/>
        <v>256</v>
      </c>
      <c r="C261" s="78"/>
      <c r="D261" s="73">
        <v>223</v>
      </c>
      <c r="E261" s="79"/>
      <c r="F261" s="4" t="s">
        <v>255</v>
      </c>
      <c r="G261" s="92">
        <f>G262+G263+G264</f>
        <v>11000</v>
      </c>
      <c r="H261" s="92">
        <f t="shared" ref="H261" si="111">H262+H263+H264</f>
        <v>0</v>
      </c>
      <c r="I261" s="92">
        <f t="shared" si="86"/>
        <v>11000</v>
      </c>
    </row>
    <row r="262" spans="2:9" x14ac:dyDescent="0.2">
      <c r="B262" s="122">
        <f t="shared" si="98"/>
        <v>257</v>
      </c>
      <c r="C262" s="15"/>
      <c r="D262" s="5"/>
      <c r="E262" s="16">
        <v>223001</v>
      </c>
      <c r="F262" s="5" t="s">
        <v>308</v>
      </c>
      <c r="G262" s="93">
        <v>2500</v>
      </c>
      <c r="H262" s="93"/>
      <c r="I262" s="93">
        <f t="shared" si="86"/>
        <v>2500</v>
      </c>
    </row>
    <row r="263" spans="2:9" x14ac:dyDescent="0.2">
      <c r="B263" s="122">
        <f t="shared" si="98"/>
        <v>258</v>
      </c>
      <c r="C263" s="15"/>
      <c r="D263" s="5"/>
      <c r="E263" s="16">
        <v>223001</v>
      </c>
      <c r="F263" s="5" t="s">
        <v>310</v>
      </c>
      <c r="G263" s="93">
        <v>4900</v>
      </c>
      <c r="H263" s="93"/>
      <c r="I263" s="93">
        <f t="shared" ref="I263:I326" si="112">G263+H263</f>
        <v>4900</v>
      </c>
    </row>
    <row r="264" spans="2:9" x14ac:dyDescent="0.2">
      <c r="B264" s="122">
        <f t="shared" si="98"/>
        <v>259</v>
      </c>
      <c r="C264" s="15"/>
      <c r="D264" s="5"/>
      <c r="E264" s="16">
        <v>223001</v>
      </c>
      <c r="F264" s="5" t="s">
        <v>309</v>
      </c>
      <c r="G264" s="93">
        <v>3600</v>
      </c>
      <c r="H264" s="93"/>
      <c r="I264" s="93">
        <f t="shared" si="112"/>
        <v>3600</v>
      </c>
    </row>
    <row r="265" spans="2:9" x14ac:dyDescent="0.2">
      <c r="B265" s="122">
        <f t="shared" si="98"/>
        <v>260</v>
      </c>
      <c r="C265" s="74"/>
      <c r="D265" s="71"/>
      <c r="E265" s="75"/>
      <c r="F265" s="7" t="s">
        <v>313</v>
      </c>
      <c r="G265" s="124">
        <f>G266</f>
        <v>141500</v>
      </c>
      <c r="H265" s="124">
        <f t="shared" ref="H265:H266" si="113">H266</f>
        <v>0</v>
      </c>
      <c r="I265" s="124">
        <f t="shared" si="112"/>
        <v>141500</v>
      </c>
    </row>
    <row r="266" spans="2:9" x14ac:dyDescent="0.2">
      <c r="B266" s="122">
        <f t="shared" si="98"/>
        <v>261</v>
      </c>
      <c r="C266" s="76">
        <v>220</v>
      </c>
      <c r="D266" s="72"/>
      <c r="E266" s="77"/>
      <c r="F266" s="3" t="s">
        <v>226</v>
      </c>
      <c r="G266" s="118">
        <f>G267</f>
        <v>141500</v>
      </c>
      <c r="H266" s="118">
        <f t="shared" si="113"/>
        <v>0</v>
      </c>
      <c r="I266" s="118">
        <f t="shared" si="112"/>
        <v>141500</v>
      </c>
    </row>
    <row r="267" spans="2:9" x14ac:dyDescent="0.2">
      <c r="B267" s="122">
        <f t="shared" si="98"/>
        <v>262</v>
      </c>
      <c r="C267" s="78"/>
      <c r="D267" s="73">
        <v>223</v>
      </c>
      <c r="E267" s="79"/>
      <c r="F267" s="4" t="s">
        <v>255</v>
      </c>
      <c r="G267" s="92">
        <f>G268+G269+G270</f>
        <v>141500</v>
      </c>
      <c r="H267" s="92">
        <f t="shared" ref="H267" si="114">H268+H269+H270</f>
        <v>0</v>
      </c>
      <c r="I267" s="92">
        <f t="shared" si="112"/>
        <v>141500</v>
      </c>
    </row>
    <row r="268" spans="2:9" x14ac:dyDescent="0.2">
      <c r="B268" s="122">
        <f t="shared" si="98"/>
        <v>263</v>
      </c>
      <c r="C268" s="15"/>
      <c r="D268" s="5"/>
      <c r="E268" s="16">
        <v>223001</v>
      </c>
      <c r="F268" s="5" t="s">
        <v>308</v>
      </c>
      <c r="G268" s="93">
        <v>104000</v>
      </c>
      <c r="H268" s="93"/>
      <c r="I268" s="93">
        <f t="shared" si="112"/>
        <v>104000</v>
      </c>
    </row>
    <row r="269" spans="2:9" x14ac:dyDescent="0.2">
      <c r="B269" s="122">
        <f t="shared" si="98"/>
        <v>264</v>
      </c>
      <c r="C269" s="15"/>
      <c r="D269" s="5"/>
      <c r="E269" s="16">
        <v>223001</v>
      </c>
      <c r="F269" s="5" t="s">
        <v>310</v>
      </c>
      <c r="G269" s="93">
        <v>10500</v>
      </c>
      <c r="H269" s="93"/>
      <c r="I269" s="93">
        <f t="shared" si="112"/>
        <v>10500</v>
      </c>
    </row>
    <row r="270" spans="2:9" x14ac:dyDescent="0.2">
      <c r="B270" s="122">
        <f t="shared" si="98"/>
        <v>265</v>
      </c>
      <c r="C270" s="15"/>
      <c r="D270" s="5"/>
      <c r="E270" s="16">
        <v>223001</v>
      </c>
      <c r="F270" s="5" t="s">
        <v>309</v>
      </c>
      <c r="G270" s="93">
        <v>27000</v>
      </c>
      <c r="H270" s="93"/>
      <c r="I270" s="93">
        <f t="shared" si="112"/>
        <v>27000</v>
      </c>
    </row>
    <row r="271" spans="2:9" x14ac:dyDescent="0.2">
      <c r="B271" s="122">
        <f t="shared" si="98"/>
        <v>266</v>
      </c>
      <c r="C271" s="74"/>
      <c r="D271" s="71"/>
      <c r="E271" s="75"/>
      <c r="F271" s="7" t="s">
        <v>316</v>
      </c>
      <c r="G271" s="124">
        <f>G272</f>
        <v>88500</v>
      </c>
      <c r="H271" s="124">
        <f t="shared" ref="H271:H272" si="115">H272</f>
        <v>0</v>
      </c>
      <c r="I271" s="124">
        <f t="shared" si="112"/>
        <v>88500</v>
      </c>
    </row>
    <row r="272" spans="2:9" x14ac:dyDescent="0.2">
      <c r="B272" s="122">
        <f t="shared" si="98"/>
        <v>267</v>
      </c>
      <c r="C272" s="76">
        <v>220</v>
      </c>
      <c r="D272" s="72"/>
      <c r="E272" s="77"/>
      <c r="F272" s="3" t="s">
        <v>226</v>
      </c>
      <c r="G272" s="118">
        <f>G273</f>
        <v>88500</v>
      </c>
      <c r="H272" s="118">
        <f t="shared" si="115"/>
        <v>0</v>
      </c>
      <c r="I272" s="118">
        <f t="shared" si="112"/>
        <v>88500</v>
      </c>
    </row>
    <row r="273" spans="2:9" x14ac:dyDescent="0.2">
      <c r="B273" s="122">
        <f t="shared" si="98"/>
        <v>268</v>
      </c>
      <c r="C273" s="78"/>
      <c r="D273" s="73">
        <v>223</v>
      </c>
      <c r="E273" s="79"/>
      <c r="F273" s="4" t="s">
        <v>255</v>
      </c>
      <c r="G273" s="92">
        <f>G274+G275</f>
        <v>88500</v>
      </c>
      <c r="H273" s="92">
        <f t="shared" ref="H273" si="116">H274+H275</f>
        <v>0</v>
      </c>
      <c r="I273" s="92">
        <f t="shared" si="112"/>
        <v>88500</v>
      </c>
    </row>
    <row r="274" spans="2:9" x14ac:dyDescent="0.2">
      <c r="B274" s="122">
        <f t="shared" si="98"/>
        <v>269</v>
      </c>
      <c r="C274" s="15"/>
      <c r="D274" s="5"/>
      <c r="E274" s="16">
        <v>223001</v>
      </c>
      <c r="F274" s="5" t="s">
        <v>314</v>
      </c>
      <c r="G274" s="93">
        <v>83000</v>
      </c>
      <c r="H274" s="93"/>
      <c r="I274" s="93">
        <f t="shared" si="112"/>
        <v>83000</v>
      </c>
    </row>
    <row r="275" spans="2:9" x14ac:dyDescent="0.2">
      <c r="B275" s="122">
        <f t="shared" si="98"/>
        <v>270</v>
      </c>
      <c r="C275" s="15"/>
      <c r="D275" s="5"/>
      <c r="E275" s="16">
        <v>223001</v>
      </c>
      <c r="F275" s="5" t="s">
        <v>315</v>
      </c>
      <c r="G275" s="93">
        <v>5500</v>
      </c>
      <c r="H275" s="93"/>
      <c r="I275" s="93">
        <f t="shared" si="112"/>
        <v>5500</v>
      </c>
    </row>
    <row r="276" spans="2:9" x14ac:dyDescent="0.2">
      <c r="B276" s="122">
        <f t="shared" si="98"/>
        <v>271</v>
      </c>
      <c r="C276" s="74"/>
      <c r="D276" s="71"/>
      <c r="E276" s="75"/>
      <c r="F276" s="7" t="s">
        <v>46</v>
      </c>
      <c r="G276" s="124">
        <f>G277</f>
        <v>11400</v>
      </c>
      <c r="H276" s="124">
        <f t="shared" ref="H276:H278" si="117">H277</f>
        <v>0</v>
      </c>
      <c r="I276" s="124">
        <f t="shared" si="112"/>
        <v>11400</v>
      </c>
    </row>
    <row r="277" spans="2:9" x14ac:dyDescent="0.2">
      <c r="B277" s="122">
        <f t="shared" si="98"/>
        <v>272</v>
      </c>
      <c r="C277" s="76">
        <v>220</v>
      </c>
      <c r="D277" s="72"/>
      <c r="E277" s="77"/>
      <c r="F277" s="3" t="s">
        <v>226</v>
      </c>
      <c r="G277" s="118">
        <f>G278</f>
        <v>11400</v>
      </c>
      <c r="H277" s="118">
        <f t="shared" si="117"/>
        <v>0</v>
      </c>
      <c r="I277" s="118">
        <f t="shared" si="112"/>
        <v>11400</v>
      </c>
    </row>
    <row r="278" spans="2:9" x14ac:dyDescent="0.2">
      <c r="B278" s="122">
        <f t="shared" si="98"/>
        <v>273</v>
      </c>
      <c r="C278" s="78"/>
      <c r="D278" s="73">
        <v>223</v>
      </c>
      <c r="E278" s="79"/>
      <c r="F278" s="4" t="s">
        <v>255</v>
      </c>
      <c r="G278" s="92">
        <f>G279</f>
        <v>11400</v>
      </c>
      <c r="H278" s="92">
        <f t="shared" si="117"/>
        <v>0</v>
      </c>
      <c r="I278" s="92">
        <f t="shared" si="112"/>
        <v>11400</v>
      </c>
    </row>
    <row r="279" spans="2:9" ht="13.5" thickBot="1" x14ac:dyDescent="0.25">
      <c r="B279" s="122">
        <f t="shared" si="98"/>
        <v>274</v>
      </c>
      <c r="C279" s="15"/>
      <c r="D279" s="149"/>
      <c r="E279" s="16">
        <v>223001</v>
      </c>
      <c r="F279" s="5" t="s">
        <v>256</v>
      </c>
      <c r="G279" s="93">
        <v>11400</v>
      </c>
      <c r="H279" s="93"/>
      <c r="I279" s="93">
        <f t="shared" si="112"/>
        <v>11400</v>
      </c>
    </row>
    <row r="280" spans="2:9" ht="15.75" thickBot="1" x14ac:dyDescent="0.3">
      <c r="B280" s="122">
        <f t="shared" si="98"/>
        <v>275</v>
      </c>
      <c r="C280" s="80">
        <v>6</v>
      </c>
      <c r="D280" s="162"/>
      <c r="E280" s="81"/>
      <c r="F280" s="12" t="s">
        <v>12</v>
      </c>
      <c r="G280" s="21">
        <f>G292+G289+G284+G281</f>
        <v>102100</v>
      </c>
      <c r="H280" s="21">
        <f t="shared" ref="H280" si="118">H292+H289+H284+H281</f>
        <v>0</v>
      </c>
      <c r="I280" s="21">
        <f t="shared" si="112"/>
        <v>102100</v>
      </c>
    </row>
    <row r="281" spans="2:9" x14ac:dyDescent="0.2">
      <c r="B281" s="122">
        <f t="shared" si="98"/>
        <v>276</v>
      </c>
      <c r="C281" s="74">
        <v>210</v>
      </c>
      <c r="D281" s="161"/>
      <c r="E281" s="75"/>
      <c r="F281" s="7" t="s">
        <v>251</v>
      </c>
      <c r="G281" s="124">
        <f>G282</f>
        <v>1350</v>
      </c>
      <c r="H281" s="124">
        <f t="shared" ref="H281:H282" si="119">H282</f>
        <v>0</v>
      </c>
      <c r="I281" s="124">
        <f t="shared" si="112"/>
        <v>1350</v>
      </c>
    </row>
    <row r="282" spans="2:9" x14ac:dyDescent="0.2">
      <c r="B282" s="122">
        <f t="shared" si="98"/>
        <v>277</v>
      </c>
      <c r="C282" s="76"/>
      <c r="D282" s="72">
        <v>212</v>
      </c>
      <c r="E282" s="77"/>
      <c r="F282" s="3" t="s">
        <v>252</v>
      </c>
      <c r="G282" s="118">
        <f>G283</f>
        <v>1350</v>
      </c>
      <c r="H282" s="118">
        <f t="shared" si="119"/>
        <v>0</v>
      </c>
      <c r="I282" s="118">
        <f t="shared" si="112"/>
        <v>1350</v>
      </c>
    </row>
    <row r="283" spans="2:9" x14ac:dyDescent="0.2">
      <c r="B283" s="122">
        <f t="shared" si="98"/>
        <v>278</v>
      </c>
      <c r="C283" s="78"/>
      <c r="D283" s="73"/>
      <c r="E283" s="79">
        <v>212003</v>
      </c>
      <c r="F283" s="4" t="s">
        <v>253</v>
      </c>
      <c r="G283" s="92">
        <v>1350</v>
      </c>
      <c r="H283" s="92"/>
      <c r="I283" s="92">
        <f t="shared" si="112"/>
        <v>1350</v>
      </c>
    </row>
    <row r="284" spans="2:9" x14ac:dyDescent="0.2">
      <c r="B284" s="122">
        <f t="shared" si="98"/>
        <v>279</v>
      </c>
      <c r="C284" s="74">
        <v>220</v>
      </c>
      <c r="D284" s="71"/>
      <c r="E284" s="75"/>
      <c r="F284" s="7" t="s">
        <v>226</v>
      </c>
      <c r="G284" s="124">
        <f>G285</f>
        <v>100345</v>
      </c>
      <c r="H284" s="124">
        <f t="shared" ref="H284" si="120">H285</f>
        <v>0</v>
      </c>
      <c r="I284" s="124">
        <f t="shared" si="112"/>
        <v>100345</v>
      </c>
    </row>
    <row r="285" spans="2:9" x14ac:dyDescent="0.2">
      <c r="B285" s="122">
        <f t="shared" ref="B285:B350" si="121">B284+1</f>
        <v>280</v>
      </c>
      <c r="C285" s="76"/>
      <c r="D285" s="72">
        <v>223</v>
      </c>
      <c r="E285" s="77"/>
      <c r="F285" s="3" t="s">
        <v>255</v>
      </c>
      <c r="G285" s="118">
        <f>G288+G287+G286</f>
        <v>100345</v>
      </c>
      <c r="H285" s="118">
        <f t="shared" ref="H285" si="122">H288+H287+H286</f>
        <v>0</v>
      </c>
      <c r="I285" s="118">
        <f t="shared" si="112"/>
        <v>100345</v>
      </c>
    </row>
    <row r="286" spans="2:9" x14ac:dyDescent="0.2">
      <c r="B286" s="122">
        <f t="shared" si="121"/>
        <v>281</v>
      </c>
      <c r="C286" s="78"/>
      <c r="D286" s="73"/>
      <c r="E286" s="79">
        <v>223001</v>
      </c>
      <c r="F286" s="4" t="s">
        <v>256</v>
      </c>
      <c r="G286" s="92">
        <v>7700</v>
      </c>
      <c r="H286" s="92"/>
      <c r="I286" s="92">
        <f t="shared" si="112"/>
        <v>7700</v>
      </c>
    </row>
    <row r="287" spans="2:9" x14ac:dyDescent="0.2">
      <c r="B287" s="122">
        <f t="shared" si="121"/>
        <v>282</v>
      </c>
      <c r="C287" s="78"/>
      <c r="D287" s="73"/>
      <c r="E287" s="79">
        <v>223002</v>
      </c>
      <c r="F287" s="4" t="s">
        <v>76</v>
      </c>
      <c r="G287" s="92">
        <v>12000</v>
      </c>
      <c r="H287" s="92"/>
      <c r="I287" s="92">
        <f t="shared" si="112"/>
        <v>12000</v>
      </c>
    </row>
    <row r="288" spans="2:9" x14ac:dyDescent="0.2">
      <c r="B288" s="122">
        <f t="shared" si="121"/>
        <v>283</v>
      </c>
      <c r="C288" s="78"/>
      <c r="D288" s="73"/>
      <c r="E288" s="79">
        <v>223003</v>
      </c>
      <c r="F288" s="56" t="s">
        <v>77</v>
      </c>
      <c r="G288" s="92">
        <v>80645</v>
      </c>
      <c r="H288" s="92"/>
      <c r="I288" s="92">
        <f t="shared" si="112"/>
        <v>80645</v>
      </c>
    </row>
    <row r="289" spans="2:9" x14ac:dyDescent="0.2">
      <c r="B289" s="122">
        <f t="shared" si="121"/>
        <v>284</v>
      </c>
      <c r="C289" s="74">
        <v>240</v>
      </c>
      <c r="D289" s="71"/>
      <c r="E289" s="75"/>
      <c r="F289" s="7" t="s">
        <v>179</v>
      </c>
      <c r="G289" s="124">
        <f>G290</f>
        <v>5</v>
      </c>
      <c r="H289" s="124">
        <f t="shared" ref="H289:H290" si="123">H290</f>
        <v>0</v>
      </c>
      <c r="I289" s="124">
        <f t="shared" si="112"/>
        <v>5</v>
      </c>
    </row>
    <row r="290" spans="2:9" x14ac:dyDescent="0.2">
      <c r="B290" s="122">
        <f t="shared" si="121"/>
        <v>285</v>
      </c>
      <c r="C290" s="76"/>
      <c r="D290" s="72">
        <v>242</v>
      </c>
      <c r="E290" s="77"/>
      <c r="F290" s="3" t="s">
        <v>178</v>
      </c>
      <c r="G290" s="118">
        <f>G291</f>
        <v>5</v>
      </c>
      <c r="H290" s="118">
        <f t="shared" si="123"/>
        <v>0</v>
      </c>
      <c r="I290" s="118">
        <f t="shared" si="112"/>
        <v>5</v>
      </c>
    </row>
    <row r="291" spans="2:9" x14ac:dyDescent="0.2">
      <c r="B291" s="122">
        <f t="shared" si="121"/>
        <v>286</v>
      </c>
      <c r="C291" s="78"/>
      <c r="D291" s="73"/>
      <c r="E291" s="79">
        <v>242</v>
      </c>
      <c r="F291" s="4" t="s">
        <v>178</v>
      </c>
      <c r="G291" s="92">
        <v>5</v>
      </c>
      <c r="H291" s="92"/>
      <c r="I291" s="92">
        <f t="shared" si="112"/>
        <v>5</v>
      </c>
    </row>
    <row r="292" spans="2:9" x14ac:dyDescent="0.2">
      <c r="B292" s="122">
        <f t="shared" si="121"/>
        <v>287</v>
      </c>
      <c r="C292" s="74">
        <v>290</v>
      </c>
      <c r="D292" s="71"/>
      <c r="E292" s="75"/>
      <c r="F292" s="7" t="s">
        <v>181</v>
      </c>
      <c r="G292" s="124">
        <f>G293</f>
        <v>400</v>
      </c>
      <c r="H292" s="124">
        <f t="shared" ref="H292" si="124">H293</f>
        <v>0</v>
      </c>
      <c r="I292" s="124">
        <f t="shared" si="112"/>
        <v>400</v>
      </c>
    </row>
    <row r="293" spans="2:9" x14ac:dyDescent="0.2">
      <c r="B293" s="122">
        <f t="shared" si="121"/>
        <v>288</v>
      </c>
      <c r="C293" s="76"/>
      <c r="D293" s="72">
        <v>292</v>
      </c>
      <c r="E293" s="77"/>
      <c r="F293" s="3" t="s">
        <v>182</v>
      </c>
      <c r="G293" s="118">
        <f>SUM(G294:G294)</f>
        <v>400</v>
      </c>
      <c r="H293" s="118">
        <f t="shared" ref="H293" si="125">SUM(H294:H294)</f>
        <v>0</v>
      </c>
      <c r="I293" s="118">
        <f t="shared" si="112"/>
        <v>400</v>
      </c>
    </row>
    <row r="294" spans="2:9" ht="13.5" thickBot="1" x14ac:dyDescent="0.25">
      <c r="B294" s="122">
        <f t="shared" si="121"/>
        <v>289</v>
      </c>
      <c r="C294" s="78"/>
      <c r="D294" s="73"/>
      <c r="E294" s="79">
        <v>292012</v>
      </c>
      <c r="F294" s="4" t="s">
        <v>237</v>
      </c>
      <c r="G294" s="92">
        <v>400</v>
      </c>
      <c r="H294" s="92"/>
      <c r="I294" s="92">
        <f t="shared" si="112"/>
        <v>400</v>
      </c>
    </row>
    <row r="295" spans="2:9" ht="15.75" thickBot="1" x14ac:dyDescent="0.3">
      <c r="B295" s="122">
        <f t="shared" si="121"/>
        <v>290</v>
      </c>
      <c r="C295" s="80">
        <v>7</v>
      </c>
      <c r="D295" s="162"/>
      <c r="E295" s="81"/>
      <c r="F295" s="12" t="s">
        <v>13</v>
      </c>
      <c r="G295" s="21">
        <f>G299+G296</f>
        <v>111800</v>
      </c>
      <c r="H295" s="21">
        <f t="shared" ref="H295" si="126">H299+H296</f>
        <v>0</v>
      </c>
      <c r="I295" s="21">
        <f t="shared" si="112"/>
        <v>111800</v>
      </c>
    </row>
    <row r="296" spans="2:9" x14ac:dyDescent="0.2">
      <c r="B296" s="122">
        <f t="shared" si="121"/>
        <v>291</v>
      </c>
      <c r="C296" s="74">
        <v>210</v>
      </c>
      <c r="D296" s="161"/>
      <c r="E296" s="75"/>
      <c r="F296" s="7" t="s">
        <v>251</v>
      </c>
      <c r="G296" s="124">
        <f>G297</f>
        <v>2000</v>
      </c>
      <c r="H296" s="124">
        <f t="shared" ref="H296:H297" si="127">H297</f>
        <v>0</v>
      </c>
      <c r="I296" s="124">
        <f t="shared" si="112"/>
        <v>2000</v>
      </c>
    </row>
    <row r="297" spans="2:9" x14ac:dyDescent="0.2">
      <c r="B297" s="122">
        <f t="shared" si="121"/>
        <v>292</v>
      </c>
      <c r="C297" s="76"/>
      <c r="D297" s="72">
        <v>212</v>
      </c>
      <c r="E297" s="77"/>
      <c r="F297" s="3" t="s">
        <v>252</v>
      </c>
      <c r="G297" s="118">
        <f>G298</f>
        <v>2000</v>
      </c>
      <c r="H297" s="118">
        <f t="shared" si="127"/>
        <v>0</v>
      </c>
      <c r="I297" s="118">
        <f t="shared" si="112"/>
        <v>2000</v>
      </c>
    </row>
    <row r="298" spans="2:9" x14ac:dyDescent="0.2">
      <c r="B298" s="122">
        <f t="shared" si="121"/>
        <v>293</v>
      </c>
      <c r="C298" s="78"/>
      <c r="D298" s="73"/>
      <c r="E298" s="79">
        <v>212003</v>
      </c>
      <c r="F298" s="4" t="s">
        <v>253</v>
      </c>
      <c r="G298" s="92">
        <v>2000</v>
      </c>
      <c r="H298" s="92"/>
      <c r="I298" s="92">
        <f t="shared" si="112"/>
        <v>2000</v>
      </c>
    </row>
    <row r="299" spans="2:9" x14ac:dyDescent="0.2">
      <c r="B299" s="122">
        <f t="shared" si="121"/>
        <v>294</v>
      </c>
      <c r="C299" s="74">
        <v>220</v>
      </c>
      <c r="D299" s="71"/>
      <c r="E299" s="75"/>
      <c r="F299" s="7" t="s">
        <v>226</v>
      </c>
      <c r="G299" s="124">
        <f>G300</f>
        <v>109800</v>
      </c>
      <c r="H299" s="124">
        <f t="shared" ref="H299" si="128">H300</f>
        <v>0</v>
      </c>
      <c r="I299" s="124">
        <f t="shared" si="112"/>
        <v>109800</v>
      </c>
    </row>
    <row r="300" spans="2:9" x14ac:dyDescent="0.2">
      <c r="B300" s="122">
        <f t="shared" si="121"/>
        <v>295</v>
      </c>
      <c r="C300" s="76"/>
      <c r="D300" s="72">
        <v>223</v>
      </c>
      <c r="E300" s="77"/>
      <c r="F300" s="3" t="s">
        <v>255</v>
      </c>
      <c r="G300" s="118">
        <f>G303+G302+G301</f>
        <v>109800</v>
      </c>
      <c r="H300" s="118">
        <f t="shared" ref="H300" si="129">H303+H302+H301</f>
        <v>0</v>
      </c>
      <c r="I300" s="118">
        <f t="shared" si="112"/>
        <v>109800</v>
      </c>
    </row>
    <row r="301" spans="2:9" x14ac:dyDescent="0.2">
      <c r="B301" s="122">
        <f t="shared" si="121"/>
        <v>296</v>
      </c>
      <c r="C301" s="76"/>
      <c r="D301" s="72"/>
      <c r="E301" s="79">
        <v>223001</v>
      </c>
      <c r="F301" s="4" t="s">
        <v>256</v>
      </c>
      <c r="G301" s="92">
        <v>15800</v>
      </c>
      <c r="H301" s="92"/>
      <c r="I301" s="92">
        <f t="shared" si="112"/>
        <v>15800</v>
      </c>
    </row>
    <row r="302" spans="2:9" x14ac:dyDescent="0.2">
      <c r="B302" s="122">
        <f t="shared" si="121"/>
        <v>297</v>
      </c>
      <c r="C302" s="78"/>
      <c r="D302" s="73"/>
      <c r="E302" s="79">
        <v>223002</v>
      </c>
      <c r="F302" s="4" t="s">
        <v>76</v>
      </c>
      <c r="G302" s="92">
        <f>15800-2800</f>
        <v>13000</v>
      </c>
      <c r="H302" s="92"/>
      <c r="I302" s="92">
        <f t="shared" si="112"/>
        <v>13000</v>
      </c>
    </row>
    <row r="303" spans="2:9" ht="13.5" thickBot="1" x14ac:dyDescent="0.25">
      <c r="B303" s="122">
        <f t="shared" si="121"/>
        <v>298</v>
      </c>
      <c r="C303" s="78"/>
      <c r="D303" s="73"/>
      <c r="E303" s="79">
        <v>223003</v>
      </c>
      <c r="F303" s="56" t="s">
        <v>77</v>
      </c>
      <c r="G303" s="92">
        <v>81000</v>
      </c>
      <c r="H303" s="92"/>
      <c r="I303" s="92">
        <f t="shared" si="112"/>
        <v>81000</v>
      </c>
    </row>
    <row r="304" spans="2:9" ht="15.75" thickBot="1" x14ac:dyDescent="0.3">
      <c r="B304" s="122">
        <f t="shared" si="121"/>
        <v>299</v>
      </c>
      <c r="C304" s="80">
        <v>8</v>
      </c>
      <c r="D304" s="162"/>
      <c r="E304" s="81"/>
      <c r="F304" s="12" t="s">
        <v>10</v>
      </c>
      <c r="G304" s="21">
        <f>G311+G308+G305</f>
        <v>42860</v>
      </c>
      <c r="H304" s="21">
        <f t="shared" ref="H304" si="130">H311+H308+H305</f>
        <v>0</v>
      </c>
      <c r="I304" s="21">
        <f t="shared" si="112"/>
        <v>42860</v>
      </c>
    </row>
    <row r="305" spans="2:9" x14ac:dyDescent="0.2">
      <c r="B305" s="122">
        <f t="shared" si="121"/>
        <v>300</v>
      </c>
      <c r="C305" s="74">
        <v>210</v>
      </c>
      <c r="D305" s="161"/>
      <c r="E305" s="75"/>
      <c r="F305" s="7" t="s">
        <v>251</v>
      </c>
      <c r="G305" s="124">
        <f>G306</f>
        <v>20100</v>
      </c>
      <c r="H305" s="124">
        <f t="shared" ref="H305:H306" si="131">H306</f>
        <v>0</v>
      </c>
      <c r="I305" s="124">
        <f t="shared" si="112"/>
        <v>20100</v>
      </c>
    </row>
    <row r="306" spans="2:9" x14ac:dyDescent="0.2">
      <c r="B306" s="122">
        <f t="shared" si="121"/>
        <v>301</v>
      </c>
      <c r="C306" s="76"/>
      <c r="D306" s="72">
        <v>212</v>
      </c>
      <c r="E306" s="77"/>
      <c r="F306" s="3" t="s">
        <v>252</v>
      </c>
      <c r="G306" s="118">
        <f>G307</f>
        <v>20100</v>
      </c>
      <c r="H306" s="118">
        <f t="shared" si="131"/>
        <v>0</v>
      </c>
      <c r="I306" s="118">
        <f t="shared" si="112"/>
        <v>20100</v>
      </c>
    </row>
    <row r="307" spans="2:9" x14ac:dyDescent="0.2">
      <c r="B307" s="122">
        <f t="shared" si="121"/>
        <v>302</v>
      </c>
      <c r="C307" s="78"/>
      <c r="D307" s="73"/>
      <c r="E307" s="79">
        <v>212003</v>
      </c>
      <c r="F307" s="4" t="s">
        <v>253</v>
      </c>
      <c r="G307" s="92">
        <v>20100</v>
      </c>
      <c r="H307" s="92"/>
      <c r="I307" s="92">
        <f t="shared" si="112"/>
        <v>20100</v>
      </c>
    </row>
    <row r="308" spans="2:9" x14ac:dyDescent="0.2">
      <c r="B308" s="122">
        <f t="shared" si="121"/>
        <v>303</v>
      </c>
      <c r="C308" s="74">
        <v>220</v>
      </c>
      <c r="D308" s="71"/>
      <c r="E308" s="75"/>
      <c r="F308" s="7" t="s">
        <v>226</v>
      </c>
      <c r="G308" s="124">
        <f>G309</f>
        <v>22756</v>
      </c>
      <c r="H308" s="124">
        <f t="shared" ref="H308:H309" si="132">H309</f>
        <v>0</v>
      </c>
      <c r="I308" s="124">
        <f t="shared" si="112"/>
        <v>22756</v>
      </c>
    </row>
    <row r="309" spans="2:9" x14ac:dyDescent="0.2">
      <c r="B309" s="122">
        <f t="shared" si="121"/>
        <v>304</v>
      </c>
      <c r="C309" s="76"/>
      <c r="D309" s="72">
        <v>223</v>
      </c>
      <c r="E309" s="77"/>
      <c r="F309" s="3" t="s">
        <v>255</v>
      </c>
      <c r="G309" s="118">
        <f>G310</f>
        <v>22756</v>
      </c>
      <c r="H309" s="118">
        <f t="shared" si="132"/>
        <v>0</v>
      </c>
      <c r="I309" s="118">
        <f t="shared" si="112"/>
        <v>22756</v>
      </c>
    </row>
    <row r="310" spans="2:9" x14ac:dyDescent="0.2">
      <c r="B310" s="122">
        <f t="shared" si="121"/>
        <v>305</v>
      </c>
      <c r="C310" s="78"/>
      <c r="D310" s="73"/>
      <c r="E310" s="79">
        <v>223002</v>
      </c>
      <c r="F310" s="4" t="s">
        <v>76</v>
      </c>
      <c r="G310" s="92">
        <v>22756</v>
      </c>
      <c r="H310" s="92"/>
      <c r="I310" s="92">
        <f t="shared" si="112"/>
        <v>22756</v>
      </c>
    </row>
    <row r="311" spans="2:9" x14ac:dyDescent="0.2">
      <c r="B311" s="122">
        <f t="shared" si="121"/>
        <v>306</v>
      </c>
      <c r="C311" s="74">
        <v>240</v>
      </c>
      <c r="D311" s="71"/>
      <c r="E311" s="75"/>
      <c r="F311" s="7" t="s">
        <v>179</v>
      </c>
      <c r="G311" s="124">
        <f>G312</f>
        <v>4</v>
      </c>
      <c r="H311" s="124">
        <f t="shared" ref="H311:H312" si="133">H312</f>
        <v>0</v>
      </c>
      <c r="I311" s="124">
        <f t="shared" si="112"/>
        <v>4</v>
      </c>
    </row>
    <row r="312" spans="2:9" x14ac:dyDescent="0.2">
      <c r="B312" s="122">
        <f t="shared" si="121"/>
        <v>307</v>
      </c>
      <c r="C312" s="76"/>
      <c r="D312" s="72">
        <v>242</v>
      </c>
      <c r="E312" s="77"/>
      <c r="F312" s="3" t="s">
        <v>178</v>
      </c>
      <c r="G312" s="118">
        <f>G313</f>
        <v>4</v>
      </c>
      <c r="H312" s="118">
        <f t="shared" si="133"/>
        <v>0</v>
      </c>
      <c r="I312" s="118">
        <f t="shared" si="112"/>
        <v>4</v>
      </c>
    </row>
    <row r="313" spans="2:9" ht="13.5" thickBot="1" x14ac:dyDescent="0.25">
      <c r="B313" s="122">
        <f t="shared" si="121"/>
        <v>308</v>
      </c>
      <c r="C313" s="78"/>
      <c r="D313" s="73"/>
      <c r="E313" s="79">
        <v>242</v>
      </c>
      <c r="F313" s="4" t="s">
        <v>178</v>
      </c>
      <c r="G313" s="92">
        <v>4</v>
      </c>
      <c r="H313" s="92"/>
      <c r="I313" s="92">
        <f t="shared" si="112"/>
        <v>4</v>
      </c>
    </row>
    <row r="314" spans="2:9" ht="15.75" thickBot="1" x14ac:dyDescent="0.3">
      <c r="B314" s="122">
        <f t="shared" si="121"/>
        <v>309</v>
      </c>
      <c r="C314" s="80">
        <v>9</v>
      </c>
      <c r="D314" s="162"/>
      <c r="E314" s="81"/>
      <c r="F314" s="12" t="s">
        <v>8</v>
      </c>
      <c r="G314" s="21">
        <f>G323+G318+G315</f>
        <v>86860</v>
      </c>
      <c r="H314" s="21">
        <f t="shared" ref="H314" si="134">H323+H318+H315</f>
        <v>0</v>
      </c>
      <c r="I314" s="21">
        <f t="shared" si="112"/>
        <v>86860</v>
      </c>
    </row>
    <row r="315" spans="2:9" x14ac:dyDescent="0.2">
      <c r="B315" s="122">
        <f t="shared" si="121"/>
        <v>310</v>
      </c>
      <c r="C315" s="74">
        <v>210</v>
      </c>
      <c r="D315" s="161"/>
      <c r="E315" s="75"/>
      <c r="F315" s="7" t="s">
        <v>251</v>
      </c>
      <c r="G315" s="124">
        <f>G316</f>
        <v>3000</v>
      </c>
      <c r="H315" s="124">
        <f t="shared" ref="H315:H316" si="135">H316</f>
        <v>0</v>
      </c>
      <c r="I315" s="124">
        <f t="shared" si="112"/>
        <v>3000</v>
      </c>
    </row>
    <row r="316" spans="2:9" x14ac:dyDescent="0.2">
      <c r="B316" s="122">
        <f t="shared" si="121"/>
        <v>311</v>
      </c>
      <c r="C316" s="76"/>
      <c r="D316" s="72">
        <v>212</v>
      </c>
      <c r="E316" s="77"/>
      <c r="F316" s="3" t="s">
        <v>252</v>
      </c>
      <c r="G316" s="118">
        <f>G317</f>
        <v>3000</v>
      </c>
      <c r="H316" s="118">
        <f t="shared" si="135"/>
        <v>0</v>
      </c>
      <c r="I316" s="118">
        <f t="shared" si="112"/>
        <v>3000</v>
      </c>
    </row>
    <row r="317" spans="2:9" x14ac:dyDescent="0.2">
      <c r="B317" s="122">
        <f t="shared" si="121"/>
        <v>312</v>
      </c>
      <c r="C317" s="78"/>
      <c r="D317" s="73"/>
      <c r="E317" s="79">
        <v>212003</v>
      </c>
      <c r="F317" s="4" t="s">
        <v>253</v>
      </c>
      <c r="G317" s="92">
        <v>3000</v>
      </c>
      <c r="H317" s="92"/>
      <c r="I317" s="92">
        <f t="shared" si="112"/>
        <v>3000</v>
      </c>
    </row>
    <row r="318" spans="2:9" x14ac:dyDescent="0.2">
      <c r="B318" s="122">
        <f t="shared" si="121"/>
        <v>313</v>
      </c>
      <c r="C318" s="74">
        <v>220</v>
      </c>
      <c r="D318" s="71"/>
      <c r="E318" s="75"/>
      <c r="F318" s="7" t="s">
        <v>226</v>
      </c>
      <c r="G318" s="124">
        <f>G319</f>
        <v>83360</v>
      </c>
      <c r="H318" s="124">
        <f t="shared" ref="H318" si="136">H319</f>
        <v>0</v>
      </c>
      <c r="I318" s="124">
        <f t="shared" si="112"/>
        <v>83360</v>
      </c>
    </row>
    <row r="319" spans="2:9" x14ac:dyDescent="0.2">
      <c r="B319" s="122">
        <f t="shared" si="121"/>
        <v>314</v>
      </c>
      <c r="C319" s="76"/>
      <c r="D319" s="72">
        <v>223</v>
      </c>
      <c r="E319" s="77"/>
      <c r="F319" s="3" t="s">
        <v>255</v>
      </c>
      <c r="G319" s="118">
        <f>G322+G321+G320</f>
        <v>83360</v>
      </c>
      <c r="H319" s="118">
        <f t="shared" ref="H319" si="137">H322+H321+H320</f>
        <v>0</v>
      </c>
      <c r="I319" s="118">
        <f t="shared" si="112"/>
        <v>83360</v>
      </c>
    </row>
    <row r="320" spans="2:9" x14ac:dyDescent="0.2">
      <c r="B320" s="122">
        <f t="shared" si="121"/>
        <v>315</v>
      </c>
      <c r="C320" s="78"/>
      <c r="D320" s="73"/>
      <c r="E320" s="79">
        <v>223001</v>
      </c>
      <c r="F320" s="4" t="s">
        <v>256</v>
      </c>
      <c r="G320" s="92">
        <v>7800</v>
      </c>
      <c r="H320" s="92"/>
      <c r="I320" s="92">
        <f t="shared" si="112"/>
        <v>7800</v>
      </c>
    </row>
    <row r="321" spans="2:9" x14ac:dyDescent="0.2">
      <c r="B321" s="122">
        <f t="shared" si="121"/>
        <v>316</v>
      </c>
      <c r="C321" s="78"/>
      <c r="D321" s="73"/>
      <c r="E321" s="79">
        <v>223002</v>
      </c>
      <c r="F321" s="56" t="s">
        <v>76</v>
      </c>
      <c r="G321" s="92">
        <v>9560</v>
      </c>
      <c r="H321" s="92"/>
      <c r="I321" s="92">
        <f t="shared" si="112"/>
        <v>9560</v>
      </c>
    </row>
    <row r="322" spans="2:9" x14ac:dyDescent="0.2">
      <c r="B322" s="122">
        <f t="shared" si="121"/>
        <v>317</v>
      </c>
      <c r="C322" s="78"/>
      <c r="D322" s="73"/>
      <c r="E322" s="79">
        <v>223003</v>
      </c>
      <c r="F322" s="56" t="s">
        <v>77</v>
      </c>
      <c r="G322" s="92">
        <v>66000</v>
      </c>
      <c r="H322" s="92"/>
      <c r="I322" s="92">
        <f t="shared" si="112"/>
        <v>66000</v>
      </c>
    </row>
    <row r="323" spans="2:9" x14ac:dyDescent="0.2">
      <c r="B323" s="122">
        <f t="shared" si="121"/>
        <v>318</v>
      </c>
      <c r="C323" s="74">
        <v>290</v>
      </c>
      <c r="D323" s="71"/>
      <c r="E323" s="75"/>
      <c r="F323" s="7" t="s">
        <v>181</v>
      </c>
      <c r="G323" s="124">
        <f>G324</f>
        <v>500</v>
      </c>
      <c r="H323" s="124">
        <f t="shared" ref="H323:H324" si="138">H324</f>
        <v>0</v>
      </c>
      <c r="I323" s="124">
        <f t="shared" si="112"/>
        <v>500</v>
      </c>
    </row>
    <row r="324" spans="2:9" x14ac:dyDescent="0.2">
      <c r="B324" s="122">
        <f t="shared" si="121"/>
        <v>319</v>
      </c>
      <c r="C324" s="76"/>
      <c r="D324" s="72">
        <v>292</v>
      </c>
      <c r="E324" s="77"/>
      <c r="F324" s="3" t="s">
        <v>182</v>
      </c>
      <c r="G324" s="118">
        <f>G325</f>
        <v>500</v>
      </c>
      <c r="H324" s="118">
        <f t="shared" si="138"/>
        <v>0</v>
      </c>
      <c r="I324" s="118">
        <f t="shared" si="112"/>
        <v>500</v>
      </c>
    </row>
    <row r="325" spans="2:9" ht="13.5" thickBot="1" x14ac:dyDescent="0.25">
      <c r="B325" s="122">
        <f t="shared" si="121"/>
        <v>320</v>
      </c>
      <c r="C325" s="78"/>
      <c r="D325" s="160"/>
      <c r="E325" s="79">
        <v>292012</v>
      </c>
      <c r="F325" s="4" t="s">
        <v>237</v>
      </c>
      <c r="G325" s="92">
        <v>500</v>
      </c>
      <c r="H325" s="92"/>
      <c r="I325" s="92">
        <f t="shared" si="112"/>
        <v>500</v>
      </c>
    </row>
    <row r="326" spans="2:9" ht="15.75" thickBot="1" x14ac:dyDescent="0.3">
      <c r="B326" s="122">
        <f t="shared" si="121"/>
        <v>321</v>
      </c>
      <c r="C326" s="80">
        <v>10</v>
      </c>
      <c r="D326" s="162"/>
      <c r="E326" s="81"/>
      <c r="F326" s="12" t="s">
        <v>2</v>
      </c>
      <c r="G326" s="21">
        <f>G335+G330+G327</f>
        <v>105000</v>
      </c>
      <c r="H326" s="21">
        <f t="shared" ref="H326" si="139">H335+H330+H327</f>
        <v>0</v>
      </c>
      <c r="I326" s="21">
        <f t="shared" si="112"/>
        <v>105000</v>
      </c>
    </row>
    <row r="327" spans="2:9" x14ac:dyDescent="0.2">
      <c r="B327" s="122">
        <f t="shared" si="121"/>
        <v>322</v>
      </c>
      <c r="C327" s="74">
        <v>210</v>
      </c>
      <c r="D327" s="161"/>
      <c r="E327" s="75"/>
      <c r="F327" s="7" t="s">
        <v>251</v>
      </c>
      <c r="G327" s="124">
        <f>G328</f>
        <v>7100</v>
      </c>
      <c r="H327" s="124">
        <f t="shared" ref="H327:H328" si="140">H328</f>
        <v>0</v>
      </c>
      <c r="I327" s="124">
        <f t="shared" ref="I327:I391" si="141">G327+H327</f>
        <v>7100</v>
      </c>
    </row>
    <row r="328" spans="2:9" x14ac:dyDescent="0.2">
      <c r="B328" s="122">
        <f t="shared" si="121"/>
        <v>323</v>
      </c>
      <c r="C328" s="76"/>
      <c r="D328" s="72">
        <v>212</v>
      </c>
      <c r="E328" s="77"/>
      <c r="F328" s="3" t="s">
        <v>252</v>
      </c>
      <c r="G328" s="118">
        <f>G329</f>
        <v>7100</v>
      </c>
      <c r="H328" s="118">
        <f t="shared" si="140"/>
        <v>0</v>
      </c>
      <c r="I328" s="118">
        <f t="shared" si="141"/>
        <v>7100</v>
      </c>
    </row>
    <row r="329" spans="2:9" x14ac:dyDescent="0.2">
      <c r="B329" s="122">
        <f t="shared" si="121"/>
        <v>324</v>
      </c>
      <c r="C329" s="78"/>
      <c r="D329" s="73"/>
      <c r="E329" s="79">
        <v>212003</v>
      </c>
      <c r="F329" s="4" t="s">
        <v>253</v>
      </c>
      <c r="G329" s="92">
        <v>7100</v>
      </c>
      <c r="H329" s="92"/>
      <c r="I329" s="92">
        <f t="shared" si="141"/>
        <v>7100</v>
      </c>
    </row>
    <row r="330" spans="2:9" x14ac:dyDescent="0.2">
      <c r="B330" s="122">
        <f t="shared" si="121"/>
        <v>325</v>
      </c>
      <c r="C330" s="74">
        <v>220</v>
      </c>
      <c r="D330" s="71"/>
      <c r="E330" s="75"/>
      <c r="F330" s="7" t="s">
        <v>226</v>
      </c>
      <c r="G330" s="124">
        <f>G331</f>
        <v>97400</v>
      </c>
      <c r="H330" s="124">
        <f t="shared" ref="H330" si="142">H331</f>
        <v>0</v>
      </c>
      <c r="I330" s="124">
        <f t="shared" si="141"/>
        <v>97400</v>
      </c>
    </row>
    <row r="331" spans="2:9" x14ac:dyDescent="0.2">
      <c r="B331" s="122">
        <f t="shared" si="121"/>
        <v>326</v>
      </c>
      <c r="C331" s="76"/>
      <c r="D331" s="72">
        <v>223</v>
      </c>
      <c r="E331" s="77"/>
      <c r="F331" s="3" t="s">
        <v>255</v>
      </c>
      <c r="G331" s="118">
        <f>G334+G333+G332</f>
        <v>97400</v>
      </c>
      <c r="H331" s="118">
        <f t="shared" ref="H331" si="143">H334+H333+H332</f>
        <v>0</v>
      </c>
      <c r="I331" s="118">
        <f t="shared" si="141"/>
        <v>97400</v>
      </c>
    </row>
    <row r="332" spans="2:9" x14ac:dyDescent="0.2">
      <c r="B332" s="122">
        <f t="shared" si="121"/>
        <v>327</v>
      </c>
      <c r="C332" s="78"/>
      <c r="D332" s="73"/>
      <c r="E332" s="79">
        <v>223001</v>
      </c>
      <c r="F332" s="4" t="s">
        <v>256</v>
      </c>
      <c r="G332" s="92">
        <v>21070</v>
      </c>
      <c r="H332" s="92"/>
      <c r="I332" s="92">
        <f t="shared" si="141"/>
        <v>21070</v>
      </c>
    </row>
    <row r="333" spans="2:9" x14ac:dyDescent="0.2">
      <c r="B333" s="122">
        <f t="shared" si="121"/>
        <v>328</v>
      </c>
      <c r="C333" s="78"/>
      <c r="D333" s="73"/>
      <c r="E333" s="79">
        <v>223002</v>
      </c>
      <c r="F333" s="4" t="s">
        <v>76</v>
      </c>
      <c r="G333" s="92">
        <v>6330</v>
      </c>
      <c r="H333" s="92"/>
      <c r="I333" s="92">
        <f t="shared" si="141"/>
        <v>6330</v>
      </c>
    </row>
    <row r="334" spans="2:9" x14ac:dyDescent="0.2">
      <c r="B334" s="122">
        <f t="shared" si="121"/>
        <v>329</v>
      </c>
      <c r="C334" s="78"/>
      <c r="D334" s="73"/>
      <c r="E334" s="79">
        <v>223003</v>
      </c>
      <c r="F334" s="56" t="s">
        <v>77</v>
      </c>
      <c r="G334" s="92">
        <v>70000</v>
      </c>
      <c r="H334" s="92"/>
      <c r="I334" s="92">
        <f t="shared" si="141"/>
        <v>70000</v>
      </c>
    </row>
    <row r="335" spans="2:9" x14ac:dyDescent="0.2">
      <c r="B335" s="122">
        <f t="shared" si="121"/>
        <v>330</v>
      </c>
      <c r="C335" s="74">
        <v>290</v>
      </c>
      <c r="D335" s="71"/>
      <c r="E335" s="75"/>
      <c r="F335" s="7" t="s">
        <v>181</v>
      </c>
      <c r="G335" s="124">
        <f>G336</f>
        <v>500</v>
      </c>
      <c r="H335" s="124">
        <f t="shared" ref="H335:H336" si="144">H336</f>
        <v>0</v>
      </c>
      <c r="I335" s="124">
        <f t="shared" si="141"/>
        <v>500</v>
      </c>
    </row>
    <row r="336" spans="2:9" x14ac:dyDescent="0.2">
      <c r="B336" s="122">
        <f t="shared" si="121"/>
        <v>331</v>
      </c>
      <c r="C336" s="76"/>
      <c r="D336" s="72">
        <v>292</v>
      </c>
      <c r="E336" s="77"/>
      <c r="F336" s="3" t="s">
        <v>182</v>
      </c>
      <c r="G336" s="118">
        <f>G337</f>
        <v>500</v>
      </c>
      <c r="H336" s="118">
        <f t="shared" si="144"/>
        <v>0</v>
      </c>
      <c r="I336" s="118">
        <f t="shared" si="141"/>
        <v>500</v>
      </c>
    </row>
    <row r="337" spans="2:9" ht="13.5" thickBot="1" x14ac:dyDescent="0.25">
      <c r="B337" s="122">
        <f t="shared" si="121"/>
        <v>332</v>
      </c>
      <c r="C337" s="78"/>
      <c r="D337" s="73"/>
      <c r="E337" s="79">
        <v>292012</v>
      </c>
      <c r="F337" s="4" t="s">
        <v>237</v>
      </c>
      <c r="G337" s="92">
        <v>500</v>
      </c>
      <c r="H337" s="92"/>
      <c r="I337" s="92">
        <f t="shared" si="141"/>
        <v>500</v>
      </c>
    </row>
    <row r="338" spans="2:9" ht="15.75" thickBot="1" x14ac:dyDescent="0.3">
      <c r="B338" s="122">
        <f t="shared" si="121"/>
        <v>333</v>
      </c>
      <c r="C338" s="80">
        <v>11</v>
      </c>
      <c r="D338" s="162"/>
      <c r="E338" s="81"/>
      <c r="F338" s="12" t="s">
        <v>11</v>
      </c>
      <c r="G338" s="21">
        <f>G347+G342+G339</f>
        <v>186611</v>
      </c>
      <c r="H338" s="21">
        <f t="shared" ref="H338" si="145">H347+H342+H339</f>
        <v>0</v>
      </c>
      <c r="I338" s="21">
        <f t="shared" si="141"/>
        <v>186611</v>
      </c>
    </row>
    <row r="339" spans="2:9" x14ac:dyDescent="0.2">
      <c r="B339" s="122">
        <f t="shared" si="121"/>
        <v>334</v>
      </c>
      <c r="C339" s="74">
        <v>210</v>
      </c>
      <c r="D339" s="161"/>
      <c r="E339" s="75"/>
      <c r="F339" s="7" t="s">
        <v>251</v>
      </c>
      <c r="G339" s="124">
        <f>G340</f>
        <v>39196</v>
      </c>
      <c r="H339" s="124">
        <f t="shared" ref="H339:H340" si="146">H340</f>
        <v>0</v>
      </c>
      <c r="I339" s="124">
        <f t="shared" si="141"/>
        <v>39196</v>
      </c>
    </row>
    <row r="340" spans="2:9" x14ac:dyDescent="0.2">
      <c r="B340" s="122">
        <f t="shared" si="121"/>
        <v>335</v>
      </c>
      <c r="C340" s="76"/>
      <c r="D340" s="72">
        <v>212</v>
      </c>
      <c r="E340" s="77"/>
      <c r="F340" s="3" t="s">
        <v>252</v>
      </c>
      <c r="G340" s="118">
        <f>G341</f>
        <v>39196</v>
      </c>
      <c r="H340" s="118">
        <f t="shared" si="146"/>
        <v>0</v>
      </c>
      <c r="I340" s="118">
        <f t="shared" si="141"/>
        <v>39196</v>
      </c>
    </row>
    <row r="341" spans="2:9" x14ac:dyDescent="0.2">
      <c r="B341" s="122">
        <f t="shared" si="121"/>
        <v>336</v>
      </c>
      <c r="C341" s="78"/>
      <c r="D341" s="73"/>
      <c r="E341" s="79">
        <v>212003</v>
      </c>
      <c r="F341" s="4" t="s">
        <v>253</v>
      </c>
      <c r="G341" s="92">
        <v>39196</v>
      </c>
      <c r="H341" s="92"/>
      <c r="I341" s="92">
        <f t="shared" si="141"/>
        <v>39196</v>
      </c>
    </row>
    <row r="342" spans="2:9" x14ac:dyDescent="0.2">
      <c r="B342" s="122">
        <f t="shared" si="121"/>
        <v>337</v>
      </c>
      <c r="C342" s="74">
        <v>220</v>
      </c>
      <c r="D342" s="71"/>
      <c r="E342" s="75"/>
      <c r="F342" s="7" t="s">
        <v>226</v>
      </c>
      <c r="G342" s="124">
        <f>G343</f>
        <v>147411</v>
      </c>
      <c r="H342" s="124">
        <f t="shared" ref="H342" si="147">H343</f>
        <v>0</v>
      </c>
      <c r="I342" s="124">
        <f t="shared" si="141"/>
        <v>147411</v>
      </c>
    </row>
    <row r="343" spans="2:9" x14ac:dyDescent="0.2">
      <c r="B343" s="122">
        <f t="shared" si="121"/>
        <v>338</v>
      </c>
      <c r="C343" s="76"/>
      <c r="D343" s="72">
        <v>223</v>
      </c>
      <c r="E343" s="77"/>
      <c r="F343" s="3" t="s">
        <v>255</v>
      </c>
      <c r="G343" s="118">
        <f>G346+G345+G344</f>
        <v>147411</v>
      </c>
      <c r="H343" s="118">
        <f t="shared" ref="H343" si="148">H346+H345+H344</f>
        <v>0</v>
      </c>
      <c r="I343" s="118">
        <f t="shared" si="141"/>
        <v>147411</v>
      </c>
    </row>
    <row r="344" spans="2:9" x14ac:dyDescent="0.2">
      <c r="B344" s="122">
        <f t="shared" si="121"/>
        <v>339</v>
      </c>
      <c r="C344" s="78"/>
      <c r="D344" s="73"/>
      <c r="E344" s="79">
        <v>223001</v>
      </c>
      <c r="F344" s="4" t="s">
        <v>256</v>
      </c>
      <c r="G344" s="92">
        <v>18500</v>
      </c>
      <c r="H344" s="92"/>
      <c r="I344" s="92">
        <f t="shared" si="141"/>
        <v>18500</v>
      </c>
    </row>
    <row r="345" spans="2:9" x14ac:dyDescent="0.2">
      <c r="B345" s="122">
        <f t="shared" si="121"/>
        <v>340</v>
      </c>
      <c r="C345" s="78"/>
      <c r="D345" s="73"/>
      <c r="E345" s="79">
        <v>223002</v>
      </c>
      <c r="F345" s="4" t="s">
        <v>76</v>
      </c>
      <c r="G345" s="92">
        <f>13000+1911</f>
        <v>14911</v>
      </c>
      <c r="H345" s="92"/>
      <c r="I345" s="92">
        <f t="shared" si="141"/>
        <v>14911</v>
      </c>
    </row>
    <row r="346" spans="2:9" x14ac:dyDescent="0.2">
      <c r="B346" s="122">
        <f t="shared" si="121"/>
        <v>341</v>
      </c>
      <c r="C346" s="78"/>
      <c r="D346" s="73"/>
      <c r="E346" s="79">
        <v>223003</v>
      </c>
      <c r="F346" s="56" t="s">
        <v>77</v>
      </c>
      <c r="G346" s="92">
        <v>114000</v>
      </c>
      <c r="H346" s="92"/>
      <c r="I346" s="92">
        <f t="shared" si="141"/>
        <v>114000</v>
      </c>
    </row>
    <row r="347" spans="2:9" x14ac:dyDescent="0.2">
      <c r="B347" s="122">
        <f t="shared" si="121"/>
        <v>342</v>
      </c>
      <c r="C347" s="74">
        <v>240</v>
      </c>
      <c r="D347" s="71"/>
      <c r="E347" s="75"/>
      <c r="F347" s="7" t="s">
        <v>179</v>
      </c>
      <c r="G347" s="124">
        <f>G348</f>
        <v>4</v>
      </c>
      <c r="H347" s="124">
        <f t="shared" ref="H347:H348" si="149">H348</f>
        <v>0</v>
      </c>
      <c r="I347" s="124">
        <f t="shared" si="141"/>
        <v>4</v>
      </c>
    </row>
    <row r="348" spans="2:9" x14ac:dyDescent="0.2">
      <c r="B348" s="122">
        <f t="shared" si="121"/>
        <v>343</v>
      </c>
      <c r="C348" s="76"/>
      <c r="D348" s="72">
        <v>242</v>
      </c>
      <c r="E348" s="77"/>
      <c r="F348" s="3" t="s">
        <v>178</v>
      </c>
      <c r="G348" s="118">
        <f>G349</f>
        <v>4</v>
      </c>
      <c r="H348" s="118">
        <f t="shared" si="149"/>
        <v>0</v>
      </c>
      <c r="I348" s="118">
        <f t="shared" si="141"/>
        <v>4</v>
      </c>
    </row>
    <row r="349" spans="2:9" ht="13.5" thickBot="1" x14ac:dyDescent="0.25">
      <c r="B349" s="122">
        <f t="shared" si="121"/>
        <v>344</v>
      </c>
      <c r="C349" s="78"/>
      <c r="D349" s="73"/>
      <c r="E349" s="79">
        <v>242</v>
      </c>
      <c r="F349" s="4" t="s">
        <v>178</v>
      </c>
      <c r="G349" s="92">
        <v>4</v>
      </c>
      <c r="H349" s="92"/>
      <c r="I349" s="92">
        <f t="shared" si="141"/>
        <v>4</v>
      </c>
    </row>
    <row r="350" spans="2:9" ht="15.75" thickBot="1" x14ac:dyDescent="0.3">
      <c r="B350" s="122">
        <f t="shared" si="121"/>
        <v>345</v>
      </c>
      <c r="C350" s="80">
        <v>12</v>
      </c>
      <c r="D350" s="162"/>
      <c r="E350" s="81"/>
      <c r="F350" s="12" t="s">
        <v>9</v>
      </c>
      <c r="G350" s="21">
        <f>G358+G354+G351</f>
        <v>166500</v>
      </c>
      <c r="H350" s="21">
        <f t="shared" ref="H350" si="150">H358+H354+H351</f>
        <v>0</v>
      </c>
      <c r="I350" s="21">
        <f t="shared" si="141"/>
        <v>166500</v>
      </c>
    </row>
    <row r="351" spans="2:9" x14ac:dyDescent="0.2">
      <c r="B351" s="122">
        <f t="shared" ref="B351:B422" si="151">B350+1</f>
        <v>346</v>
      </c>
      <c r="C351" s="74">
        <v>210</v>
      </c>
      <c r="D351" s="161"/>
      <c r="E351" s="75"/>
      <c r="F351" s="7" t="s">
        <v>251</v>
      </c>
      <c r="G351" s="124">
        <f>G352</f>
        <v>3000</v>
      </c>
      <c r="H351" s="124">
        <f t="shared" ref="H351:H352" si="152">H352</f>
        <v>0</v>
      </c>
      <c r="I351" s="124">
        <f t="shared" si="141"/>
        <v>3000</v>
      </c>
    </row>
    <row r="352" spans="2:9" x14ac:dyDescent="0.2">
      <c r="B352" s="122">
        <f t="shared" si="151"/>
        <v>347</v>
      </c>
      <c r="C352" s="76"/>
      <c r="D352" s="72">
        <v>212</v>
      </c>
      <c r="E352" s="77"/>
      <c r="F352" s="3" t="s">
        <v>252</v>
      </c>
      <c r="G352" s="118">
        <f>G353</f>
        <v>3000</v>
      </c>
      <c r="H352" s="118">
        <f t="shared" si="152"/>
        <v>0</v>
      </c>
      <c r="I352" s="118">
        <f t="shared" si="141"/>
        <v>3000</v>
      </c>
    </row>
    <row r="353" spans="2:9" x14ac:dyDescent="0.2">
      <c r="B353" s="122">
        <f t="shared" si="151"/>
        <v>348</v>
      </c>
      <c r="C353" s="78"/>
      <c r="D353" s="73"/>
      <c r="E353" s="79">
        <v>212003</v>
      </c>
      <c r="F353" s="4" t="s">
        <v>253</v>
      </c>
      <c r="G353" s="92">
        <v>3000</v>
      </c>
      <c r="H353" s="92"/>
      <c r="I353" s="92">
        <f t="shared" si="141"/>
        <v>3000</v>
      </c>
    </row>
    <row r="354" spans="2:9" x14ac:dyDescent="0.2">
      <c r="B354" s="122">
        <f t="shared" si="151"/>
        <v>349</v>
      </c>
      <c r="C354" s="74">
        <v>220</v>
      </c>
      <c r="D354" s="71"/>
      <c r="E354" s="75"/>
      <c r="F354" s="7" t="s">
        <v>226</v>
      </c>
      <c r="G354" s="124">
        <f>G355</f>
        <v>163000</v>
      </c>
      <c r="H354" s="124">
        <f t="shared" ref="H354" si="153">H355</f>
        <v>0</v>
      </c>
      <c r="I354" s="124">
        <f t="shared" si="141"/>
        <v>163000</v>
      </c>
    </row>
    <row r="355" spans="2:9" x14ac:dyDescent="0.2">
      <c r="B355" s="122">
        <f t="shared" si="151"/>
        <v>350</v>
      </c>
      <c r="C355" s="76"/>
      <c r="D355" s="72">
        <v>223</v>
      </c>
      <c r="E355" s="77"/>
      <c r="F355" s="3" t="s">
        <v>255</v>
      </c>
      <c r="G355" s="118">
        <f>G356+G357</f>
        <v>163000</v>
      </c>
      <c r="H355" s="118">
        <f t="shared" ref="H355" si="154">H356+H357</f>
        <v>0</v>
      </c>
      <c r="I355" s="118">
        <f t="shared" si="141"/>
        <v>163000</v>
      </c>
    </row>
    <row r="356" spans="2:9" x14ac:dyDescent="0.2">
      <c r="B356" s="122">
        <f t="shared" si="151"/>
        <v>351</v>
      </c>
      <c r="C356" s="78"/>
      <c r="D356" s="73"/>
      <c r="E356" s="79">
        <v>223002</v>
      </c>
      <c r="F356" s="4" t="s">
        <v>76</v>
      </c>
      <c r="G356" s="92">
        <v>14000</v>
      </c>
      <c r="H356" s="92"/>
      <c r="I356" s="92">
        <f t="shared" si="141"/>
        <v>14000</v>
      </c>
    </row>
    <row r="357" spans="2:9" x14ac:dyDescent="0.2">
      <c r="B357" s="122">
        <f t="shared" si="151"/>
        <v>352</v>
      </c>
      <c r="C357" s="78"/>
      <c r="D357" s="73"/>
      <c r="E357" s="79">
        <v>223003</v>
      </c>
      <c r="F357" s="14" t="s">
        <v>77</v>
      </c>
      <c r="G357" s="92">
        <v>149000</v>
      </c>
      <c r="H357" s="92"/>
      <c r="I357" s="92">
        <f t="shared" si="141"/>
        <v>149000</v>
      </c>
    </row>
    <row r="358" spans="2:9" x14ac:dyDescent="0.2">
      <c r="B358" s="122">
        <f t="shared" si="151"/>
        <v>353</v>
      </c>
      <c r="C358" s="74">
        <v>290</v>
      </c>
      <c r="D358" s="71"/>
      <c r="E358" s="75"/>
      <c r="F358" s="7" t="s">
        <v>181</v>
      </c>
      <c r="G358" s="124">
        <f>G359</f>
        <v>500</v>
      </c>
      <c r="H358" s="124">
        <f t="shared" ref="H358:H359" si="155">H359</f>
        <v>0</v>
      </c>
      <c r="I358" s="124">
        <f t="shared" si="141"/>
        <v>500</v>
      </c>
    </row>
    <row r="359" spans="2:9" x14ac:dyDescent="0.2">
      <c r="B359" s="122">
        <f t="shared" si="151"/>
        <v>354</v>
      </c>
      <c r="C359" s="76"/>
      <c r="D359" s="72">
        <v>292</v>
      </c>
      <c r="E359" s="77"/>
      <c r="F359" s="3" t="s">
        <v>182</v>
      </c>
      <c r="G359" s="118">
        <f>G360</f>
        <v>500</v>
      </c>
      <c r="H359" s="118">
        <f t="shared" si="155"/>
        <v>0</v>
      </c>
      <c r="I359" s="118">
        <f t="shared" si="141"/>
        <v>500</v>
      </c>
    </row>
    <row r="360" spans="2:9" ht="13.5" thickBot="1" x14ac:dyDescent="0.25">
      <c r="B360" s="122">
        <f t="shared" si="151"/>
        <v>355</v>
      </c>
      <c r="C360" s="78"/>
      <c r="D360" s="73"/>
      <c r="E360" s="79">
        <v>292012</v>
      </c>
      <c r="F360" s="4" t="s">
        <v>237</v>
      </c>
      <c r="G360" s="92">
        <v>500</v>
      </c>
      <c r="H360" s="92"/>
      <c r="I360" s="92">
        <f t="shared" si="141"/>
        <v>500</v>
      </c>
    </row>
    <row r="361" spans="2:9" ht="15.75" thickBot="1" x14ac:dyDescent="0.3">
      <c r="B361" s="122">
        <f t="shared" si="151"/>
        <v>356</v>
      </c>
      <c r="C361" s="80">
        <v>13</v>
      </c>
      <c r="D361" s="162"/>
      <c r="E361" s="81"/>
      <c r="F361" s="12" t="s">
        <v>19</v>
      </c>
      <c r="G361" s="21">
        <f>G370+G365+G362</f>
        <v>79500</v>
      </c>
      <c r="H361" s="21">
        <f t="shared" ref="H361" si="156">H370+H365+H362</f>
        <v>0</v>
      </c>
      <c r="I361" s="21">
        <f t="shared" si="141"/>
        <v>79500</v>
      </c>
    </row>
    <row r="362" spans="2:9" x14ac:dyDescent="0.2">
      <c r="B362" s="122">
        <f t="shared" si="151"/>
        <v>357</v>
      </c>
      <c r="C362" s="74">
        <v>210</v>
      </c>
      <c r="D362" s="161"/>
      <c r="E362" s="75"/>
      <c r="F362" s="7" t="s">
        <v>251</v>
      </c>
      <c r="G362" s="124">
        <f>G363</f>
        <v>6097</v>
      </c>
      <c r="H362" s="124">
        <f t="shared" ref="H362:H363" si="157">H363</f>
        <v>0</v>
      </c>
      <c r="I362" s="124">
        <f t="shared" si="141"/>
        <v>6097</v>
      </c>
    </row>
    <row r="363" spans="2:9" x14ac:dyDescent="0.2">
      <c r="B363" s="122">
        <f t="shared" si="151"/>
        <v>358</v>
      </c>
      <c r="C363" s="76"/>
      <c r="D363" s="72">
        <v>212</v>
      </c>
      <c r="E363" s="77"/>
      <c r="F363" s="3" t="s">
        <v>252</v>
      </c>
      <c r="G363" s="118">
        <f>G364</f>
        <v>6097</v>
      </c>
      <c r="H363" s="118">
        <f t="shared" si="157"/>
        <v>0</v>
      </c>
      <c r="I363" s="118">
        <f t="shared" si="141"/>
        <v>6097</v>
      </c>
    </row>
    <row r="364" spans="2:9" x14ac:dyDescent="0.2">
      <c r="B364" s="122">
        <f t="shared" si="151"/>
        <v>359</v>
      </c>
      <c r="C364" s="78"/>
      <c r="D364" s="73"/>
      <c r="E364" s="79">
        <v>212003</v>
      </c>
      <c r="F364" s="4" t="s">
        <v>253</v>
      </c>
      <c r="G364" s="92">
        <v>6097</v>
      </c>
      <c r="H364" s="92"/>
      <c r="I364" s="92">
        <f t="shared" si="141"/>
        <v>6097</v>
      </c>
    </row>
    <row r="365" spans="2:9" x14ac:dyDescent="0.2">
      <c r="B365" s="122">
        <f t="shared" si="151"/>
        <v>360</v>
      </c>
      <c r="C365" s="74">
        <v>220</v>
      </c>
      <c r="D365" s="71"/>
      <c r="E365" s="75"/>
      <c r="F365" s="7" t="s">
        <v>226</v>
      </c>
      <c r="G365" s="124">
        <f>G366</f>
        <v>73400</v>
      </c>
      <c r="H365" s="124">
        <f t="shared" ref="H365" si="158">H366</f>
        <v>0</v>
      </c>
      <c r="I365" s="124">
        <f t="shared" si="141"/>
        <v>73400</v>
      </c>
    </row>
    <row r="366" spans="2:9" x14ac:dyDescent="0.2">
      <c r="B366" s="122">
        <f t="shared" si="151"/>
        <v>361</v>
      </c>
      <c r="C366" s="76"/>
      <c r="D366" s="72">
        <v>223</v>
      </c>
      <c r="E366" s="77"/>
      <c r="F366" s="3" t="s">
        <v>255</v>
      </c>
      <c r="G366" s="118">
        <f>G369+G368+G367</f>
        <v>73400</v>
      </c>
      <c r="H366" s="118">
        <f t="shared" ref="H366" si="159">H369+H368+H367</f>
        <v>0</v>
      </c>
      <c r="I366" s="118">
        <f t="shared" si="141"/>
        <v>73400</v>
      </c>
    </row>
    <row r="367" spans="2:9" x14ac:dyDescent="0.2">
      <c r="B367" s="122">
        <f t="shared" si="151"/>
        <v>362</v>
      </c>
      <c r="C367" s="78"/>
      <c r="D367" s="73"/>
      <c r="E367" s="79">
        <v>223001</v>
      </c>
      <c r="F367" s="4" t="s">
        <v>256</v>
      </c>
      <c r="G367" s="92">
        <v>9000</v>
      </c>
      <c r="H367" s="92"/>
      <c r="I367" s="92">
        <f t="shared" si="141"/>
        <v>9000</v>
      </c>
    </row>
    <row r="368" spans="2:9" x14ac:dyDescent="0.2">
      <c r="B368" s="122">
        <f t="shared" si="151"/>
        <v>363</v>
      </c>
      <c r="C368" s="78"/>
      <c r="D368" s="73"/>
      <c r="E368" s="79">
        <v>223002</v>
      </c>
      <c r="F368" s="4" t="s">
        <v>76</v>
      </c>
      <c r="G368" s="92">
        <v>4400</v>
      </c>
      <c r="H368" s="92"/>
      <c r="I368" s="92">
        <f t="shared" si="141"/>
        <v>4400</v>
      </c>
    </row>
    <row r="369" spans="2:9" x14ac:dyDescent="0.2">
      <c r="B369" s="122">
        <f t="shared" si="151"/>
        <v>364</v>
      </c>
      <c r="C369" s="78"/>
      <c r="D369" s="73"/>
      <c r="E369" s="79">
        <v>223003</v>
      </c>
      <c r="F369" s="56" t="s">
        <v>77</v>
      </c>
      <c r="G369" s="92">
        <v>60000</v>
      </c>
      <c r="H369" s="92"/>
      <c r="I369" s="92">
        <f t="shared" si="141"/>
        <v>60000</v>
      </c>
    </row>
    <row r="370" spans="2:9" x14ac:dyDescent="0.2">
      <c r="B370" s="122">
        <f t="shared" si="151"/>
        <v>365</v>
      </c>
      <c r="C370" s="74">
        <v>240</v>
      </c>
      <c r="D370" s="71"/>
      <c r="E370" s="75"/>
      <c r="F370" s="7" t="s">
        <v>179</v>
      </c>
      <c r="G370" s="124">
        <f>G371</f>
        <v>3</v>
      </c>
      <c r="H370" s="124">
        <f t="shared" ref="H370:H371" si="160">H371</f>
        <v>0</v>
      </c>
      <c r="I370" s="124">
        <f t="shared" si="141"/>
        <v>3</v>
      </c>
    </row>
    <row r="371" spans="2:9" x14ac:dyDescent="0.2">
      <c r="B371" s="122">
        <f t="shared" si="151"/>
        <v>366</v>
      </c>
      <c r="C371" s="76"/>
      <c r="D371" s="72">
        <v>242</v>
      </c>
      <c r="E371" s="77"/>
      <c r="F371" s="3" t="s">
        <v>178</v>
      </c>
      <c r="G371" s="118">
        <f>G372</f>
        <v>3</v>
      </c>
      <c r="H371" s="118">
        <f t="shared" si="160"/>
        <v>0</v>
      </c>
      <c r="I371" s="118">
        <f t="shared" si="141"/>
        <v>3</v>
      </c>
    </row>
    <row r="372" spans="2:9" ht="13.5" thickBot="1" x14ac:dyDescent="0.25">
      <c r="B372" s="122">
        <f t="shared" si="151"/>
        <v>367</v>
      </c>
      <c r="C372" s="78"/>
      <c r="D372" s="73"/>
      <c r="E372" s="79">
        <v>242</v>
      </c>
      <c r="F372" s="4" t="s">
        <v>178</v>
      </c>
      <c r="G372" s="92">
        <v>3</v>
      </c>
      <c r="H372" s="92"/>
      <c r="I372" s="92">
        <f t="shared" si="141"/>
        <v>3</v>
      </c>
    </row>
    <row r="373" spans="2:9" ht="15.75" thickBot="1" x14ac:dyDescent="0.3">
      <c r="B373" s="122">
        <f t="shared" si="151"/>
        <v>368</v>
      </c>
      <c r="C373" s="80">
        <v>14</v>
      </c>
      <c r="D373" s="162"/>
      <c r="E373" s="81"/>
      <c r="F373" s="12" t="s">
        <v>3</v>
      </c>
      <c r="G373" s="21">
        <f>G380+G377+G374</f>
        <v>86800</v>
      </c>
      <c r="H373" s="21">
        <f t="shared" ref="H373" si="161">H380+H377+H374</f>
        <v>0</v>
      </c>
      <c r="I373" s="21">
        <f t="shared" si="141"/>
        <v>86800</v>
      </c>
    </row>
    <row r="374" spans="2:9" x14ac:dyDescent="0.2">
      <c r="B374" s="122">
        <f t="shared" si="151"/>
        <v>369</v>
      </c>
      <c r="C374" s="74">
        <v>210</v>
      </c>
      <c r="D374" s="161"/>
      <c r="E374" s="75"/>
      <c r="F374" s="7" t="s">
        <v>251</v>
      </c>
      <c r="G374" s="124">
        <f>G375</f>
        <v>135</v>
      </c>
      <c r="H374" s="124">
        <f t="shared" ref="H374:H375" si="162">H375</f>
        <v>0</v>
      </c>
      <c r="I374" s="124">
        <f t="shared" si="141"/>
        <v>135</v>
      </c>
    </row>
    <row r="375" spans="2:9" x14ac:dyDescent="0.2">
      <c r="B375" s="122">
        <f t="shared" si="151"/>
        <v>370</v>
      </c>
      <c r="C375" s="76"/>
      <c r="D375" s="72">
        <v>212</v>
      </c>
      <c r="E375" s="77"/>
      <c r="F375" s="3" t="s">
        <v>252</v>
      </c>
      <c r="G375" s="118">
        <f>G376</f>
        <v>135</v>
      </c>
      <c r="H375" s="118">
        <f t="shared" si="162"/>
        <v>0</v>
      </c>
      <c r="I375" s="118">
        <f t="shared" si="141"/>
        <v>135</v>
      </c>
    </row>
    <row r="376" spans="2:9" x14ac:dyDescent="0.2">
      <c r="B376" s="122">
        <f t="shared" si="151"/>
        <v>371</v>
      </c>
      <c r="C376" s="78"/>
      <c r="D376" s="73"/>
      <c r="E376" s="79">
        <v>212003</v>
      </c>
      <c r="F376" s="4" t="s">
        <v>253</v>
      </c>
      <c r="G376" s="92">
        <v>135</v>
      </c>
      <c r="H376" s="92"/>
      <c r="I376" s="92">
        <f t="shared" si="141"/>
        <v>135</v>
      </c>
    </row>
    <row r="377" spans="2:9" x14ac:dyDescent="0.2">
      <c r="B377" s="122">
        <f t="shared" si="151"/>
        <v>372</v>
      </c>
      <c r="C377" s="74">
        <v>220</v>
      </c>
      <c r="D377" s="71"/>
      <c r="E377" s="75"/>
      <c r="F377" s="7" t="s">
        <v>226</v>
      </c>
      <c r="G377" s="124">
        <f>G378</f>
        <v>86660</v>
      </c>
      <c r="H377" s="124">
        <f t="shared" ref="H377:H378" si="163">H378</f>
        <v>0</v>
      </c>
      <c r="I377" s="124">
        <f t="shared" si="141"/>
        <v>86660</v>
      </c>
    </row>
    <row r="378" spans="2:9" x14ac:dyDescent="0.2">
      <c r="B378" s="122">
        <f t="shared" si="151"/>
        <v>373</v>
      </c>
      <c r="C378" s="76"/>
      <c r="D378" s="72">
        <v>223</v>
      </c>
      <c r="E378" s="77"/>
      <c r="F378" s="3" t="s">
        <v>255</v>
      </c>
      <c r="G378" s="118">
        <f>G379</f>
        <v>86660</v>
      </c>
      <c r="H378" s="118">
        <f t="shared" si="163"/>
        <v>0</v>
      </c>
      <c r="I378" s="118">
        <f t="shared" si="141"/>
        <v>86660</v>
      </c>
    </row>
    <row r="379" spans="2:9" x14ac:dyDescent="0.2">
      <c r="B379" s="122">
        <f t="shared" si="151"/>
        <v>374</v>
      </c>
      <c r="C379" s="78"/>
      <c r="D379" s="73"/>
      <c r="E379" s="79">
        <v>223002</v>
      </c>
      <c r="F379" s="4" t="s">
        <v>76</v>
      </c>
      <c r="G379" s="92">
        <v>86660</v>
      </c>
      <c r="H379" s="92"/>
      <c r="I379" s="92">
        <f t="shared" si="141"/>
        <v>86660</v>
      </c>
    </row>
    <row r="380" spans="2:9" x14ac:dyDescent="0.2">
      <c r="B380" s="122">
        <f t="shared" si="151"/>
        <v>375</v>
      </c>
      <c r="C380" s="74">
        <v>240</v>
      </c>
      <c r="D380" s="71"/>
      <c r="E380" s="75"/>
      <c r="F380" s="7" t="s">
        <v>179</v>
      </c>
      <c r="G380" s="124">
        <f>G381</f>
        <v>5</v>
      </c>
      <c r="H380" s="124">
        <f t="shared" ref="H380:H381" si="164">H381</f>
        <v>0</v>
      </c>
      <c r="I380" s="124">
        <f t="shared" si="141"/>
        <v>5</v>
      </c>
    </row>
    <row r="381" spans="2:9" x14ac:dyDescent="0.2">
      <c r="B381" s="122">
        <f t="shared" si="151"/>
        <v>376</v>
      </c>
      <c r="C381" s="76"/>
      <c r="D381" s="72">
        <v>242</v>
      </c>
      <c r="E381" s="77"/>
      <c r="F381" s="3" t="s">
        <v>178</v>
      </c>
      <c r="G381" s="118">
        <f>G382</f>
        <v>5</v>
      </c>
      <c r="H381" s="118">
        <f t="shared" si="164"/>
        <v>0</v>
      </c>
      <c r="I381" s="118">
        <f t="shared" si="141"/>
        <v>5</v>
      </c>
    </row>
    <row r="382" spans="2:9" x14ac:dyDescent="0.2">
      <c r="B382" s="122">
        <f t="shared" si="151"/>
        <v>377</v>
      </c>
      <c r="C382" s="78"/>
      <c r="D382" s="73"/>
      <c r="E382" s="79">
        <v>242</v>
      </c>
      <c r="F382" s="4" t="s">
        <v>178</v>
      </c>
      <c r="G382" s="92">
        <v>5</v>
      </c>
      <c r="H382" s="92"/>
      <c r="I382" s="92">
        <f t="shared" si="141"/>
        <v>5</v>
      </c>
    </row>
    <row r="383" spans="2:9" ht="16.5" thickBot="1" x14ac:dyDescent="0.3">
      <c r="B383" s="122">
        <f t="shared" si="151"/>
        <v>378</v>
      </c>
      <c r="C383" s="82">
        <v>300</v>
      </c>
      <c r="D383" s="164"/>
      <c r="E383" s="69"/>
      <c r="F383" s="11" t="s">
        <v>229</v>
      </c>
      <c r="G383" s="125">
        <f>G414+G384+G410+G419+G422+G425+G428+G431+G434</f>
        <v>8786100</v>
      </c>
      <c r="H383" s="125">
        <f>H414+H384+H410+H419+H422+H425+H428+H431+H434</f>
        <v>72351</v>
      </c>
      <c r="I383" s="125">
        <f t="shared" si="141"/>
        <v>8858451</v>
      </c>
    </row>
    <row r="384" spans="2:9" ht="15.75" thickBot="1" x14ac:dyDescent="0.3">
      <c r="B384" s="122">
        <f t="shared" si="151"/>
        <v>379</v>
      </c>
      <c r="C384" s="80"/>
      <c r="D384" s="162"/>
      <c r="E384" s="81"/>
      <c r="F384" s="12" t="s">
        <v>43</v>
      </c>
      <c r="G384" s="21">
        <f>G385</f>
        <v>8488704</v>
      </c>
      <c r="H384" s="21">
        <f t="shared" ref="H384" si="165">H385</f>
        <v>69781</v>
      </c>
      <c r="I384" s="21">
        <f t="shared" si="141"/>
        <v>8558485</v>
      </c>
    </row>
    <row r="385" spans="2:9" x14ac:dyDescent="0.2">
      <c r="B385" s="122">
        <f t="shared" si="151"/>
        <v>380</v>
      </c>
      <c r="C385" s="74">
        <v>310</v>
      </c>
      <c r="D385" s="161"/>
      <c r="E385" s="75"/>
      <c r="F385" s="7" t="s">
        <v>230</v>
      </c>
      <c r="G385" s="124">
        <f>G388+G386+G387</f>
        <v>8488704</v>
      </c>
      <c r="H385" s="124">
        <f>H388+H386</f>
        <v>69781</v>
      </c>
      <c r="I385" s="124">
        <f>I388+I386</f>
        <v>8557985</v>
      </c>
    </row>
    <row r="386" spans="2:9" x14ac:dyDescent="0.2">
      <c r="B386" s="122">
        <f t="shared" si="151"/>
        <v>381</v>
      </c>
      <c r="C386" s="76"/>
      <c r="D386" s="72">
        <v>311</v>
      </c>
      <c r="E386" s="77"/>
      <c r="F386" s="3" t="s">
        <v>635</v>
      </c>
      <c r="G386" s="118">
        <v>4400</v>
      </c>
      <c r="H386" s="118"/>
      <c r="I386" s="118">
        <f t="shared" si="141"/>
        <v>4400</v>
      </c>
    </row>
    <row r="387" spans="2:9" x14ac:dyDescent="0.2">
      <c r="B387" s="122">
        <f t="shared" si="151"/>
        <v>382</v>
      </c>
      <c r="C387" s="76"/>
      <c r="D387" s="72">
        <v>311</v>
      </c>
      <c r="E387" s="77"/>
      <c r="F387" s="3" t="s">
        <v>665</v>
      </c>
      <c r="G387" s="118">
        <v>500</v>
      </c>
      <c r="H387" s="118"/>
      <c r="I387" s="118">
        <f t="shared" si="141"/>
        <v>500</v>
      </c>
    </row>
    <row r="388" spans="2:9" x14ac:dyDescent="0.2">
      <c r="B388" s="122">
        <f t="shared" si="151"/>
        <v>383</v>
      </c>
      <c r="C388" s="76"/>
      <c r="D388" s="72">
        <v>312</v>
      </c>
      <c r="E388" s="77"/>
      <c r="F388" s="3" t="s">
        <v>195</v>
      </c>
      <c r="G388" s="118">
        <f>G389+G402</f>
        <v>8483804</v>
      </c>
      <c r="H388" s="118">
        <f t="shared" ref="H388" si="166">H389+H402</f>
        <v>69781</v>
      </c>
      <c r="I388" s="118">
        <f t="shared" si="141"/>
        <v>8553585</v>
      </c>
    </row>
    <row r="389" spans="2:9" x14ac:dyDescent="0.2">
      <c r="B389" s="122">
        <f t="shared" si="151"/>
        <v>384</v>
      </c>
      <c r="C389" s="78"/>
      <c r="D389" s="73"/>
      <c r="E389" s="79">
        <v>312001</v>
      </c>
      <c r="F389" s="4" t="s">
        <v>401</v>
      </c>
      <c r="G389" s="92">
        <f>SUM(G390:G394)</f>
        <v>855006</v>
      </c>
      <c r="H389" s="92">
        <f>SUM(H390:H401)</f>
        <v>66252</v>
      </c>
      <c r="I389" s="92">
        <f t="shared" si="141"/>
        <v>921258</v>
      </c>
    </row>
    <row r="390" spans="2:9" x14ac:dyDescent="0.2">
      <c r="B390" s="122">
        <f t="shared" si="151"/>
        <v>385</v>
      </c>
      <c r="C390" s="15"/>
      <c r="D390" s="5"/>
      <c r="E390" s="16"/>
      <c r="F390" s="5" t="s">
        <v>288</v>
      </c>
      <c r="G390" s="93">
        <f>833280-48700</f>
        <v>784580</v>
      </c>
      <c r="H390" s="93"/>
      <c r="I390" s="93">
        <f t="shared" si="141"/>
        <v>784580</v>
      </c>
    </row>
    <row r="391" spans="2:9" x14ac:dyDescent="0.2">
      <c r="B391" s="122">
        <f t="shared" si="151"/>
        <v>386</v>
      </c>
      <c r="C391" s="15"/>
      <c r="D391" s="5"/>
      <c r="E391" s="16"/>
      <c r="F391" s="5" t="s">
        <v>289</v>
      </c>
      <c r="G391" s="93">
        <f>7900+8526</f>
        <v>16426</v>
      </c>
      <c r="H391" s="93"/>
      <c r="I391" s="93">
        <f t="shared" si="141"/>
        <v>16426</v>
      </c>
    </row>
    <row r="392" spans="2:9" x14ac:dyDescent="0.2">
      <c r="B392" s="122">
        <f t="shared" si="151"/>
        <v>387</v>
      </c>
      <c r="C392" s="15"/>
      <c r="D392" s="5"/>
      <c r="E392" s="16"/>
      <c r="F392" s="5" t="s">
        <v>287</v>
      </c>
      <c r="G392" s="93">
        <v>14000</v>
      </c>
      <c r="H392" s="93"/>
      <c r="I392" s="93">
        <f t="shared" ref="I392:I437" si="167">G392+H392</f>
        <v>14000</v>
      </c>
    </row>
    <row r="393" spans="2:9" x14ac:dyDescent="0.2">
      <c r="B393" s="122">
        <f t="shared" si="151"/>
        <v>388</v>
      </c>
      <c r="C393" s="15"/>
      <c r="D393" s="5"/>
      <c r="E393" s="16"/>
      <c r="F393" s="5" t="s">
        <v>377</v>
      </c>
      <c r="G393" s="93">
        <f>55000-30000+6000</f>
        <v>31000</v>
      </c>
      <c r="H393" s="93"/>
      <c r="I393" s="93">
        <f t="shared" si="167"/>
        <v>31000</v>
      </c>
    </row>
    <row r="394" spans="2:9" x14ac:dyDescent="0.2">
      <c r="B394" s="122">
        <f t="shared" si="151"/>
        <v>389</v>
      </c>
      <c r="C394" s="15"/>
      <c r="D394" s="5"/>
      <c r="E394" s="16"/>
      <c r="F394" s="5" t="s">
        <v>585</v>
      </c>
      <c r="G394" s="93">
        <v>9000</v>
      </c>
      <c r="H394" s="93"/>
      <c r="I394" s="93">
        <f t="shared" si="167"/>
        <v>9000</v>
      </c>
    </row>
    <row r="395" spans="2:9" x14ac:dyDescent="0.2">
      <c r="B395" s="122">
        <f t="shared" si="151"/>
        <v>390</v>
      </c>
      <c r="C395" s="15"/>
      <c r="D395" s="5"/>
      <c r="E395" s="16"/>
      <c r="F395" s="5" t="s">
        <v>657</v>
      </c>
      <c r="G395" s="93">
        <v>0</v>
      </c>
      <c r="H395" s="93">
        <v>15000</v>
      </c>
      <c r="I395" s="93">
        <f t="shared" si="167"/>
        <v>15000</v>
      </c>
    </row>
    <row r="396" spans="2:9" x14ac:dyDescent="0.2">
      <c r="B396" s="122">
        <f t="shared" si="151"/>
        <v>391</v>
      </c>
      <c r="C396" s="15"/>
      <c r="D396" s="5"/>
      <c r="E396" s="16"/>
      <c r="F396" s="5" t="s">
        <v>667</v>
      </c>
      <c r="G396" s="93">
        <v>0</v>
      </c>
      <c r="H396" s="93">
        <v>8565</v>
      </c>
      <c r="I396" s="93">
        <f t="shared" si="167"/>
        <v>8565</v>
      </c>
    </row>
    <row r="397" spans="2:9" x14ac:dyDescent="0.2">
      <c r="B397" s="122">
        <f t="shared" si="151"/>
        <v>392</v>
      </c>
      <c r="C397" s="15"/>
      <c r="D397" s="5"/>
      <c r="E397" s="16"/>
      <c r="F397" s="5" t="s">
        <v>668</v>
      </c>
      <c r="G397" s="93">
        <v>0</v>
      </c>
      <c r="H397" s="93">
        <v>5916</v>
      </c>
      <c r="I397" s="93">
        <f t="shared" si="167"/>
        <v>5916</v>
      </c>
    </row>
    <row r="398" spans="2:9" s="47" customFormat="1" ht="22.5" x14ac:dyDescent="0.2">
      <c r="B398" s="437">
        <f t="shared" si="151"/>
        <v>393</v>
      </c>
      <c r="C398" s="158"/>
      <c r="D398" s="154"/>
      <c r="E398" s="438"/>
      <c r="F398" s="180" t="s">
        <v>669</v>
      </c>
      <c r="G398" s="157">
        <v>0</v>
      </c>
      <c r="H398" s="157">
        <v>3286</v>
      </c>
      <c r="I398" s="157">
        <f t="shared" si="167"/>
        <v>3286</v>
      </c>
    </row>
    <row r="399" spans="2:9" s="442" customFormat="1" ht="22.5" x14ac:dyDescent="0.2">
      <c r="B399" s="439">
        <f t="shared" si="151"/>
        <v>394</v>
      </c>
      <c r="C399" s="440"/>
      <c r="D399" s="180"/>
      <c r="E399" s="159"/>
      <c r="F399" s="180" t="s">
        <v>670</v>
      </c>
      <c r="G399" s="441">
        <v>0</v>
      </c>
      <c r="H399" s="441">
        <v>4724</v>
      </c>
      <c r="I399" s="441">
        <f t="shared" si="167"/>
        <v>4724</v>
      </c>
    </row>
    <row r="400" spans="2:9" s="442" customFormat="1" ht="33.75" x14ac:dyDescent="0.2">
      <c r="B400" s="439">
        <f t="shared" si="151"/>
        <v>395</v>
      </c>
      <c r="C400" s="440"/>
      <c r="D400" s="180"/>
      <c r="E400" s="159"/>
      <c r="F400" s="180" t="s">
        <v>671</v>
      </c>
      <c r="G400" s="441">
        <v>0</v>
      </c>
      <c r="H400" s="441">
        <v>7692</v>
      </c>
      <c r="I400" s="441">
        <f t="shared" si="167"/>
        <v>7692</v>
      </c>
    </row>
    <row r="401" spans="2:9" x14ac:dyDescent="0.2">
      <c r="B401" s="122">
        <f t="shared" si="151"/>
        <v>396</v>
      </c>
      <c r="C401" s="15"/>
      <c r="D401" s="5"/>
      <c r="E401" s="16"/>
      <c r="F401" s="5" t="s">
        <v>672</v>
      </c>
      <c r="G401" s="93">
        <v>0</v>
      </c>
      <c r="H401" s="93">
        <v>21069</v>
      </c>
      <c r="I401" s="93">
        <f t="shared" si="167"/>
        <v>21069</v>
      </c>
    </row>
    <row r="402" spans="2:9" x14ac:dyDescent="0.2">
      <c r="B402" s="122">
        <f t="shared" si="151"/>
        <v>397</v>
      </c>
      <c r="C402" s="78"/>
      <c r="D402" s="73"/>
      <c r="E402" s="79">
        <v>312012</v>
      </c>
      <c r="F402" s="4" t="s">
        <v>400</v>
      </c>
      <c r="G402" s="92">
        <f>SUM(G403:G409)</f>
        <v>7628798</v>
      </c>
      <c r="H402" s="92">
        <f t="shared" ref="H402" si="168">SUM(H403:H409)</f>
        <v>3529</v>
      </c>
      <c r="I402" s="93">
        <f t="shared" si="167"/>
        <v>7632327</v>
      </c>
    </row>
    <row r="403" spans="2:9" x14ac:dyDescent="0.2">
      <c r="B403" s="122">
        <f t="shared" si="151"/>
        <v>398</v>
      </c>
      <c r="C403" s="15"/>
      <c r="D403" s="5"/>
      <c r="E403" s="16"/>
      <c r="F403" s="5" t="s">
        <v>658</v>
      </c>
      <c r="G403" s="93">
        <f>7366500-54227-5932</f>
        <v>7306341</v>
      </c>
      <c r="H403" s="93"/>
      <c r="I403" s="93">
        <f t="shared" si="167"/>
        <v>7306341</v>
      </c>
    </row>
    <row r="404" spans="2:9" x14ac:dyDescent="0.2">
      <c r="B404" s="122">
        <f t="shared" ref="B404:B405" si="169">B403+1</f>
        <v>399</v>
      </c>
      <c r="C404" s="15"/>
      <c r="D404" s="5"/>
      <c r="E404" s="16"/>
      <c r="F404" s="5" t="s">
        <v>659</v>
      </c>
      <c r="G404" s="93">
        <f>86935-554</f>
        <v>86381</v>
      </c>
      <c r="H404" s="93"/>
      <c r="I404" s="93">
        <f t="shared" si="167"/>
        <v>86381</v>
      </c>
    </row>
    <row r="405" spans="2:9" x14ac:dyDescent="0.2">
      <c r="B405" s="122">
        <f t="shared" si="169"/>
        <v>400</v>
      </c>
      <c r="C405" s="15"/>
      <c r="D405" s="5"/>
      <c r="E405" s="16"/>
      <c r="F405" s="5" t="s">
        <v>660</v>
      </c>
      <c r="G405" s="93">
        <v>98600</v>
      </c>
      <c r="H405" s="93">
        <v>1755</v>
      </c>
      <c r="I405" s="93">
        <f t="shared" si="167"/>
        <v>100355</v>
      </c>
    </row>
    <row r="406" spans="2:9" x14ac:dyDescent="0.2">
      <c r="B406" s="122">
        <f t="shared" ref="B406:B410" si="170">B405+1</f>
        <v>401</v>
      </c>
      <c r="C406" s="15"/>
      <c r="D406" s="5"/>
      <c r="E406" s="16"/>
      <c r="F406" s="5" t="s">
        <v>661</v>
      </c>
      <c r="G406" s="93">
        <v>52000</v>
      </c>
      <c r="H406" s="93"/>
      <c r="I406" s="93">
        <f t="shared" si="167"/>
        <v>52000</v>
      </c>
    </row>
    <row r="407" spans="2:9" x14ac:dyDescent="0.2">
      <c r="B407" s="122">
        <f t="shared" si="170"/>
        <v>402</v>
      </c>
      <c r="C407" s="15"/>
      <c r="D407" s="5"/>
      <c r="E407" s="16"/>
      <c r="F407" s="5" t="s">
        <v>135</v>
      </c>
      <c r="G407" s="93">
        <f>42515-39</f>
        <v>42476</v>
      </c>
      <c r="H407" s="93">
        <v>1774</v>
      </c>
      <c r="I407" s="93">
        <f t="shared" si="167"/>
        <v>44250</v>
      </c>
    </row>
    <row r="408" spans="2:9" x14ac:dyDescent="0.2">
      <c r="B408" s="122">
        <f t="shared" si="170"/>
        <v>403</v>
      </c>
      <c r="C408" s="15"/>
      <c r="D408" s="5"/>
      <c r="E408" s="16"/>
      <c r="F408" s="5" t="s">
        <v>662</v>
      </c>
      <c r="G408" s="93">
        <v>18500</v>
      </c>
      <c r="H408" s="93"/>
      <c r="I408" s="93">
        <f t="shared" si="167"/>
        <v>18500</v>
      </c>
    </row>
    <row r="409" spans="2:9" ht="13.5" thickBot="1" x14ac:dyDescent="0.25">
      <c r="B409" s="122">
        <f t="shared" si="170"/>
        <v>404</v>
      </c>
      <c r="C409" s="15"/>
      <c r="D409" s="5"/>
      <c r="E409" s="16"/>
      <c r="F409" s="5" t="s">
        <v>663</v>
      </c>
      <c r="G409" s="93">
        <v>24500</v>
      </c>
      <c r="H409" s="93"/>
      <c r="I409" s="93">
        <f t="shared" si="167"/>
        <v>24500</v>
      </c>
    </row>
    <row r="410" spans="2:9" ht="15.75" thickBot="1" x14ac:dyDescent="0.3">
      <c r="B410" s="122">
        <f t="shared" si="170"/>
        <v>405</v>
      </c>
      <c r="C410" s="70">
        <v>1</v>
      </c>
      <c r="D410" s="70"/>
      <c r="E410" s="70"/>
      <c r="F410" s="233" t="s">
        <v>54</v>
      </c>
      <c r="G410" s="236">
        <f>G411</f>
        <v>5300</v>
      </c>
      <c r="H410" s="236">
        <f t="shared" ref="H410" si="171">H411</f>
        <v>470</v>
      </c>
      <c r="I410" s="236">
        <f t="shared" si="167"/>
        <v>5770</v>
      </c>
    </row>
    <row r="411" spans="2:9" x14ac:dyDescent="0.2">
      <c r="B411" s="122">
        <f t="shared" si="151"/>
        <v>406</v>
      </c>
      <c r="C411" s="76">
        <v>310</v>
      </c>
      <c r="D411" s="163"/>
      <c r="E411" s="77"/>
      <c r="F411" s="234" t="s">
        <v>230</v>
      </c>
      <c r="G411" s="118">
        <f>G413+G412</f>
        <v>5300</v>
      </c>
      <c r="H411" s="118">
        <f t="shared" ref="H411" si="172">H413+H412</f>
        <v>470</v>
      </c>
      <c r="I411" s="118">
        <f t="shared" si="167"/>
        <v>5770</v>
      </c>
    </row>
    <row r="412" spans="2:9" x14ac:dyDescent="0.2">
      <c r="B412" s="122">
        <f t="shared" si="151"/>
        <v>407</v>
      </c>
      <c r="C412" s="78"/>
      <c r="D412" s="73">
        <v>311</v>
      </c>
      <c r="E412" s="79"/>
      <c r="F412" s="136" t="s">
        <v>576</v>
      </c>
      <c r="G412" s="92">
        <v>450</v>
      </c>
      <c r="H412" s="92"/>
      <c r="I412" s="92">
        <f t="shared" si="167"/>
        <v>450</v>
      </c>
    </row>
    <row r="413" spans="2:9" ht="13.5" thickBot="1" x14ac:dyDescent="0.25">
      <c r="B413" s="122">
        <f t="shared" si="151"/>
        <v>408</v>
      </c>
      <c r="C413" s="150"/>
      <c r="D413" s="73">
        <v>312</v>
      </c>
      <c r="E413" s="79"/>
      <c r="F413" s="136" t="s">
        <v>195</v>
      </c>
      <c r="G413" s="92">
        <v>4850</v>
      </c>
      <c r="H413" s="92">
        <v>470</v>
      </c>
      <c r="I413" s="92">
        <f t="shared" si="167"/>
        <v>5320</v>
      </c>
    </row>
    <row r="414" spans="2:9" ht="15.75" thickBot="1" x14ac:dyDescent="0.3">
      <c r="B414" s="122">
        <f t="shared" si="151"/>
        <v>409</v>
      </c>
      <c r="C414" s="80">
        <v>5</v>
      </c>
      <c r="D414" s="162"/>
      <c r="E414" s="81"/>
      <c r="F414" s="233" t="s">
        <v>116</v>
      </c>
      <c r="G414" s="236">
        <f>G415</f>
        <v>271900</v>
      </c>
      <c r="H414" s="236">
        <f t="shared" ref="H414" si="173">H415</f>
        <v>2100</v>
      </c>
      <c r="I414" s="236">
        <f t="shared" si="167"/>
        <v>274000</v>
      </c>
    </row>
    <row r="415" spans="2:9" x14ac:dyDescent="0.2">
      <c r="B415" s="122">
        <f t="shared" si="151"/>
        <v>410</v>
      </c>
      <c r="C415" s="76">
        <v>310</v>
      </c>
      <c r="D415" s="163"/>
      <c r="E415" s="77"/>
      <c r="F415" s="234" t="s">
        <v>230</v>
      </c>
      <c r="G415" s="118">
        <f>G417+G416</f>
        <v>271900</v>
      </c>
      <c r="H415" s="118">
        <f t="shared" ref="H415" si="174">H417+H416</f>
        <v>2100</v>
      </c>
      <c r="I415" s="118">
        <f t="shared" si="167"/>
        <v>274000</v>
      </c>
    </row>
    <row r="416" spans="2:9" x14ac:dyDescent="0.2">
      <c r="B416" s="122">
        <f t="shared" si="151"/>
        <v>411</v>
      </c>
      <c r="C416" s="78"/>
      <c r="D416" s="73">
        <v>311</v>
      </c>
      <c r="E416" s="79"/>
      <c r="F416" s="136" t="s">
        <v>576</v>
      </c>
      <c r="G416" s="92">
        <v>400</v>
      </c>
      <c r="H416" s="92">
        <v>2100</v>
      </c>
      <c r="I416" s="92">
        <f t="shared" si="167"/>
        <v>2500</v>
      </c>
    </row>
    <row r="417" spans="2:9" x14ac:dyDescent="0.2">
      <c r="B417" s="122">
        <f t="shared" si="151"/>
        <v>412</v>
      </c>
      <c r="C417" s="78"/>
      <c r="D417" s="73">
        <v>312</v>
      </c>
      <c r="E417" s="79"/>
      <c r="F417" s="136" t="s">
        <v>195</v>
      </c>
      <c r="G417" s="92">
        <f>G418</f>
        <v>271500</v>
      </c>
      <c r="H417" s="92">
        <f t="shared" ref="H417" si="175">H418</f>
        <v>0</v>
      </c>
      <c r="I417" s="92">
        <f t="shared" si="167"/>
        <v>271500</v>
      </c>
    </row>
    <row r="418" spans="2:9" ht="13.5" thickBot="1" x14ac:dyDescent="0.25">
      <c r="B418" s="122">
        <f t="shared" si="151"/>
        <v>413</v>
      </c>
      <c r="C418" s="15"/>
      <c r="D418" s="149"/>
      <c r="E418" s="16">
        <v>312001</v>
      </c>
      <c r="F418" s="15" t="s">
        <v>239</v>
      </c>
      <c r="G418" s="93">
        <f>328500-57000</f>
        <v>271500</v>
      </c>
      <c r="H418" s="93"/>
      <c r="I418" s="93">
        <f t="shared" si="167"/>
        <v>271500</v>
      </c>
    </row>
    <row r="419" spans="2:9" ht="15.75" thickBot="1" x14ac:dyDescent="0.3">
      <c r="B419" s="122">
        <f t="shared" si="151"/>
        <v>414</v>
      </c>
      <c r="C419" s="80">
        <v>6</v>
      </c>
      <c r="D419" s="162"/>
      <c r="E419" s="81"/>
      <c r="F419" s="233" t="s">
        <v>12</v>
      </c>
      <c r="G419" s="236">
        <f>G420</f>
        <v>1511</v>
      </c>
      <c r="H419" s="236">
        <f t="shared" ref="H419:H420" si="176">H420</f>
        <v>0</v>
      </c>
      <c r="I419" s="236">
        <f t="shared" si="167"/>
        <v>1511</v>
      </c>
    </row>
    <row r="420" spans="2:9" x14ac:dyDescent="0.2">
      <c r="B420" s="122">
        <f t="shared" si="151"/>
        <v>415</v>
      </c>
      <c r="C420" s="76">
        <v>310</v>
      </c>
      <c r="D420" s="163"/>
      <c r="E420" s="77"/>
      <c r="F420" s="234" t="s">
        <v>230</v>
      </c>
      <c r="G420" s="118">
        <f>G421</f>
        <v>1511</v>
      </c>
      <c r="H420" s="118">
        <f t="shared" si="176"/>
        <v>0</v>
      </c>
      <c r="I420" s="118">
        <f t="shared" si="167"/>
        <v>1511</v>
      </c>
    </row>
    <row r="421" spans="2:9" ht="13.5" thickBot="1" x14ac:dyDescent="0.25">
      <c r="B421" s="122">
        <f t="shared" si="151"/>
        <v>416</v>
      </c>
      <c r="C421" s="78"/>
      <c r="D421" s="73">
        <v>311</v>
      </c>
      <c r="E421" s="79"/>
      <c r="F421" s="136" t="s">
        <v>576</v>
      </c>
      <c r="G421" s="92">
        <v>1511</v>
      </c>
      <c r="H421" s="92"/>
      <c r="I421" s="92">
        <f t="shared" si="167"/>
        <v>1511</v>
      </c>
    </row>
    <row r="422" spans="2:9" ht="15.75" thickBot="1" x14ac:dyDescent="0.3">
      <c r="B422" s="122">
        <f t="shared" si="151"/>
        <v>417</v>
      </c>
      <c r="C422" s="80">
        <v>7</v>
      </c>
      <c r="D422" s="162"/>
      <c r="E422" s="81"/>
      <c r="F422" s="233" t="s">
        <v>13</v>
      </c>
      <c r="G422" s="236">
        <f>G423</f>
        <v>366</v>
      </c>
      <c r="H422" s="236">
        <f t="shared" ref="H422:H423" si="177">H423</f>
        <v>0</v>
      </c>
      <c r="I422" s="236">
        <f t="shared" si="167"/>
        <v>366</v>
      </c>
    </row>
    <row r="423" spans="2:9" x14ac:dyDescent="0.2">
      <c r="B423" s="122">
        <f t="shared" ref="B423:B437" si="178">B422+1</f>
        <v>418</v>
      </c>
      <c r="C423" s="76">
        <v>310</v>
      </c>
      <c r="D423" s="163"/>
      <c r="E423" s="77"/>
      <c r="F423" s="234" t="s">
        <v>230</v>
      </c>
      <c r="G423" s="118">
        <f>G424</f>
        <v>366</v>
      </c>
      <c r="H423" s="118">
        <f t="shared" si="177"/>
        <v>0</v>
      </c>
      <c r="I423" s="118">
        <f t="shared" si="167"/>
        <v>366</v>
      </c>
    </row>
    <row r="424" spans="2:9" ht="13.5" thickBot="1" x14ac:dyDescent="0.25">
      <c r="B424" s="122">
        <f t="shared" si="178"/>
        <v>419</v>
      </c>
      <c r="C424" s="78"/>
      <c r="D424" s="73">
        <v>311</v>
      </c>
      <c r="E424" s="79"/>
      <c r="F424" s="136" t="s">
        <v>576</v>
      </c>
      <c r="G424" s="92">
        <v>366</v>
      </c>
      <c r="H424" s="92"/>
      <c r="I424" s="92">
        <f t="shared" si="167"/>
        <v>366</v>
      </c>
    </row>
    <row r="425" spans="2:9" ht="15.75" thickBot="1" x14ac:dyDescent="0.3">
      <c r="B425" s="122">
        <f t="shared" si="178"/>
        <v>420</v>
      </c>
      <c r="C425" s="80">
        <v>9</v>
      </c>
      <c r="D425" s="162"/>
      <c r="E425" s="81"/>
      <c r="F425" s="233" t="s">
        <v>8</v>
      </c>
      <c r="G425" s="236">
        <f>G426</f>
        <v>166</v>
      </c>
      <c r="H425" s="236">
        <f t="shared" ref="H425:H426" si="179">H426</f>
        <v>0</v>
      </c>
      <c r="I425" s="236">
        <f t="shared" si="167"/>
        <v>166</v>
      </c>
    </row>
    <row r="426" spans="2:9" x14ac:dyDescent="0.2">
      <c r="B426" s="122">
        <f t="shared" si="178"/>
        <v>421</v>
      </c>
      <c r="C426" s="76">
        <v>310</v>
      </c>
      <c r="D426" s="163"/>
      <c r="E426" s="77"/>
      <c r="F426" s="234" t="s">
        <v>290</v>
      </c>
      <c r="G426" s="118">
        <f>G427</f>
        <v>166</v>
      </c>
      <c r="H426" s="118">
        <f t="shared" si="179"/>
        <v>0</v>
      </c>
      <c r="I426" s="118">
        <f t="shared" si="167"/>
        <v>166</v>
      </c>
    </row>
    <row r="427" spans="2:9" ht="13.5" thickBot="1" x14ac:dyDescent="0.25">
      <c r="B427" s="122">
        <f t="shared" si="178"/>
        <v>422</v>
      </c>
      <c r="C427" s="78"/>
      <c r="D427" s="73">
        <v>311</v>
      </c>
      <c r="E427" s="79"/>
      <c r="F427" s="136" t="s">
        <v>576</v>
      </c>
      <c r="G427" s="92">
        <v>166</v>
      </c>
      <c r="H427" s="92"/>
      <c r="I427" s="92">
        <f t="shared" si="167"/>
        <v>166</v>
      </c>
    </row>
    <row r="428" spans="2:9" ht="15.75" thickBot="1" x14ac:dyDescent="0.3">
      <c r="B428" s="122">
        <f t="shared" si="178"/>
        <v>423</v>
      </c>
      <c r="C428" s="80">
        <v>10</v>
      </c>
      <c r="D428" s="162"/>
      <c r="E428" s="81"/>
      <c r="F428" s="233" t="s">
        <v>2</v>
      </c>
      <c r="G428" s="236">
        <f>G429</f>
        <v>17111</v>
      </c>
      <c r="H428" s="236">
        <f t="shared" ref="H428:H429" si="180">H429</f>
        <v>0</v>
      </c>
      <c r="I428" s="236">
        <f t="shared" si="167"/>
        <v>17111</v>
      </c>
    </row>
    <row r="429" spans="2:9" x14ac:dyDescent="0.2">
      <c r="B429" s="122">
        <f t="shared" si="178"/>
        <v>424</v>
      </c>
      <c r="C429" s="76">
        <v>310</v>
      </c>
      <c r="D429" s="163"/>
      <c r="E429" s="77"/>
      <c r="F429" s="234" t="s">
        <v>230</v>
      </c>
      <c r="G429" s="118">
        <f>G430</f>
        <v>17111</v>
      </c>
      <c r="H429" s="118">
        <f t="shared" si="180"/>
        <v>0</v>
      </c>
      <c r="I429" s="118">
        <f t="shared" si="167"/>
        <v>17111</v>
      </c>
    </row>
    <row r="430" spans="2:9" ht="13.5" thickBot="1" x14ac:dyDescent="0.25">
      <c r="B430" s="122">
        <f t="shared" si="178"/>
        <v>425</v>
      </c>
      <c r="C430" s="78"/>
      <c r="D430" s="73">
        <v>311</v>
      </c>
      <c r="E430" s="79"/>
      <c r="F430" s="136" t="s">
        <v>576</v>
      </c>
      <c r="G430" s="92">
        <v>17111</v>
      </c>
      <c r="H430" s="92"/>
      <c r="I430" s="92">
        <f t="shared" si="167"/>
        <v>17111</v>
      </c>
    </row>
    <row r="431" spans="2:9" ht="15.75" thickBot="1" x14ac:dyDescent="0.3">
      <c r="B431" s="122">
        <f t="shared" si="178"/>
        <v>426</v>
      </c>
      <c r="C431" s="80">
        <v>12</v>
      </c>
      <c r="D431" s="162"/>
      <c r="E431" s="81"/>
      <c r="F431" s="233" t="s">
        <v>9</v>
      </c>
      <c r="G431" s="236">
        <f>G432</f>
        <v>715</v>
      </c>
      <c r="H431" s="236">
        <f t="shared" ref="H431:H432" si="181">H432</f>
        <v>0</v>
      </c>
      <c r="I431" s="236">
        <f t="shared" si="167"/>
        <v>715</v>
      </c>
    </row>
    <row r="432" spans="2:9" x14ac:dyDescent="0.2">
      <c r="B432" s="122">
        <f t="shared" si="178"/>
        <v>427</v>
      </c>
      <c r="C432" s="76">
        <v>310</v>
      </c>
      <c r="D432" s="163"/>
      <c r="E432" s="77"/>
      <c r="F432" s="234" t="s">
        <v>230</v>
      </c>
      <c r="G432" s="118">
        <f>G433</f>
        <v>715</v>
      </c>
      <c r="H432" s="118">
        <f t="shared" si="181"/>
        <v>0</v>
      </c>
      <c r="I432" s="118">
        <f t="shared" si="167"/>
        <v>715</v>
      </c>
    </row>
    <row r="433" spans="2:9" ht="13.5" thickBot="1" x14ac:dyDescent="0.25">
      <c r="B433" s="122">
        <f t="shared" si="178"/>
        <v>428</v>
      </c>
      <c r="C433" s="78"/>
      <c r="D433" s="73">
        <v>311</v>
      </c>
      <c r="E433" s="79"/>
      <c r="F433" s="136" t="s">
        <v>576</v>
      </c>
      <c r="G433" s="92">
        <v>715</v>
      </c>
      <c r="H433" s="92"/>
      <c r="I433" s="92">
        <f t="shared" si="167"/>
        <v>715</v>
      </c>
    </row>
    <row r="434" spans="2:9" ht="15.75" thickBot="1" x14ac:dyDescent="0.3">
      <c r="B434" s="122">
        <f t="shared" si="178"/>
        <v>429</v>
      </c>
      <c r="C434" s="80">
        <v>13</v>
      </c>
      <c r="D434" s="162"/>
      <c r="E434" s="81"/>
      <c r="F434" s="233" t="s">
        <v>19</v>
      </c>
      <c r="G434" s="236">
        <f>G435</f>
        <v>327</v>
      </c>
      <c r="H434" s="236">
        <f t="shared" ref="H434:H435" si="182">H435</f>
        <v>0</v>
      </c>
      <c r="I434" s="236">
        <f t="shared" si="167"/>
        <v>327</v>
      </c>
    </row>
    <row r="435" spans="2:9" x14ac:dyDescent="0.2">
      <c r="B435" s="122">
        <f t="shared" si="178"/>
        <v>430</v>
      </c>
      <c r="C435" s="76">
        <v>310</v>
      </c>
      <c r="D435" s="163"/>
      <c r="E435" s="77"/>
      <c r="F435" s="234" t="s">
        <v>230</v>
      </c>
      <c r="G435" s="118">
        <f>G436</f>
        <v>327</v>
      </c>
      <c r="H435" s="118">
        <f t="shared" si="182"/>
        <v>0</v>
      </c>
      <c r="I435" s="118">
        <f t="shared" si="167"/>
        <v>327</v>
      </c>
    </row>
    <row r="436" spans="2:9" x14ac:dyDescent="0.2">
      <c r="B436" s="122">
        <f t="shared" si="178"/>
        <v>431</v>
      </c>
      <c r="C436" s="78"/>
      <c r="D436" s="73">
        <v>311</v>
      </c>
      <c r="E436" s="79"/>
      <c r="F436" s="136" t="s">
        <v>576</v>
      </c>
      <c r="G436" s="92">
        <v>327</v>
      </c>
      <c r="H436" s="92"/>
      <c r="I436" s="92">
        <f t="shared" si="167"/>
        <v>327</v>
      </c>
    </row>
    <row r="437" spans="2:9" ht="15.75" thickBot="1" x14ac:dyDescent="0.25">
      <c r="B437" s="122">
        <f t="shared" si="178"/>
        <v>432</v>
      </c>
      <c r="C437" s="127"/>
      <c r="D437" s="128"/>
      <c r="E437" s="129"/>
      <c r="F437" s="235" t="s">
        <v>125</v>
      </c>
      <c r="G437" s="130">
        <f>G383+G22+G6</f>
        <v>42256614</v>
      </c>
      <c r="H437" s="130">
        <f>H383+H22+H6</f>
        <v>73251</v>
      </c>
      <c r="I437" s="130">
        <f t="shared" si="167"/>
        <v>42329865</v>
      </c>
    </row>
    <row r="438" spans="2:9" ht="13.5" thickBot="1" x14ac:dyDescent="0.25">
      <c r="H438" s="20"/>
      <c r="I438" s="20"/>
    </row>
    <row r="439" spans="2:9" ht="12.75" customHeight="1" x14ac:dyDescent="0.2">
      <c r="B439" s="458" t="s">
        <v>175</v>
      </c>
      <c r="C439" s="459"/>
      <c r="D439" s="459"/>
      <c r="E439" s="459"/>
      <c r="F439" s="460"/>
      <c r="G439" s="447" t="s">
        <v>505</v>
      </c>
      <c r="H439" s="447" t="s">
        <v>645</v>
      </c>
      <c r="I439" s="447" t="s">
        <v>646</v>
      </c>
    </row>
    <row r="440" spans="2:9" x14ac:dyDescent="0.2">
      <c r="B440" s="461"/>
      <c r="C440" s="462"/>
      <c r="D440" s="462"/>
      <c r="E440" s="462"/>
      <c r="F440" s="463"/>
      <c r="G440" s="448"/>
      <c r="H440" s="448"/>
      <c r="I440" s="448"/>
    </row>
    <row r="441" spans="2:9" x14ac:dyDescent="0.2">
      <c r="B441" s="450" t="s">
        <v>120</v>
      </c>
      <c r="C441" s="452" t="s">
        <v>121</v>
      </c>
      <c r="D441" s="454" t="s">
        <v>122</v>
      </c>
      <c r="E441" s="454" t="s">
        <v>124</v>
      </c>
      <c r="F441" s="456" t="s">
        <v>123</v>
      </c>
      <c r="G441" s="448"/>
      <c r="H441" s="448"/>
      <c r="I441" s="448"/>
    </row>
    <row r="442" spans="2:9" ht="13.5" thickBot="1" x14ac:dyDescent="0.25">
      <c r="B442" s="451"/>
      <c r="C442" s="453"/>
      <c r="D442" s="455"/>
      <c r="E442" s="455"/>
      <c r="F442" s="457"/>
      <c r="G442" s="449"/>
      <c r="H442" s="449"/>
      <c r="I442" s="449"/>
    </row>
    <row r="443" spans="2:9" ht="17.25" thickTop="1" thickBot="1" x14ac:dyDescent="0.3">
      <c r="B443" s="122">
        <f t="shared" ref="B443:B474" si="183">B442+1</f>
        <v>1</v>
      </c>
      <c r="C443" s="69">
        <v>200</v>
      </c>
      <c r="D443" s="69"/>
      <c r="E443" s="69"/>
      <c r="F443" s="11" t="s">
        <v>174</v>
      </c>
      <c r="G443" s="125">
        <f>G444</f>
        <v>937434</v>
      </c>
      <c r="H443" s="125">
        <f t="shared" ref="H443:H444" si="184">H444</f>
        <v>0</v>
      </c>
      <c r="I443" s="125">
        <f t="shared" ref="I443:I474" si="185">G443+H443</f>
        <v>937434</v>
      </c>
    </row>
    <row r="444" spans="2:9" ht="15.75" thickBot="1" x14ac:dyDescent="0.3">
      <c r="B444" s="122">
        <f t="shared" si="183"/>
        <v>2</v>
      </c>
      <c r="C444" s="70"/>
      <c r="D444" s="70"/>
      <c r="E444" s="70"/>
      <c r="F444" s="12" t="s">
        <v>43</v>
      </c>
      <c r="G444" s="21">
        <f>G445</f>
        <v>937434</v>
      </c>
      <c r="H444" s="21">
        <f t="shared" si="184"/>
        <v>0</v>
      </c>
      <c r="I444" s="21">
        <f t="shared" si="185"/>
        <v>937434</v>
      </c>
    </row>
    <row r="445" spans="2:9" x14ac:dyDescent="0.2">
      <c r="B445" s="122">
        <f t="shared" si="183"/>
        <v>3</v>
      </c>
      <c r="C445" s="71">
        <v>230</v>
      </c>
      <c r="D445" s="71"/>
      <c r="E445" s="71"/>
      <c r="F445" s="7" t="s">
        <v>175</v>
      </c>
      <c r="G445" s="124">
        <f>G446+G448</f>
        <v>937434</v>
      </c>
      <c r="H445" s="124">
        <f t="shared" ref="H445" si="186">H446+H448</f>
        <v>0</v>
      </c>
      <c r="I445" s="124">
        <f t="shared" si="185"/>
        <v>937434</v>
      </c>
    </row>
    <row r="446" spans="2:9" x14ac:dyDescent="0.2">
      <c r="B446" s="122">
        <f t="shared" si="183"/>
        <v>4</v>
      </c>
      <c r="C446" s="72"/>
      <c r="D446" s="72">
        <v>231</v>
      </c>
      <c r="E446" s="72"/>
      <c r="F446" s="3" t="s">
        <v>269</v>
      </c>
      <c r="G446" s="118">
        <f>G447</f>
        <v>550000</v>
      </c>
      <c r="H446" s="118">
        <f t="shared" ref="H446" si="187">H447</f>
        <v>0</v>
      </c>
      <c r="I446" s="118">
        <f t="shared" si="185"/>
        <v>550000</v>
      </c>
    </row>
    <row r="447" spans="2:9" x14ac:dyDescent="0.2">
      <c r="B447" s="122">
        <f t="shared" si="183"/>
        <v>5</v>
      </c>
      <c r="C447" s="73"/>
      <c r="D447" s="73"/>
      <c r="E447" s="73">
        <v>231</v>
      </c>
      <c r="F447" s="4" t="s">
        <v>269</v>
      </c>
      <c r="G447" s="92">
        <f>400000+150000</f>
        <v>550000</v>
      </c>
      <c r="H447" s="92"/>
      <c r="I447" s="92">
        <f t="shared" si="185"/>
        <v>550000</v>
      </c>
    </row>
    <row r="448" spans="2:9" x14ac:dyDescent="0.2">
      <c r="B448" s="122">
        <f t="shared" si="183"/>
        <v>6</v>
      </c>
      <c r="C448" s="72"/>
      <c r="D448" s="72">
        <v>233</v>
      </c>
      <c r="E448" s="72"/>
      <c r="F448" s="3" t="s">
        <v>176</v>
      </c>
      <c r="G448" s="118">
        <f>G449</f>
        <v>387434</v>
      </c>
      <c r="H448" s="118">
        <f t="shared" ref="H448" si="188">H449</f>
        <v>0</v>
      </c>
      <c r="I448" s="118">
        <f t="shared" si="185"/>
        <v>387434</v>
      </c>
    </row>
    <row r="449" spans="2:9" x14ac:dyDescent="0.2">
      <c r="B449" s="122">
        <f t="shared" si="183"/>
        <v>7</v>
      </c>
      <c r="C449" s="73"/>
      <c r="D449" s="73"/>
      <c r="E449" s="73">
        <v>233001</v>
      </c>
      <c r="F449" s="4" t="s">
        <v>177</v>
      </c>
      <c r="G449" s="92">
        <f>200000+187434</f>
        <v>387434</v>
      </c>
      <c r="H449" s="92"/>
      <c r="I449" s="92">
        <f t="shared" si="185"/>
        <v>387434</v>
      </c>
    </row>
    <row r="450" spans="2:9" ht="16.5" thickBot="1" x14ac:dyDescent="0.3">
      <c r="B450" s="122">
        <f t="shared" si="183"/>
        <v>8</v>
      </c>
      <c r="C450" s="69">
        <v>300</v>
      </c>
      <c r="D450" s="69"/>
      <c r="E450" s="69"/>
      <c r="F450" s="11" t="s">
        <v>229</v>
      </c>
      <c r="G450" s="125">
        <f>G451+G471</f>
        <v>3924611</v>
      </c>
      <c r="H450" s="125">
        <f>H451+H471</f>
        <v>3152419</v>
      </c>
      <c r="I450" s="125">
        <f t="shared" si="185"/>
        <v>7077030</v>
      </c>
    </row>
    <row r="451" spans="2:9" ht="15.75" thickBot="1" x14ac:dyDescent="0.3">
      <c r="B451" s="122">
        <f t="shared" si="183"/>
        <v>9</v>
      </c>
      <c r="C451" s="70"/>
      <c r="D451" s="70"/>
      <c r="E451" s="70"/>
      <c r="F451" s="12" t="s">
        <v>43</v>
      </c>
      <c r="G451" s="21">
        <f>G452</f>
        <v>3923645</v>
      </c>
      <c r="H451" s="21">
        <f t="shared" ref="H451" si="189">H452</f>
        <v>3152419</v>
      </c>
      <c r="I451" s="21">
        <f t="shared" si="185"/>
        <v>7076064</v>
      </c>
    </row>
    <row r="452" spans="2:9" x14ac:dyDescent="0.2">
      <c r="B452" s="122">
        <f t="shared" si="183"/>
        <v>10</v>
      </c>
      <c r="C452" s="71">
        <v>320</v>
      </c>
      <c r="D452" s="71"/>
      <c r="E452" s="71"/>
      <c r="F452" s="7" t="s">
        <v>290</v>
      </c>
      <c r="G452" s="124">
        <f>G454+G453</f>
        <v>3923645</v>
      </c>
      <c r="H452" s="124">
        <f t="shared" ref="H452" si="190">H454+H453</f>
        <v>3152419</v>
      </c>
      <c r="I452" s="124">
        <f t="shared" si="185"/>
        <v>7076064</v>
      </c>
    </row>
    <row r="453" spans="2:9" ht="24" x14ac:dyDescent="0.2">
      <c r="B453" s="122">
        <f t="shared" si="183"/>
        <v>11</v>
      </c>
      <c r="C453" s="72"/>
      <c r="D453" s="72">
        <v>321</v>
      </c>
      <c r="E453" s="72"/>
      <c r="F453" s="239" t="s">
        <v>639</v>
      </c>
      <c r="G453" s="240">
        <v>5354</v>
      </c>
      <c r="H453" s="240"/>
      <c r="I453" s="240">
        <f t="shared" si="185"/>
        <v>5354</v>
      </c>
    </row>
    <row r="454" spans="2:9" x14ac:dyDescent="0.2">
      <c r="B454" s="122">
        <f t="shared" si="183"/>
        <v>12</v>
      </c>
      <c r="C454" s="72"/>
      <c r="D454" s="72">
        <v>322</v>
      </c>
      <c r="E454" s="72"/>
      <c r="F454" s="3" t="s">
        <v>195</v>
      </c>
      <c r="G454" s="118">
        <f>G455</f>
        <v>3918291</v>
      </c>
      <c r="H454" s="118">
        <f t="shared" ref="H454" si="191">H455</f>
        <v>3152419</v>
      </c>
      <c r="I454" s="118">
        <f t="shared" si="185"/>
        <v>7070710</v>
      </c>
    </row>
    <row r="455" spans="2:9" x14ac:dyDescent="0.2">
      <c r="B455" s="122">
        <f t="shared" si="183"/>
        <v>13</v>
      </c>
      <c r="C455" s="73"/>
      <c r="D455" s="73"/>
      <c r="E455" s="73">
        <v>322001</v>
      </c>
      <c r="F455" s="4" t="s">
        <v>291</v>
      </c>
      <c r="G455" s="92">
        <f>SUM(G456:G462)</f>
        <v>3918291</v>
      </c>
      <c r="H455" s="92">
        <f>SUM(H456:H470)</f>
        <v>3152419</v>
      </c>
      <c r="I455" s="92">
        <f t="shared" si="185"/>
        <v>7070710</v>
      </c>
    </row>
    <row r="456" spans="2:9" x14ac:dyDescent="0.2">
      <c r="B456" s="122">
        <f t="shared" si="183"/>
        <v>14</v>
      </c>
      <c r="C456" s="148"/>
      <c r="D456" s="149"/>
      <c r="E456" s="149"/>
      <c r="F456" s="149" t="s">
        <v>437</v>
      </c>
      <c r="G456" s="179">
        <v>821934</v>
      </c>
      <c r="H456" s="179"/>
      <c r="I456" s="179">
        <f t="shared" si="185"/>
        <v>821934</v>
      </c>
    </row>
    <row r="457" spans="2:9" x14ac:dyDescent="0.2">
      <c r="B457" s="122">
        <f t="shared" si="183"/>
        <v>15</v>
      </c>
      <c r="C457" s="150"/>
      <c r="D457" s="149"/>
      <c r="E457" s="149"/>
      <c r="F457" s="149" t="s">
        <v>438</v>
      </c>
      <c r="G457" s="179">
        <v>1116091</v>
      </c>
      <c r="H457" s="179"/>
      <c r="I457" s="179">
        <f t="shared" si="185"/>
        <v>1116091</v>
      </c>
    </row>
    <row r="458" spans="2:9" x14ac:dyDescent="0.2">
      <c r="B458" s="122">
        <f t="shared" si="183"/>
        <v>16</v>
      </c>
      <c r="C458" s="149"/>
      <c r="D458" s="149"/>
      <c r="E458" s="149"/>
      <c r="F458" s="149" t="s">
        <v>443</v>
      </c>
      <c r="G458" s="179">
        <v>823760</v>
      </c>
      <c r="H458" s="179"/>
      <c r="I458" s="179">
        <f t="shared" si="185"/>
        <v>823760</v>
      </c>
    </row>
    <row r="459" spans="2:9" x14ac:dyDescent="0.2">
      <c r="B459" s="122">
        <f t="shared" si="183"/>
        <v>17</v>
      </c>
      <c r="C459" s="149"/>
      <c r="D459" s="149"/>
      <c r="E459" s="149"/>
      <c r="F459" s="149" t="s">
        <v>540</v>
      </c>
      <c r="G459" s="179">
        <v>414720</v>
      </c>
      <c r="H459" s="179"/>
      <c r="I459" s="179">
        <f t="shared" si="185"/>
        <v>414720</v>
      </c>
    </row>
    <row r="460" spans="2:9" x14ac:dyDescent="0.2">
      <c r="B460" s="122">
        <f t="shared" si="183"/>
        <v>18</v>
      </c>
      <c r="C460" s="5"/>
      <c r="D460" s="5"/>
      <c r="E460" s="5"/>
      <c r="F460" s="5" t="s">
        <v>526</v>
      </c>
      <c r="G460" s="93">
        <v>195490</v>
      </c>
      <c r="H460" s="93"/>
      <c r="I460" s="93">
        <f t="shared" si="185"/>
        <v>195490</v>
      </c>
    </row>
    <row r="461" spans="2:9" x14ac:dyDescent="0.2">
      <c r="B461" s="122">
        <f t="shared" si="183"/>
        <v>19</v>
      </c>
      <c r="C461" s="5"/>
      <c r="D461" s="5"/>
      <c r="E461" s="15"/>
      <c r="F461" s="149" t="s">
        <v>586</v>
      </c>
      <c r="G461" s="333">
        <v>11000</v>
      </c>
      <c r="H461" s="179"/>
      <c r="I461" s="179">
        <f t="shared" si="185"/>
        <v>11000</v>
      </c>
    </row>
    <row r="462" spans="2:9" x14ac:dyDescent="0.2">
      <c r="B462" s="122">
        <f t="shared" si="183"/>
        <v>20</v>
      </c>
      <c r="C462" s="149"/>
      <c r="D462" s="149"/>
      <c r="E462" s="150"/>
      <c r="F462" s="149" t="s">
        <v>587</v>
      </c>
      <c r="G462" s="333">
        <v>535296</v>
      </c>
      <c r="H462" s="179"/>
      <c r="I462" s="179">
        <f t="shared" si="185"/>
        <v>535296</v>
      </c>
    </row>
    <row r="463" spans="2:9" x14ac:dyDescent="0.2">
      <c r="B463" s="122">
        <f t="shared" si="183"/>
        <v>21</v>
      </c>
      <c r="C463" s="15"/>
      <c r="D463" s="5"/>
      <c r="E463" s="237"/>
      <c r="F463" s="5" t="s">
        <v>667</v>
      </c>
      <c r="G463" s="332"/>
      <c r="H463" s="332">
        <v>390198</v>
      </c>
      <c r="I463" s="179">
        <f t="shared" si="185"/>
        <v>390198</v>
      </c>
    </row>
    <row r="464" spans="2:9" x14ac:dyDescent="0.2">
      <c r="B464" s="122">
        <f t="shared" si="183"/>
        <v>22</v>
      </c>
      <c r="C464" s="15"/>
      <c r="D464" s="5"/>
      <c r="E464" s="237"/>
      <c r="F464" s="5" t="s">
        <v>668</v>
      </c>
      <c r="G464" s="332"/>
      <c r="H464" s="332">
        <v>98610</v>
      </c>
      <c r="I464" s="179">
        <f t="shared" si="185"/>
        <v>98610</v>
      </c>
    </row>
    <row r="465" spans="2:9" ht="22.5" x14ac:dyDescent="0.2">
      <c r="B465" s="122">
        <f t="shared" si="183"/>
        <v>23</v>
      </c>
      <c r="C465" s="15"/>
      <c r="D465" s="5"/>
      <c r="E465" s="237"/>
      <c r="F465" s="38" t="s">
        <v>673</v>
      </c>
      <c r="G465" s="332"/>
      <c r="H465" s="332">
        <v>547200</v>
      </c>
      <c r="I465" s="179">
        <f t="shared" si="185"/>
        <v>547200</v>
      </c>
    </row>
    <row r="466" spans="2:9" ht="22.5" x14ac:dyDescent="0.2">
      <c r="B466" s="122">
        <f t="shared" si="183"/>
        <v>24</v>
      </c>
      <c r="C466" s="15"/>
      <c r="D466" s="5"/>
      <c r="E466" s="237"/>
      <c r="F466" s="180" t="s">
        <v>669</v>
      </c>
      <c r="G466" s="332"/>
      <c r="H466" s="332">
        <v>115332</v>
      </c>
      <c r="I466" s="179">
        <f t="shared" si="185"/>
        <v>115332</v>
      </c>
    </row>
    <row r="467" spans="2:9" ht="22.5" x14ac:dyDescent="0.2">
      <c r="B467" s="122">
        <f t="shared" si="183"/>
        <v>25</v>
      </c>
      <c r="C467" s="15"/>
      <c r="D467" s="5"/>
      <c r="E467" s="237"/>
      <c r="F467" s="180" t="s">
        <v>670</v>
      </c>
      <c r="G467" s="332"/>
      <c r="H467" s="332">
        <v>170897</v>
      </c>
      <c r="I467" s="179">
        <f t="shared" si="185"/>
        <v>170897</v>
      </c>
    </row>
    <row r="468" spans="2:9" ht="33.75" x14ac:dyDescent="0.2">
      <c r="B468" s="122">
        <f t="shared" si="183"/>
        <v>26</v>
      </c>
      <c r="C468" s="15"/>
      <c r="D468" s="5"/>
      <c r="E468" s="237"/>
      <c r="F468" s="180" t="s">
        <v>671</v>
      </c>
      <c r="G468" s="332"/>
      <c r="H468" s="332">
        <v>264194</v>
      </c>
      <c r="I468" s="179">
        <f t="shared" si="185"/>
        <v>264194</v>
      </c>
    </row>
    <row r="469" spans="2:9" ht="33.75" x14ac:dyDescent="0.2">
      <c r="B469" s="122">
        <f t="shared" si="183"/>
        <v>27</v>
      </c>
      <c r="C469" s="15"/>
      <c r="D469" s="5"/>
      <c r="E469" s="237"/>
      <c r="F469" s="180" t="s">
        <v>674</v>
      </c>
      <c r="G469" s="332"/>
      <c r="H469" s="332">
        <v>759881</v>
      </c>
      <c r="I469" s="179">
        <f t="shared" si="185"/>
        <v>759881</v>
      </c>
    </row>
    <row r="470" spans="2:9" ht="13.5" thickBot="1" x14ac:dyDescent="0.25">
      <c r="B470" s="122">
        <f t="shared" si="183"/>
        <v>28</v>
      </c>
      <c r="C470" s="15"/>
      <c r="D470" s="5"/>
      <c r="E470" s="237"/>
      <c r="F470" s="5" t="s">
        <v>672</v>
      </c>
      <c r="G470" s="332"/>
      <c r="H470" s="332">
        <v>806107</v>
      </c>
      <c r="I470" s="179">
        <f t="shared" si="185"/>
        <v>806107</v>
      </c>
    </row>
    <row r="471" spans="2:9" ht="15.75" thickBot="1" x14ac:dyDescent="0.3">
      <c r="B471" s="122">
        <f t="shared" si="183"/>
        <v>29</v>
      </c>
      <c r="C471" s="80">
        <v>9</v>
      </c>
      <c r="D471" s="162"/>
      <c r="E471" s="81"/>
      <c r="F471" s="12" t="s">
        <v>8</v>
      </c>
      <c r="G471" s="21">
        <f>G472</f>
        <v>966</v>
      </c>
      <c r="H471" s="21">
        <f t="shared" ref="H471:H472" si="192">H472</f>
        <v>0</v>
      </c>
      <c r="I471" s="21">
        <f t="shared" si="185"/>
        <v>966</v>
      </c>
    </row>
    <row r="472" spans="2:9" x14ac:dyDescent="0.2">
      <c r="B472" s="122">
        <f t="shared" si="183"/>
        <v>30</v>
      </c>
      <c r="C472" s="76">
        <v>320</v>
      </c>
      <c r="D472" s="163"/>
      <c r="E472" s="77"/>
      <c r="F472" s="3" t="s">
        <v>290</v>
      </c>
      <c r="G472" s="118">
        <f>G473</f>
        <v>966</v>
      </c>
      <c r="H472" s="118">
        <f t="shared" si="192"/>
        <v>0</v>
      </c>
      <c r="I472" s="118">
        <f t="shared" si="185"/>
        <v>966</v>
      </c>
    </row>
    <row r="473" spans="2:9" x14ac:dyDescent="0.2">
      <c r="B473" s="122">
        <f t="shared" si="183"/>
        <v>31</v>
      </c>
      <c r="C473" s="78"/>
      <c r="D473" s="73">
        <v>321</v>
      </c>
      <c r="E473" s="79"/>
      <c r="F473" s="4" t="s">
        <v>576</v>
      </c>
      <c r="G473" s="92">
        <v>966</v>
      </c>
      <c r="H473" s="92"/>
      <c r="I473" s="92">
        <f t="shared" si="185"/>
        <v>966</v>
      </c>
    </row>
    <row r="474" spans="2:9" ht="15.75" thickBot="1" x14ac:dyDescent="0.25">
      <c r="B474" s="122">
        <f t="shared" si="183"/>
        <v>32</v>
      </c>
      <c r="C474" s="191"/>
      <c r="D474" s="191"/>
      <c r="E474" s="191"/>
      <c r="F474" s="192" t="s">
        <v>44</v>
      </c>
      <c r="G474" s="193">
        <f>G443+G450</f>
        <v>4862045</v>
      </c>
      <c r="H474" s="193">
        <f>H443+H450</f>
        <v>3152419</v>
      </c>
      <c r="I474" s="193">
        <f t="shared" si="185"/>
        <v>8014464</v>
      </c>
    </row>
    <row r="475" spans="2:9" ht="13.5" thickBot="1" x14ac:dyDescent="0.25">
      <c r="H475" s="20"/>
      <c r="I475" s="20"/>
    </row>
    <row r="476" spans="2:9" ht="12.75" customHeight="1" x14ac:dyDescent="0.2">
      <c r="B476" s="458" t="s">
        <v>45</v>
      </c>
      <c r="C476" s="459"/>
      <c r="D476" s="459"/>
      <c r="E476" s="459"/>
      <c r="F476" s="460"/>
      <c r="G476" s="447" t="s">
        <v>505</v>
      </c>
      <c r="H476" s="447" t="s">
        <v>645</v>
      </c>
      <c r="I476" s="447" t="s">
        <v>646</v>
      </c>
    </row>
    <row r="477" spans="2:9" x14ac:dyDescent="0.2">
      <c r="B477" s="461"/>
      <c r="C477" s="462"/>
      <c r="D477" s="462"/>
      <c r="E477" s="462"/>
      <c r="F477" s="463"/>
      <c r="G477" s="448"/>
      <c r="H477" s="448"/>
      <c r="I477" s="448"/>
    </row>
    <row r="478" spans="2:9" x14ac:dyDescent="0.2">
      <c r="B478" s="450" t="s">
        <v>120</v>
      </c>
      <c r="C478" s="452" t="s">
        <v>121</v>
      </c>
      <c r="D478" s="454" t="s">
        <v>122</v>
      </c>
      <c r="E478" s="454" t="s">
        <v>124</v>
      </c>
      <c r="F478" s="456" t="s">
        <v>123</v>
      </c>
      <c r="G478" s="448"/>
      <c r="H478" s="448"/>
      <c r="I478" s="448"/>
    </row>
    <row r="479" spans="2:9" ht="13.5" thickBot="1" x14ac:dyDescent="0.25">
      <c r="B479" s="451"/>
      <c r="C479" s="453"/>
      <c r="D479" s="455"/>
      <c r="E479" s="455"/>
      <c r="F479" s="457"/>
      <c r="G479" s="449"/>
      <c r="H479" s="449"/>
      <c r="I479" s="449"/>
    </row>
    <row r="480" spans="2:9" ht="15.75" thickTop="1" x14ac:dyDescent="0.2">
      <c r="B480" s="131">
        <v>1</v>
      </c>
      <c r="C480" s="1"/>
      <c r="D480" s="1"/>
      <c r="E480" s="1"/>
      <c r="F480" s="1" t="s">
        <v>125</v>
      </c>
      <c r="G480" s="132">
        <f>G437</f>
        <v>42256614</v>
      </c>
      <c r="H480" s="132">
        <f>H437</f>
        <v>73251</v>
      </c>
      <c r="I480" s="132">
        <f>I437</f>
        <v>42329865</v>
      </c>
    </row>
    <row r="481" spans="2:9" ht="15.75" thickBot="1" x14ac:dyDescent="0.25">
      <c r="B481" s="131">
        <v>2</v>
      </c>
      <c r="C481" s="1"/>
      <c r="D481" s="1"/>
      <c r="E481" s="1"/>
      <c r="F481" s="1" t="s">
        <v>44</v>
      </c>
      <c r="G481" s="132">
        <f>G474</f>
        <v>4862045</v>
      </c>
      <c r="H481" s="132">
        <f t="shared" ref="H481:I481" si="193">H474</f>
        <v>3152419</v>
      </c>
      <c r="I481" s="132">
        <f t="shared" si="193"/>
        <v>8014464</v>
      </c>
    </row>
    <row r="482" spans="2:9" ht="16.5" thickTop="1" thickBot="1" x14ac:dyDescent="0.25">
      <c r="B482" s="133">
        <v>3</v>
      </c>
      <c r="C482" s="134"/>
      <c r="D482" s="134"/>
      <c r="E482" s="134"/>
      <c r="F482" s="134" t="s">
        <v>45</v>
      </c>
      <c r="G482" s="135">
        <f>G481+G480</f>
        <v>47118659</v>
      </c>
      <c r="H482" s="135">
        <f t="shared" ref="H482:I482" si="194">H481+H480</f>
        <v>3225670</v>
      </c>
      <c r="I482" s="135">
        <f t="shared" si="194"/>
        <v>50344329</v>
      </c>
    </row>
    <row r="483" spans="2:9" x14ac:dyDescent="0.2">
      <c r="H483" s="20"/>
      <c r="I483" s="20"/>
    </row>
    <row r="484" spans="2:9" s="20" customFormat="1" x14ac:dyDescent="0.2">
      <c r="B484" s="19"/>
    </row>
    <row r="485" spans="2:9" s="20" customFormat="1" x14ac:dyDescent="0.2">
      <c r="B485" s="19"/>
    </row>
    <row r="486" spans="2:9" s="20" customFormat="1" x14ac:dyDescent="0.2">
      <c r="B486" s="19"/>
      <c r="F486" s="182" t="s">
        <v>507</v>
      </c>
      <c r="G486" s="183">
        <f>SUM(G487:G500)</f>
        <v>3024305</v>
      </c>
    </row>
    <row r="487" spans="2:9" s="20" customFormat="1" x14ac:dyDescent="0.2">
      <c r="B487" s="19"/>
      <c r="F487" s="184" t="s">
        <v>508</v>
      </c>
      <c r="G487" s="185">
        <f>G123</f>
        <v>396100</v>
      </c>
    </row>
    <row r="488" spans="2:9" s="20" customFormat="1" x14ac:dyDescent="0.2">
      <c r="B488" s="19"/>
      <c r="F488" s="184" t="s">
        <v>509</v>
      </c>
      <c r="G488" s="185">
        <f>G53</f>
        <v>557849</v>
      </c>
    </row>
    <row r="489" spans="2:9" s="20" customFormat="1" x14ac:dyDescent="0.2">
      <c r="B489" s="19"/>
      <c r="F489" s="184" t="s">
        <v>510</v>
      </c>
      <c r="G489" s="185">
        <f>G414+G213</f>
        <v>1053773</v>
      </c>
    </row>
    <row r="490" spans="2:9" s="20" customFormat="1" x14ac:dyDescent="0.2">
      <c r="B490" s="19"/>
      <c r="F490" s="184" t="s">
        <v>511</v>
      </c>
      <c r="G490" s="185">
        <f>G373</f>
        <v>86800</v>
      </c>
      <c r="H490"/>
      <c r="I490"/>
    </row>
    <row r="491" spans="2:9" s="20" customFormat="1" x14ac:dyDescent="0.2">
      <c r="B491" s="19"/>
      <c r="F491" s="184" t="s">
        <v>512</v>
      </c>
      <c r="G491" s="185">
        <f>G49+G410</f>
        <v>9390</v>
      </c>
      <c r="H491"/>
      <c r="I491"/>
    </row>
    <row r="492" spans="2:9" s="20" customFormat="1" x14ac:dyDescent="0.2">
      <c r="B492" s="19"/>
      <c r="F492" s="184" t="s">
        <v>513</v>
      </c>
      <c r="G492" s="185">
        <f>G361+G434</f>
        <v>79827</v>
      </c>
      <c r="H492"/>
      <c r="I492"/>
    </row>
    <row r="493" spans="2:9" x14ac:dyDescent="0.2">
      <c r="F493" s="184" t="s">
        <v>514</v>
      </c>
      <c r="G493" s="185">
        <f>G338</f>
        <v>186611</v>
      </c>
    </row>
    <row r="494" spans="2:9" x14ac:dyDescent="0.2">
      <c r="F494" s="184" t="s">
        <v>515</v>
      </c>
      <c r="G494" s="185">
        <f>G295+G422</f>
        <v>112166</v>
      </c>
    </row>
    <row r="495" spans="2:9" x14ac:dyDescent="0.2">
      <c r="F495" s="184" t="s">
        <v>516</v>
      </c>
      <c r="G495" s="185">
        <f>G314+G425+G471</f>
        <v>87992</v>
      </c>
    </row>
    <row r="496" spans="2:9" x14ac:dyDescent="0.2">
      <c r="F496" s="184" t="s">
        <v>517</v>
      </c>
      <c r="G496" s="185">
        <f>G280+G419</f>
        <v>103611</v>
      </c>
    </row>
    <row r="497" spans="6:10" x14ac:dyDescent="0.2">
      <c r="F497" s="184" t="s">
        <v>518</v>
      </c>
      <c r="G497" s="185">
        <f>G350+G431</f>
        <v>167215</v>
      </c>
    </row>
    <row r="498" spans="6:10" x14ac:dyDescent="0.2">
      <c r="F498" s="184" t="s">
        <v>519</v>
      </c>
      <c r="G498" s="185">
        <f>G326+G428</f>
        <v>122111</v>
      </c>
    </row>
    <row r="499" spans="6:10" x14ac:dyDescent="0.2">
      <c r="F499" s="184" t="s">
        <v>520</v>
      </c>
      <c r="G499" s="185">
        <f>G304</f>
        <v>42860</v>
      </c>
      <c r="I499" s="20">
        <f>G502+Sumarizácia!J23-Sumarizácia!J31+2500000</f>
        <v>60295374</v>
      </c>
    </row>
    <row r="500" spans="6:10" x14ac:dyDescent="0.2">
      <c r="F500" s="186" t="s">
        <v>521</v>
      </c>
      <c r="G500" s="185">
        <f>G119</f>
        <v>18000</v>
      </c>
    </row>
    <row r="501" spans="6:10" x14ac:dyDescent="0.2">
      <c r="F501" s="184"/>
      <c r="G501" s="185"/>
    </row>
    <row r="502" spans="6:10" x14ac:dyDescent="0.2">
      <c r="F502" s="182" t="s">
        <v>522</v>
      </c>
      <c r="G502" s="183">
        <f>G451+G444+G384+G23+G7</f>
        <v>44094354</v>
      </c>
      <c r="J502" t="s">
        <v>611</v>
      </c>
    </row>
    <row r="504" spans="6:10" x14ac:dyDescent="0.2">
      <c r="G504" s="20">
        <f>G482-G486-G502</f>
        <v>0</v>
      </c>
    </row>
  </sheetData>
  <mergeCells count="28">
    <mergeCell ref="B1:I1"/>
    <mergeCell ref="G439:G442"/>
    <mergeCell ref="B2:F3"/>
    <mergeCell ref="E4:E5"/>
    <mergeCell ref="B439:F440"/>
    <mergeCell ref="G2:G5"/>
    <mergeCell ref="F4:F5"/>
    <mergeCell ref="D441:D442"/>
    <mergeCell ref="E441:E442"/>
    <mergeCell ref="F441:F442"/>
    <mergeCell ref="B441:B442"/>
    <mergeCell ref="C441:C442"/>
    <mergeCell ref="B4:B5"/>
    <mergeCell ref="C4:C5"/>
    <mergeCell ref="D4:D5"/>
    <mergeCell ref="H2:H5"/>
    <mergeCell ref="B478:B479"/>
    <mergeCell ref="C478:C479"/>
    <mergeCell ref="D478:D479"/>
    <mergeCell ref="E478:E479"/>
    <mergeCell ref="G476:G479"/>
    <mergeCell ref="F478:F479"/>
    <mergeCell ref="B476:F477"/>
    <mergeCell ref="I2:I5"/>
    <mergeCell ref="H439:H442"/>
    <mergeCell ref="I439:I442"/>
    <mergeCell ref="H476:H479"/>
    <mergeCell ref="I476:I479"/>
  </mergeCells>
  <phoneticPr fontId="1" type="noConversion"/>
  <pageMargins left="0.23622047244094491" right="3.937007874015748E-2" top="0.15748031496062992" bottom="0.15748031496062992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3:AQ2147"/>
  <sheetViews>
    <sheetView zoomScale="90" zoomScaleNormal="90" workbookViewId="0"/>
  </sheetViews>
  <sheetFormatPr defaultRowHeight="12.75" x14ac:dyDescent="0.2"/>
  <cols>
    <col min="1" max="1" width="4.7109375" customWidth="1"/>
    <col min="2" max="2" width="3.85546875" customWidth="1"/>
    <col min="3" max="3" width="2.85546875" customWidth="1"/>
    <col min="4" max="4" width="2.5703125" customWidth="1"/>
    <col min="5" max="5" width="3.140625" customWidth="1"/>
    <col min="6" max="6" width="5.28515625" style="18" customWidth="1"/>
    <col min="7" max="7" width="5" customWidth="1"/>
    <col min="8" max="8" width="42.7109375" customWidth="1"/>
    <col min="9" max="9" width="15.42578125" style="20" customWidth="1"/>
    <col min="10" max="10" width="13" style="20" customWidth="1"/>
    <col min="11" max="11" width="15.42578125" style="20" customWidth="1"/>
    <col min="12" max="12" width="3.85546875" style="171" customWidth="1"/>
    <col min="13" max="13" width="14.7109375" style="20" customWidth="1"/>
    <col min="14" max="14" width="11.42578125" style="20" customWidth="1"/>
    <col min="15" max="15" width="14.7109375" style="20" customWidth="1"/>
    <col min="16" max="16" width="3.5703125" style="171" customWidth="1"/>
    <col min="17" max="17" width="12.5703125" style="20" customWidth="1"/>
    <col min="18" max="18" width="12.140625" style="58" customWidth="1"/>
    <col min="19" max="19" width="15.5703125" style="58" customWidth="1"/>
    <col min="20" max="20" width="12.140625" style="58" customWidth="1"/>
    <col min="21" max="21" width="9.140625" style="58"/>
    <col min="22" max="22" width="11.140625" style="58" customWidth="1"/>
    <col min="23" max="23" width="9.140625" style="58" customWidth="1"/>
    <col min="24" max="24" width="8" style="58" customWidth="1"/>
    <col min="25" max="39" width="9.140625" style="58"/>
    <col min="40" max="40" width="6" style="58" customWidth="1"/>
    <col min="41" max="43" width="9.140625" style="58"/>
  </cols>
  <sheetData>
    <row r="3" spans="2:40" ht="27.75" thickBot="1" x14ac:dyDescent="0.4">
      <c r="B3" s="480" t="s">
        <v>492</v>
      </c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</row>
    <row r="4" spans="2:40" ht="13.5" customHeight="1" thickBot="1" x14ac:dyDescent="0.25">
      <c r="B4" s="538" t="s">
        <v>353</v>
      </c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539"/>
      <c r="P4" s="260"/>
      <c r="Q4" s="485" t="s">
        <v>651</v>
      </c>
      <c r="R4" s="471" t="s">
        <v>648</v>
      </c>
      <c r="S4" s="474" t="s">
        <v>652</v>
      </c>
      <c r="AN4" s="83"/>
    </row>
    <row r="5" spans="2:40" ht="12.75" customHeight="1" thickBot="1" x14ac:dyDescent="0.25">
      <c r="B5" s="488"/>
      <c r="C5" s="489" t="s">
        <v>126</v>
      </c>
      <c r="D5" s="489" t="s">
        <v>127</v>
      </c>
      <c r="E5" s="489"/>
      <c r="F5" s="489" t="s">
        <v>128</v>
      </c>
      <c r="G5" s="492" t="s">
        <v>129</v>
      </c>
      <c r="H5" s="495" t="s">
        <v>130</v>
      </c>
      <c r="I5" s="496" t="s">
        <v>647</v>
      </c>
      <c r="J5" s="502" t="s">
        <v>648</v>
      </c>
      <c r="K5" s="474" t="s">
        <v>649</v>
      </c>
      <c r="M5" s="498" t="s">
        <v>650</v>
      </c>
      <c r="N5" s="471" t="s">
        <v>648</v>
      </c>
      <c r="O5" s="477" t="s">
        <v>649</v>
      </c>
      <c r="P5" s="259"/>
      <c r="Q5" s="486"/>
      <c r="R5" s="472"/>
      <c r="S5" s="475"/>
      <c r="AN5" s="84"/>
    </row>
    <row r="6" spans="2:40" ht="13.5" thickBot="1" x14ac:dyDescent="0.25">
      <c r="B6" s="488"/>
      <c r="C6" s="490"/>
      <c r="D6" s="490"/>
      <c r="E6" s="490"/>
      <c r="F6" s="490"/>
      <c r="G6" s="493"/>
      <c r="H6" s="495"/>
      <c r="I6" s="496"/>
      <c r="J6" s="502"/>
      <c r="K6" s="475"/>
      <c r="M6" s="499"/>
      <c r="N6" s="472"/>
      <c r="O6" s="478"/>
      <c r="P6" s="259"/>
      <c r="Q6" s="486"/>
      <c r="R6" s="472"/>
      <c r="S6" s="475"/>
      <c r="V6" s="85"/>
      <c r="W6" s="85"/>
      <c r="AN6" s="84"/>
    </row>
    <row r="7" spans="2:40" ht="18.75" customHeight="1" thickBot="1" x14ac:dyDescent="0.25">
      <c r="B7" s="488"/>
      <c r="C7" s="490"/>
      <c r="D7" s="490"/>
      <c r="E7" s="490"/>
      <c r="F7" s="490"/>
      <c r="G7" s="493"/>
      <c r="H7" s="495"/>
      <c r="I7" s="496"/>
      <c r="J7" s="502"/>
      <c r="K7" s="478"/>
      <c r="L7" s="259"/>
      <c r="M7" s="500"/>
      <c r="N7" s="472"/>
      <c r="O7" s="478"/>
      <c r="P7" s="259"/>
      <c r="Q7" s="486"/>
      <c r="R7" s="472"/>
      <c r="S7" s="475"/>
      <c r="AN7" s="84"/>
    </row>
    <row r="8" spans="2:40" ht="18.75" customHeight="1" thickBot="1" x14ac:dyDescent="0.25">
      <c r="B8" s="488"/>
      <c r="C8" s="491"/>
      <c r="D8" s="491"/>
      <c r="E8" s="491"/>
      <c r="F8" s="491"/>
      <c r="G8" s="494"/>
      <c r="H8" s="495"/>
      <c r="I8" s="497"/>
      <c r="J8" s="503"/>
      <c r="K8" s="479"/>
      <c r="L8" s="259"/>
      <c r="M8" s="501"/>
      <c r="N8" s="473"/>
      <c r="O8" s="479"/>
      <c r="P8" s="259"/>
      <c r="Q8" s="487"/>
      <c r="R8" s="473"/>
      <c r="S8" s="476"/>
      <c r="AN8" s="84"/>
    </row>
    <row r="9" spans="2:40" ht="18" x14ac:dyDescent="0.2">
      <c r="B9" s="86">
        <v>1</v>
      </c>
      <c r="C9" s="536" t="s">
        <v>42</v>
      </c>
      <c r="D9" s="537"/>
      <c r="E9" s="537"/>
      <c r="F9" s="537"/>
      <c r="G9" s="537"/>
      <c r="H9" s="537"/>
      <c r="I9" s="57">
        <f>I64+I61+I53+I42+I30+I10</f>
        <v>493150</v>
      </c>
      <c r="J9" s="57">
        <f t="shared" ref="J9" si="0">J64+J61+J53+J42+J30+J10</f>
        <v>53252</v>
      </c>
      <c r="K9" s="57">
        <f>I9+J9</f>
        <v>546402</v>
      </c>
      <c r="L9" s="259"/>
      <c r="M9" s="39">
        <f>M10+M30+M42+M50+M51+M52+M53+M61+M64</f>
        <v>429326</v>
      </c>
      <c r="N9" s="39">
        <f>N10+N30+N42+N50+N51+N52+N53+N61+N64</f>
        <v>-219629</v>
      </c>
      <c r="O9" s="247">
        <f>M9+N9</f>
        <v>209697</v>
      </c>
      <c r="P9" s="259"/>
      <c r="Q9" s="87">
        <f t="shared" ref="Q9:Q40" si="1">I9+M9</f>
        <v>922476</v>
      </c>
      <c r="R9" s="87">
        <f t="shared" ref="R9:R64" si="2">J9+N9</f>
        <v>-166377</v>
      </c>
      <c r="S9" s="87">
        <f t="shared" ref="S9:S64" si="3">K9+O9</f>
        <v>756099</v>
      </c>
      <c r="AN9" s="84"/>
    </row>
    <row r="10" spans="2:40" ht="15" x14ac:dyDescent="0.2">
      <c r="B10" s="88">
        <f>B9+1</f>
        <v>2</v>
      </c>
      <c r="C10" s="8">
        <v>1</v>
      </c>
      <c r="D10" s="534" t="s">
        <v>206</v>
      </c>
      <c r="E10" s="535"/>
      <c r="F10" s="535"/>
      <c r="G10" s="535"/>
      <c r="H10" s="535"/>
      <c r="I10" s="40">
        <f>I24+I21+I18+I11</f>
        <v>154500</v>
      </c>
      <c r="J10" s="40">
        <f t="shared" ref="J10" si="4">J24+J21+J18+J11</f>
        <v>2000</v>
      </c>
      <c r="K10" s="40">
        <f t="shared" ref="K10:K64" si="5">I10+J10</f>
        <v>156500</v>
      </c>
      <c r="L10" s="259"/>
      <c r="M10" s="40">
        <v>0</v>
      </c>
      <c r="N10" s="40">
        <v>0</v>
      </c>
      <c r="O10" s="248">
        <f t="shared" ref="O10:O64" si="6">M10+N10</f>
        <v>0</v>
      </c>
      <c r="P10" s="259"/>
      <c r="Q10" s="89">
        <f t="shared" si="1"/>
        <v>154500</v>
      </c>
      <c r="R10" s="89">
        <f t="shared" si="2"/>
        <v>2000</v>
      </c>
      <c r="S10" s="89">
        <f t="shared" si="3"/>
        <v>156500</v>
      </c>
      <c r="AN10" s="84"/>
    </row>
    <row r="11" spans="2:40" ht="15" x14ac:dyDescent="0.25">
      <c r="B11" s="88">
        <f>B10+1</f>
        <v>3</v>
      </c>
      <c r="C11" s="2"/>
      <c r="D11" s="2">
        <v>1</v>
      </c>
      <c r="E11" s="543" t="s">
        <v>220</v>
      </c>
      <c r="F11" s="535"/>
      <c r="G11" s="535"/>
      <c r="H11" s="535"/>
      <c r="I11" s="41">
        <f>I12</f>
        <v>19500</v>
      </c>
      <c r="J11" s="41">
        <f t="shared" ref="J11" si="7">J12</f>
        <v>2000</v>
      </c>
      <c r="K11" s="41">
        <f t="shared" si="5"/>
        <v>21500</v>
      </c>
      <c r="L11" s="259"/>
      <c r="M11" s="41"/>
      <c r="N11" s="41"/>
      <c r="O11" s="249">
        <f t="shared" si="6"/>
        <v>0</v>
      </c>
      <c r="P11" s="259"/>
      <c r="Q11" s="90">
        <f t="shared" si="1"/>
        <v>19500</v>
      </c>
      <c r="R11" s="90">
        <f t="shared" si="2"/>
        <v>2000</v>
      </c>
      <c r="S11" s="90">
        <f t="shared" si="3"/>
        <v>21500</v>
      </c>
      <c r="AN11" s="84"/>
    </row>
    <row r="12" spans="2:40" x14ac:dyDescent="0.2">
      <c r="B12" s="88">
        <f t="shared" ref="B12:B64" si="8">B11+1</f>
        <v>4</v>
      </c>
      <c r="C12" s="10"/>
      <c r="D12" s="10"/>
      <c r="E12" s="10"/>
      <c r="F12" s="29" t="s">
        <v>81</v>
      </c>
      <c r="G12" s="10">
        <v>630</v>
      </c>
      <c r="H12" s="10" t="s">
        <v>133</v>
      </c>
      <c r="I12" s="27">
        <f>SUM(I13:I17)</f>
        <v>19500</v>
      </c>
      <c r="J12" s="27">
        <f t="shared" ref="J12" si="9">SUM(J13:J17)</f>
        <v>2000</v>
      </c>
      <c r="K12" s="27">
        <f t="shared" si="5"/>
        <v>21500</v>
      </c>
      <c r="L12" s="259"/>
      <c r="M12" s="27"/>
      <c r="N12" s="27"/>
      <c r="O12" s="250">
        <f t="shared" si="6"/>
        <v>0</v>
      </c>
      <c r="P12" s="259"/>
      <c r="Q12" s="91">
        <f t="shared" si="1"/>
        <v>19500</v>
      </c>
      <c r="R12" s="91">
        <f t="shared" si="2"/>
        <v>2000</v>
      </c>
      <c r="S12" s="91">
        <f t="shared" si="3"/>
        <v>21500</v>
      </c>
      <c r="AN12" s="84"/>
    </row>
    <row r="13" spans="2:40" x14ac:dyDescent="0.2">
      <c r="B13" s="88">
        <f t="shared" si="8"/>
        <v>5</v>
      </c>
      <c r="C13" s="4"/>
      <c r="D13" s="4"/>
      <c r="E13" s="4"/>
      <c r="F13" s="30" t="s">
        <v>81</v>
      </c>
      <c r="G13" s="4">
        <v>631</v>
      </c>
      <c r="H13" s="4" t="s">
        <v>139</v>
      </c>
      <c r="I13" s="23">
        <v>4500</v>
      </c>
      <c r="J13" s="23"/>
      <c r="K13" s="23">
        <f t="shared" si="5"/>
        <v>4500</v>
      </c>
      <c r="L13" s="259"/>
      <c r="M13" s="23"/>
      <c r="N13" s="23"/>
      <c r="O13" s="220">
        <f t="shared" si="6"/>
        <v>0</v>
      </c>
      <c r="P13" s="259"/>
      <c r="Q13" s="92">
        <f t="shared" si="1"/>
        <v>4500</v>
      </c>
      <c r="R13" s="92">
        <f t="shared" si="2"/>
        <v>0</v>
      </c>
      <c r="S13" s="92">
        <f t="shared" si="3"/>
        <v>4500</v>
      </c>
      <c r="AN13" s="65"/>
    </row>
    <row r="14" spans="2:40" x14ac:dyDescent="0.2">
      <c r="B14" s="88">
        <f t="shared" si="8"/>
        <v>6</v>
      </c>
      <c r="C14" s="4"/>
      <c r="D14" s="4"/>
      <c r="E14" s="4"/>
      <c r="F14" s="30" t="s">
        <v>81</v>
      </c>
      <c r="G14" s="4">
        <v>633</v>
      </c>
      <c r="H14" s="4" t="s">
        <v>137</v>
      </c>
      <c r="I14" s="23">
        <v>8000</v>
      </c>
      <c r="J14" s="23">
        <v>2000</v>
      </c>
      <c r="K14" s="23">
        <f t="shared" si="5"/>
        <v>10000</v>
      </c>
      <c r="L14" s="259"/>
      <c r="M14" s="23"/>
      <c r="N14" s="23"/>
      <c r="O14" s="220">
        <f t="shared" si="6"/>
        <v>0</v>
      </c>
      <c r="P14" s="259"/>
      <c r="Q14" s="92">
        <f t="shared" si="1"/>
        <v>8000</v>
      </c>
      <c r="R14" s="92">
        <f t="shared" si="2"/>
        <v>2000</v>
      </c>
      <c r="S14" s="92">
        <f t="shared" si="3"/>
        <v>10000</v>
      </c>
    </row>
    <row r="15" spans="2:40" x14ac:dyDescent="0.2">
      <c r="B15" s="88">
        <f t="shared" si="8"/>
        <v>7</v>
      </c>
      <c r="C15" s="4"/>
      <c r="D15" s="4"/>
      <c r="E15" s="4"/>
      <c r="F15" s="30" t="s">
        <v>81</v>
      </c>
      <c r="G15" s="4">
        <v>634</v>
      </c>
      <c r="H15" s="4" t="s">
        <v>144</v>
      </c>
      <c r="I15" s="23">
        <v>500</v>
      </c>
      <c r="J15" s="23"/>
      <c r="K15" s="23">
        <f t="shared" si="5"/>
        <v>500</v>
      </c>
      <c r="L15" s="259"/>
      <c r="M15" s="23"/>
      <c r="N15" s="23"/>
      <c r="O15" s="220">
        <f t="shared" si="6"/>
        <v>0</v>
      </c>
      <c r="P15" s="259"/>
      <c r="Q15" s="92">
        <f t="shared" si="1"/>
        <v>500</v>
      </c>
      <c r="R15" s="92">
        <f t="shared" si="2"/>
        <v>0</v>
      </c>
      <c r="S15" s="92">
        <f t="shared" si="3"/>
        <v>500</v>
      </c>
    </row>
    <row r="16" spans="2:40" x14ac:dyDescent="0.2">
      <c r="B16" s="88">
        <f t="shared" si="8"/>
        <v>8</v>
      </c>
      <c r="C16" s="4"/>
      <c r="D16" s="4"/>
      <c r="E16" s="4"/>
      <c r="F16" s="30" t="s">
        <v>81</v>
      </c>
      <c r="G16" s="4">
        <v>636</v>
      </c>
      <c r="H16" s="4" t="s">
        <v>138</v>
      </c>
      <c r="I16" s="23">
        <v>500</v>
      </c>
      <c r="J16" s="23"/>
      <c r="K16" s="23">
        <f t="shared" si="5"/>
        <v>500</v>
      </c>
      <c r="L16" s="259"/>
      <c r="M16" s="23"/>
      <c r="N16" s="23"/>
      <c r="O16" s="220">
        <f t="shared" si="6"/>
        <v>0</v>
      </c>
      <c r="P16" s="259"/>
      <c r="Q16" s="92">
        <f t="shared" si="1"/>
        <v>500</v>
      </c>
      <c r="R16" s="92">
        <f t="shared" si="2"/>
        <v>0</v>
      </c>
      <c r="S16" s="92">
        <f t="shared" si="3"/>
        <v>500</v>
      </c>
    </row>
    <row r="17" spans="2:19" x14ac:dyDescent="0.2">
      <c r="B17" s="88">
        <f t="shared" si="8"/>
        <v>9</v>
      </c>
      <c r="C17" s="4"/>
      <c r="D17" s="4"/>
      <c r="E17" s="4"/>
      <c r="F17" s="30" t="s">
        <v>81</v>
      </c>
      <c r="G17" s="4">
        <v>637</v>
      </c>
      <c r="H17" s="4" t="s">
        <v>134</v>
      </c>
      <c r="I17" s="23">
        <v>6000</v>
      </c>
      <c r="J17" s="23"/>
      <c r="K17" s="23">
        <f t="shared" si="5"/>
        <v>6000</v>
      </c>
      <c r="L17" s="259"/>
      <c r="M17" s="23"/>
      <c r="N17" s="23"/>
      <c r="O17" s="220">
        <f t="shared" si="6"/>
        <v>0</v>
      </c>
      <c r="P17" s="259"/>
      <c r="Q17" s="92">
        <f t="shared" si="1"/>
        <v>6000</v>
      </c>
      <c r="R17" s="92">
        <f t="shared" si="2"/>
        <v>0</v>
      </c>
      <c r="S17" s="92">
        <f t="shared" si="3"/>
        <v>6000</v>
      </c>
    </row>
    <row r="18" spans="2:19" ht="15" x14ac:dyDescent="0.25">
      <c r="B18" s="88">
        <f t="shared" si="8"/>
        <v>10</v>
      </c>
      <c r="C18" s="2"/>
      <c r="D18" s="2">
        <v>2</v>
      </c>
      <c r="E18" s="508" t="s">
        <v>247</v>
      </c>
      <c r="F18" s="509"/>
      <c r="G18" s="509"/>
      <c r="H18" s="510"/>
      <c r="I18" s="41">
        <f>I19</f>
        <v>2000</v>
      </c>
      <c r="J18" s="41">
        <f t="shared" ref="J18:J19" si="10">J19</f>
        <v>0</v>
      </c>
      <c r="K18" s="41">
        <f t="shared" si="5"/>
        <v>2000</v>
      </c>
      <c r="L18" s="259"/>
      <c r="M18" s="41">
        <v>0</v>
      </c>
      <c r="N18" s="41">
        <v>0</v>
      </c>
      <c r="O18" s="249">
        <f t="shared" si="6"/>
        <v>0</v>
      </c>
      <c r="P18" s="259"/>
      <c r="Q18" s="90">
        <f t="shared" si="1"/>
        <v>2000</v>
      </c>
      <c r="R18" s="90">
        <f t="shared" si="2"/>
        <v>0</v>
      </c>
      <c r="S18" s="90">
        <f t="shared" si="3"/>
        <v>2000</v>
      </c>
    </row>
    <row r="19" spans="2:19" x14ac:dyDescent="0.2">
      <c r="B19" s="88">
        <f t="shared" si="8"/>
        <v>11</v>
      </c>
      <c r="C19" s="10"/>
      <c r="D19" s="10"/>
      <c r="E19" s="10"/>
      <c r="F19" s="29" t="s">
        <v>81</v>
      </c>
      <c r="G19" s="10">
        <v>630</v>
      </c>
      <c r="H19" s="10" t="s">
        <v>133</v>
      </c>
      <c r="I19" s="27">
        <f>I20</f>
        <v>2000</v>
      </c>
      <c r="J19" s="27">
        <f t="shared" si="10"/>
        <v>0</v>
      </c>
      <c r="K19" s="27">
        <f t="shared" si="5"/>
        <v>2000</v>
      </c>
      <c r="L19" s="259"/>
      <c r="M19" s="27"/>
      <c r="N19" s="27"/>
      <c r="O19" s="250">
        <f t="shared" si="6"/>
        <v>0</v>
      </c>
      <c r="P19" s="259"/>
      <c r="Q19" s="91">
        <f t="shared" si="1"/>
        <v>2000</v>
      </c>
      <c r="R19" s="91">
        <f t="shared" si="2"/>
        <v>0</v>
      </c>
      <c r="S19" s="91">
        <f t="shared" si="3"/>
        <v>2000</v>
      </c>
    </row>
    <row r="20" spans="2:19" x14ac:dyDescent="0.2">
      <c r="B20" s="88">
        <f t="shared" si="8"/>
        <v>12</v>
      </c>
      <c r="C20" s="4"/>
      <c r="D20" s="4"/>
      <c r="E20" s="4"/>
      <c r="F20" s="30" t="s">
        <v>81</v>
      </c>
      <c r="G20" s="4">
        <v>633</v>
      </c>
      <c r="H20" s="4" t="s">
        <v>137</v>
      </c>
      <c r="I20" s="23">
        <v>2000</v>
      </c>
      <c r="J20" s="23"/>
      <c r="K20" s="23">
        <f t="shared" si="5"/>
        <v>2000</v>
      </c>
      <c r="L20" s="259"/>
      <c r="M20" s="23"/>
      <c r="N20" s="23"/>
      <c r="O20" s="220">
        <f t="shared" si="6"/>
        <v>0</v>
      </c>
      <c r="P20" s="259"/>
      <c r="Q20" s="92">
        <f t="shared" si="1"/>
        <v>2000</v>
      </c>
      <c r="R20" s="92">
        <f t="shared" si="2"/>
        <v>0</v>
      </c>
      <c r="S20" s="92">
        <f t="shared" si="3"/>
        <v>2000</v>
      </c>
    </row>
    <row r="21" spans="2:19" ht="15" x14ac:dyDescent="0.25">
      <c r="B21" s="88">
        <f t="shared" si="8"/>
        <v>13</v>
      </c>
      <c r="C21" s="2"/>
      <c r="D21" s="2">
        <v>3</v>
      </c>
      <c r="E21" s="508" t="s">
        <v>248</v>
      </c>
      <c r="F21" s="509"/>
      <c r="G21" s="509"/>
      <c r="H21" s="510"/>
      <c r="I21" s="41">
        <f>I22</f>
        <v>1000</v>
      </c>
      <c r="J21" s="41">
        <f t="shared" ref="J21:J22" si="11">J22</f>
        <v>0</v>
      </c>
      <c r="K21" s="41">
        <f t="shared" si="5"/>
        <v>1000</v>
      </c>
      <c r="L21" s="259"/>
      <c r="M21" s="41">
        <v>0</v>
      </c>
      <c r="N21" s="41">
        <v>0</v>
      </c>
      <c r="O21" s="249">
        <f t="shared" si="6"/>
        <v>0</v>
      </c>
      <c r="P21" s="259"/>
      <c r="Q21" s="90">
        <f t="shared" si="1"/>
        <v>1000</v>
      </c>
      <c r="R21" s="90">
        <f t="shared" si="2"/>
        <v>0</v>
      </c>
      <c r="S21" s="90">
        <f t="shared" si="3"/>
        <v>1000</v>
      </c>
    </row>
    <row r="22" spans="2:19" x14ac:dyDescent="0.2">
      <c r="B22" s="88">
        <f t="shared" si="8"/>
        <v>14</v>
      </c>
      <c r="C22" s="10"/>
      <c r="D22" s="10"/>
      <c r="E22" s="10"/>
      <c r="F22" s="29" t="s">
        <v>81</v>
      </c>
      <c r="G22" s="10">
        <v>630</v>
      </c>
      <c r="H22" s="10" t="s">
        <v>133</v>
      </c>
      <c r="I22" s="27">
        <f>I23</f>
        <v>1000</v>
      </c>
      <c r="J22" s="27">
        <f t="shared" si="11"/>
        <v>0</v>
      </c>
      <c r="K22" s="27">
        <f t="shared" si="5"/>
        <v>1000</v>
      </c>
      <c r="L22" s="259"/>
      <c r="M22" s="27"/>
      <c r="N22" s="27"/>
      <c r="O22" s="250">
        <f t="shared" si="6"/>
        <v>0</v>
      </c>
      <c r="P22" s="259"/>
      <c r="Q22" s="91">
        <f t="shared" si="1"/>
        <v>1000</v>
      </c>
      <c r="R22" s="91">
        <f t="shared" si="2"/>
        <v>0</v>
      </c>
      <c r="S22" s="91">
        <f t="shared" si="3"/>
        <v>1000</v>
      </c>
    </row>
    <row r="23" spans="2:19" x14ac:dyDescent="0.2">
      <c r="B23" s="88">
        <f t="shared" si="8"/>
        <v>15</v>
      </c>
      <c r="C23" s="4"/>
      <c r="D23" s="4"/>
      <c r="E23" s="4"/>
      <c r="F23" s="30" t="s">
        <v>81</v>
      </c>
      <c r="G23" s="4">
        <v>633</v>
      </c>
      <c r="H23" s="4" t="s">
        <v>137</v>
      </c>
      <c r="I23" s="23">
        <v>1000</v>
      </c>
      <c r="J23" s="23"/>
      <c r="K23" s="23">
        <f t="shared" si="5"/>
        <v>1000</v>
      </c>
      <c r="L23" s="259"/>
      <c r="M23" s="23"/>
      <c r="N23" s="23"/>
      <c r="O23" s="220">
        <f t="shared" si="6"/>
        <v>0</v>
      </c>
      <c r="P23" s="259"/>
      <c r="Q23" s="92">
        <f t="shared" si="1"/>
        <v>1000</v>
      </c>
      <c r="R23" s="92">
        <f t="shared" si="2"/>
        <v>0</v>
      </c>
      <c r="S23" s="92">
        <f t="shared" si="3"/>
        <v>1000</v>
      </c>
    </row>
    <row r="24" spans="2:19" ht="15" x14ac:dyDescent="0.25">
      <c r="B24" s="88">
        <f t="shared" si="8"/>
        <v>16</v>
      </c>
      <c r="C24" s="2"/>
      <c r="D24" s="2">
        <v>4</v>
      </c>
      <c r="E24" s="508" t="s">
        <v>205</v>
      </c>
      <c r="F24" s="509"/>
      <c r="G24" s="509"/>
      <c r="H24" s="510"/>
      <c r="I24" s="41">
        <f>I25+I26</f>
        <v>132000</v>
      </c>
      <c r="J24" s="41">
        <f t="shared" ref="J24" si="12">J25+J26</f>
        <v>0</v>
      </c>
      <c r="K24" s="41">
        <f t="shared" si="5"/>
        <v>132000</v>
      </c>
      <c r="L24" s="259"/>
      <c r="M24" s="41">
        <v>0</v>
      </c>
      <c r="N24" s="41">
        <v>0</v>
      </c>
      <c r="O24" s="249">
        <f t="shared" si="6"/>
        <v>0</v>
      </c>
      <c r="P24" s="259"/>
      <c r="Q24" s="90">
        <f t="shared" si="1"/>
        <v>132000</v>
      </c>
      <c r="R24" s="90">
        <f t="shared" si="2"/>
        <v>0</v>
      </c>
      <c r="S24" s="90">
        <f t="shared" si="3"/>
        <v>132000</v>
      </c>
    </row>
    <row r="25" spans="2:19" x14ac:dyDescent="0.2">
      <c r="B25" s="88">
        <f t="shared" si="8"/>
        <v>17</v>
      </c>
      <c r="C25" s="10"/>
      <c r="D25" s="10"/>
      <c r="E25" s="10"/>
      <c r="F25" s="29" t="s">
        <v>81</v>
      </c>
      <c r="G25" s="10">
        <v>620</v>
      </c>
      <c r="H25" s="10" t="s">
        <v>136</v>
      </c>
      <c r="I25" s="27">
        <f>39600-9000</f>
        <v>30600</v>
      </c>
      <c r="J25" s="27"/>
      <c r="K25" s="27">
        <f t="shared" si="5"/>
        <v>30600</v>
      </c>
      <c r="L25" s="259"/>
      <c r="M25" s="27"/>
      <c r="N25" s="27"/>
      <c r="O25" s="250">
        <f t="shared" si="6"/>
        <v>0</v>
      </c>
      <c r="P25" s="259"/>
      <c r="Q25" s="91">
        <f t="shared" si="1"/>
        <v>30600</v>
      </c>
      <c r="R25" s="91">
        <f t="shared" si="2"/>
        <v>0</v>
      </c>
      <c r="S25" s="91">
        <f t="shared" si="3"/>
        <v>30600</v>
      </c>
    </row>
    <row r="26" spans="2:19" x14ac:dyDescent="0.2">
      <c r="B26" s="88">
        <f t="shared" si="8"/>
        <v>18</v>
      </c>
      <c r="C26" s="10"/>
      <c r="D26" s="10"/>
      <c r="E26" s="10"/>
      <c r="F26" s="29" t="s">
        <v>81</v>
      </c>
      <c r="G26" s="10">
        <v>630</v>
      </c>
      <c r="H26" s="10" t="s">
        <v>133</v>
      </c>
      <c r="I26" s="27">
        <f>SUM(I27:I29)</f>
        <v>101400</v>
      </c>
      <c r="J26" s="27">
        <f t="shared" ref="J26" si="13">SUM(J27:J29)</f>
        <v>0</v>
      </c>
      <c r="K26" s="27">
        <f t="shared" si="5"/>
        <v>101400</v>
      </c>
      <c r="L26" s="259"/>
      <c r="M26" s="27"/>
      <c r="N26" s="27"/>
      <c r="O26" s="250">
        <f t="shared" si="6"/>
        <v>0</v>
      </c>
      <c r="P26" s="259"/>
      <c r="Q26" s="91">
        <f t="shared" si="1"/>
        <v>101400</v>
      </c>
      <c r="R26" s="91">
        <f t="shared" si="2"/>
        <v>0</v>
      </c>
      <c r="S26" s="91">
        <f t="shared" si="3"/>
        <v>101400</v>
      </c>
    </row>
    <row r="27" spans="2:19" x14ac:dyDescent="0.2">
      <c r="B27" s="88">
        <f t="shared" si="8"/>
        <v>19</v>
      </c>
      <c r="C27" s="4"/>
      <c r="D27" s="4"/>
      <c r="E27" s="4"/>
      <c r="F27" s="30" t="s">
        <v>81</v>
      </c>
      <c r="G27" s="4">
        <v>632</v>
      </c>
      <c r="H27" s="4" t="s">
        <v>146</v>
      </c>
      <c r="I27" s="23">
        <v>10600</v>
      </c>
      <c r="J27" s="23"/>
      <c r="K27" s="23">
        <f t="shared" si="5"/>
        <v>10600</v>
      </c>
      <c r="L27" s="259"/>
      <c r="M27" s="23"/>
      <c r="N27" s="23"/>
      <c r="O27" s="220">
        <f t="shared" si="6"/>
        <v>0</v>
      </c>
      <c r="P27" s="259"/>
      <c r="Q27" s="92">
        <f t="shared" si="1"/>
        <v>10600</v>
      </c>
      <c r="R27" s="92">
        <f t="shared" si="2"/>
        <v>0</v>
      </c>
      <c r="S27" s="92">
        <f t="shared" si="3"/>
        <v>10600</v>
      </c>
    </row>
    <row r="28" spans="2:19" x14ac:dyDescent="0.2">
      <c r="B28" s="88">
        <f t="shared" si="8"/>
        <v>20</v>
      </c>
      <c r="C28" s="4"/>
      <c r="D28" s="4"/>
      <c r="E28" s="4"/>
      <c r="F28" s="30" t="s">
        <v>81</v>
      </c>
      <c r="G28" s="4">
        <v>633</v>
      </c>
      <c r="H28" s="4" t="s">
        <v>137</v>
      </c>
      <c r="I28" s="23">
        <v>3000</v>
      </c>
      <c r="J28" s="23"/>
      <c r="K28" s="23">
        <f t="shared" si="5"/>
        <v>3000</v>
      </c>
      <c r="L28" s="259"/>
      <c r="M28" s="23"/>
      <c r="N28" s="23"/>
      <c r="O28" s="220">
        <f t="shared" si="6"/>
        <v>0</v>
      </c>
      <c r="P28" s="259"/>
      <c r="Q28" s="92">
        <f t="shared" si="1"/>
        <v>3000</v>
      </c>
      <c r="R28" s="92">
        <f t="shared" si="2"/>
        <v>0</v>
      </c>
      <c r="S28" s="92">
        <f t="shared" si="3"/>
        <v>3000</v>
      </c>
    </row>
    <row r="29" spans="2:19" x14ac:dyDescent="0.2">
      <c r="B29" s="88">
        <f t="shared" si="8"/>
        <v>21</v>
      </c>
      <c r="C29" s="4"/>
      <c r="D29" s="4"/>
      <c r="E29" s="4"/>
      <c r="F29" s="30" t="s">
        <v>81</v>
      </c>
      <c r="G29" s="4">
        <v>637</v>
      </c>
      <c r="H29" s="4" t="s">
        <v>134</v>
      </c>
      <c r="I29" s="23">
        <f>113500-13000-3200-8000-1500</f>
        <v>87800</v>
      </c>
      <c r="J29" s="23"/>
      <c r="K29" s="23">
        <f t="shared" si="5"/>
        <v>87800</v>
      </c>
      <c r="L29" s="259"/>
      <c r="M29" s="23"/>
      <c r="N29" s="23"/>
      <c r="O29" s="220">
        <f t="shared" si="6"/>
        <v>0</v>
      </c>
      <c r="P29" s="259"/>
      <c r="Q29" s="92">
        <f t="shared" si="1"/>
        <v>87800</v>
      </c>
      <c r="R29" s="92">
        <f t="shared" si="2"/>
        <v>0</v>
      </c>
      <c r="S29" s="92">
        <f t="shared" si="3"/>
        <v>87800</v>
      </c>
    </row>
    <row r="30" spans="2:19" ht="15" x14ac:dyDescent="0.2">
      <c r="B30" s="88">
        <f t="shared" si="8"/>
        <v>22</v>
      </c>
      <c r="C30" s="8">
        <v>2</v>
      </c>
      <c r="D30" s="511" t="s">
        <v>219</v>
      </c>
      <c r="E30" s="509"/>
      <c r="F30" s="509"/>
      <c r="G30" s="509"/>
      <c r="H30" s="510"/>
      <c r="I30" s="40">
        <f>I31+I32+I37</f>
        <v>165300</v>
      </c>
      <c r="J30" s="40">
        <f t="shared" ref="J30" si="14">J31+J32+J37</f>
        <v>0</v>
      </c>
      <c r="K30" s="40">
        <f t="shared" si="5"/>
        <v>165300</v>
      </c>
      <c r="L30" s="259"/>
      <c r="M30" s="40">
        <f>M37</f>
        <v>105000</v>
      </c>
      <c r="N30" s="40">
        <f>N37</f>
        <v>0</v>
      </c>
      <c r="O30" s="248">
        <f t="shared" si="6"/>
        <v>105000</v>
      </c>
      <c r="P30" s="259"/>
      <c r="Q30" s="89">
        <f t="shared" si="1"/>
        <v>270300</v>
      </c>
      <c r="R30" s="89">
        <f t="shared" si="2"/>
        <v>0</v>
      </c>
      <c r="S30" s="89">
        <f t="shared" si="3"/>
        <v>270300</v>
      </c>
    </row>
    <row r="31" spans="2:19" x14ac:dyDescent="0.2">
      <c r="B31" s="88">
        <f t="shared" si="8"/>
        <v>23</v>
      </c>
      <c r="C31" s="10"/>
      <c r="D31" s="10"/>
      <c r="E31" s="10"/>
      <c r="F31" s="29" t="s">
        <v>218</v>
      </c>
      <c r="G31" s="10">
        <v>620</v>
      </c>
      <c r="H31" s="10" t="s">
        <v>136</v>
      </c>
      <c r="I31" s="27">
        <f>4500</f>
        <v>4500</v>
      </c>
      <c r="J31" s="27"/>
      <c r="K31" s="27">
        <f t="shared" si="5"/>
        <v>4500</v>
      </c>
      <c r="L31" s="259"/>
      <c r="M31" s="27"/>
      <c r="N31" s="27"/>
      <c r="O31" s="250">
        <f t="shared" si="6"/>
        <v>0</v>
      </c>
      <c r="P31" s="259"/>
      <c r="Q31" s="91">
        <f t="shared" si="1"/>
        <v>4500</v>
      </c>
      <c r="R31" s="91">
        <f t="shared" si="2"/>
        <v>0</v>
      </c>
      <c r="S31" s="91">
        <f t="shared" si="3"/>
        <v>4500</v>
      </c>
    </row>
    <row r="32" spans="2:19" x14ac:dyDescent="0.2">
      <c r="B32" s="88">
        <f t="shared" si="8"/>
        <v>24</v>
      </c>
      <c r="C32" s="10"/>
      <c r="D32" s="10"/>
      <c r="E32" s="10"/>
      <c r="F32" s="29" t="s">
        <v>218</v>
      </c>
      <c r="G32" s="10">
        <v>630</v>
      </c>
      <c r="H32" s="10" t="s">
        <v>133</v>
      </c>
      <c r="I32" s="27">
        <f>SUM(I33:I36)</f>
        <v>160800</v>
      </c>
      <c r="J32" s="27">
        <f t="shared" ref="J32" si="15">SUM(J33:J36)</f>
        <v>0</v>
      </c>
      <c r="K32" s="27">
        <f t="shared" si="5"/>
        <v>160800</v>
      </c>
      <c r="L32" s="259"/>
      <c r="M32" s="27"/>
      <c r="N32" s="27"/>
      <c r="O32" s="250">
        <f t="shared" si="6"/>
        <v>0</v>
      </c>
      <c r="P32" s="259"/>
      <c r="Q32" s="91">
        <f t="shared" si="1"/>
        <v>160800</v>
      </c>
      <c r="R32" s="91">
        <f t="shared" si="2"/>
        <v>0</v>
      </c>
      <c r="S32" s="91">
        <f t="shared" si="3"/>
        <v>160800</v>
      </c>
    </row>
    <row r="33" spans="2:43" x14ac:dyDescent="0.2">
      <c r="B33" s="88">
        <f t="shared" si="8"/>
        <v>25</v>
      </c>
      <c r="C33" s="4"/>
      <c r="D33" s="4"/>
      <c r="E33" s="4"/>
      <c r="F33" s="30" t="s">
        <v>218</v>
      </c>
      <c r="G33" s="4">
        <v>631</v>
      </c>
      <c r="H33" s="4" t="s">
        <v>139</v>
      </c>
      <c r="I33" s="23">
        <v>500</v>
      </c>
      <c r="J33" s="23"/>
      <c r="K33" s="23">
        <f t="shared" si="5"/>
        <v>500</v>
      </c>
      <c r="L33" s="259"/>
      <c r="M33" s="23"/>
      <c r="N33" s="23"/>
      <c r="O33" s="220">
        <f t="shared" si="6"/>
        <v>0</v>
      </c>
      <c r="P33" s="259"/>
      <c r="Q33" s="92">
        <f t="shared" si="1"/>
        <v>500</v>
      </c>
      <c r="R33" s="92">
        <f t="shared" si="2"/>
        <v>0</v>
      </c>
      <c r="S33" s="92">
        <f t="shared" si="3"/>
        <v>500</v>
      </c>
    </row>
    <row r="34" spans="2:43" x14ac:dyDescent="0.2">
      <c r="B34" s="88">
        <f t="shared" si="8"/>
        <v>26</v>
      </c>
      <c r="C34" s="4"/>
      <c r="D34" s="4"/>
      <c r="E34" s="4"/>
      <c r="F34" s="30" t="s">
        <v>218</v>
      </c>
      <c r="G34" s="4">
        <v>633</v>
      </c>
      <c r="H34" s="4" t="s">
        <v>137</v>
      </c>
      <c r="I34" s="23">
        <v>3500</v>
      </c>
      <c r="J34" s="23"/>
      <c r="K34" s="23">
        <f t="shared" si="5"/>
        <v>3500</v>
      </c>
      <c r="L34" s="259"/>
      <c r="M34" s="23"/>
      <c r="N34" s="23"/>
      <c r="O34" s="220">
        <f t="shared" si="6"/>
        <v>0</v>
      </c>
      <c r="P34" s="259"/>
      <c r="Q34" s="92">
        <f t="shared" si="1"/>
        <v>3500</v>
      </c>
      <c r="R34" s="92">
        <f t="shared" si="2"/>
        <v>0</v>
      </c>
      <c r="S34" s="92">
        <f t="shared" si="3"/>
        <v>3500</v>
      </c>
    </row>
    <row r="35" spans="2:43" x14ac:dyDescent="0.2">
      <c r="B35" s="88">
        <f t="shared" si="8"/>
        <v>27</v>
      </c>
      <c r="C35" s="4"/>
      <c r="D35" s="4"/>
      <c r="E35" s="4"/>
      <c r="F35" s="30" t="s">
        <v>218</v>
      </c>
      <c r="G35" s="4">
        <v>635</v>
      </c>
      <c r="H35" s="4" t="s">
        <v>145</v>
      </c>
      <c r="I35" s="23">
        <v>3000</v>
      </c>
      <c r="J35" s="23"/>
      <c r="K35" s="23">
        <f t="shared" si="5"/>
        <v>3000</v>
      </c>
      <c r="L35" s="259"/>
      <c r="M35" s="23"/>
      <c r="N35" s="23"/>
      <c r="O35" s="220">
        <f t="shared" si="6"/>
        <v>0</v>
      </c>
      <c r="P35" s="259"/>
      <c r="Q35" s="92">
        <f t="shared" si="1"/>
        <v>3000</v>
      </c>
      <c r="R35" s="92">
        <f t="shared" si="2"/>
        <v>0</v>
      </c>
      <c r="S35" s="92">
        <f t="shared" si="3"/>
        <v>3000</v>
      </c>
    </row>
    <row r="36" spans="2:43" x14ac:dyDescent="0.2">
      <c r="B36" s="88">
        <f t="shared" si="8"/>
        <v>28</v>
      </c>
      <c r="C36" s="4"/>
      <c r="D36" s="4"/>
      <c r="E36" s="4"/>
      <c r="F36" s="30" t="s">
        <v>218</v>
      </c>
      <c r="G36" s="4">
        <v>637</v>
      </c>
      <c r="H36" s="4" t="s">
        <v>134</v>
      </c>
      <c r="I36" s="23">
        <f>153800</f>
        <v>153800</v>
      </c>
      <c r="J36" s="23"/>
      <c r="K36" s="23">
        <f t="shared" si="5"/>
        <v>153800</v>
      </c>
      <c r="L36" s="259"/>
      <c r="M36" s="23"/>
      <c r="N36" s="23"/>
      <c r="O36" s="220">
        <f t="shared" si="6"/>
        <v>0</v>
      </c>
      <c r="P36" s="259"/>
      <c r="Q36" s="92">
        <f t="shared" si="1"/>
        <v>153800</v>
      </c>
      <c r="R36" s="92">
        <f t="shared" si="2"/>
        <v>0</v>
      </c>
      <c r="S36" s="92">
        <f t="shared" si="3"/>
        <v>153800</v>
      </c>
    </row>
    <row r="37" spans="2:43" x14ac:dyDescent="0.2">
      <c r="B37" s="88">
        <f t="shared" si="8"/>
        <v>29</v>
      </c>
      <c r="C37" s="10"/>
      <c r="D37" s="10"/>
      <c r="E37" s="10"/>
      <c r="F37" s="29" t="s">
        <v>218</v>
      </c>
      <c r="G37" s="10">
        <v>710</v>
      </c>
      <c r="H37" s="10" t="s">
        <v>188</v>
      </c>
      <c r="I37" s="27"/>
      <c r="J37" s="27"/>
      <c r="K37" s="27">
        <f t="shared" si="5"/>
        <v>0</v>
      </c>
      <c r="L37" s="259"/>
      <c r="M37" s="27">
        <f>M38+M40</f>
        <v>105000</v>
      </c>
      <c r="N37" s="27">
        <f>N38+N40</f>
        <v>0</v>
      </c>
      <c r="O37" s="250">
        <f t="shared" si="6"/>
        <v>105000</v>
      </c>
      <c r="P37" s="259"/>
      <c r="Q37" s="91">
        <f t="shared" si="1"/>
        <v>105000</v>
      </c>
      <c r="R37" s="91">
        <f t="shared" si="2"/>
        <v>0</v>
      </c>
      <c r="S37" s="91">
        <f t="shared" si="3"/>
        <v>105000</v>
      </c>
    </row>
    <row r="38" spans="2:43" x14ac:dyDescent="0.2">
      <c r="B38" s="88">
        <f t="shared" si="8"/>
        <v>30</v>
      </c>
      <c r="C38" s="4"/>
      <c r="D38" s="4"/>
      <c r="E38" s="4"/>
      <c r="F38" s="30" t="s">
        <v>218</v>
      </c>
      <c r="G38" s="4">
        <v>711</v>
      </c>
      <c r="H38" s="4" t="s">
        <v>225</v>
      </c>
      <c r="I38" s="23"/>
      <c r="J38" s="23"/>
      <c r="K38" s="23">
        <f t="shared" si="5"/>
        <v>0</v>
      </c>
      <c r="L38" s="259"/>
      <c r="M38" s="23">
        <f>M39</f>
        <v>30000</v>
      </c>
      <c r="N38" s="23">
        <f>N39</f>
        <v>0</v>
      </c>
      <c r="O38" s="220">
        <f t="shared" si="6"/>
        <v>30000</v>
      </c>
      <c r="P38" s="259"/>
      <c r="Q38" s="92">
        <f t="shared" si="1"/>
        <v>30000</v>
      </c>
      <c r="R38" s="92">
        <f t="shared" si="2"/>
        <v>0</v>
      </c>
      <c r="S38" s="92">
        <f t="shared" si="3"/>
        <v>30000</v>
      </c>
    </row>
    <row r="39" spans="2:43" s="37" customFormat="1" ht="12" x14ac:dyDescent="0.2">
      <c r="B39" s="88">
        <f t="shared" si="8"/>
        <v>31</v>
      </c>
      <c r="C39" s="5"/>
      <c r="D39" s="5"/>
      <c r="E39" s="5"/>
      <c r="F39" s="35"/>
      <c r="G39" s="5"/>
      <c r="H39" s="5" t="s">
        <v>356</v>
      </c>
      <c r="I39" s="25"/>
      <c r="J39" s="25"/>
      <c r="K39" s="25">
        <f t="shared" si="5"/>
        <v>0</v>
      </c>
      <c r="L39" s="261"/>
      <c r="M39" s="25">
        <v>30000</v>
      </c>
      <c r="N39" s="25"/>
      <c r="O39" s="251">
        <f t="shared" si="6"/>
        <v>30000</v>
      </c>
      <c r="P39" s="261"/>
      <c r="Q39" s="93">
        <f t="shared" si="1"/>
        <v>30000</v>
      </c>
      <c r="R39" s="93">
        <f t="shared" si="2"/>
        <v>0</v>
      </c>
      <c r="S39" s="93">
        <f t="shared" si="3"/>
        <v>30000</v>
      </c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</row>
    <row r="40" spans="2:43" x14ac:dyDescent="0.2">
      <c r="B40" s="88">
        <f t="shared" si="8"/>
        <v>32</v>
      </c>
      <c r="C40" s="4"/>
      <c r="D40" s="4"/>
      <c r="E40" s="4"/>
      <c r="F40" s="30" t="s">
        <v>218</v>
      </c>
      <c r="G40" s="4">
        <v>716</v>
      </c>
      <c r="H40" s="4" t="s">
        <v>232</v>
      </c>
      <c r="I40" s="23"/>
      <c r="J40" s="23"/>
      <c r="K40" s="23">
        <f t="shared" si="5"/>
        <v>0</v>
      </c>
      <c r="L40" s="259"/>
      <c r="M40" s="23">
        <f>M41</f>
        <v>75000</v>
      </c>
      <c r="N40" s="23">
        <f>N41</f>
        <v>0</v>
      </c>
      <c r="O40" s="220">
        <f t="shared" si="6"/>
        <v>75000</v>
      </c>
      <c r="P40" s="259"/>
      <c r="Q40" s="92">
        <f t="shared" si="1"/>
        <v>75000</v>
      </c>
      <c r="R40" s="92">
        <f t="shared" si="2"/>
        <v>0</v>
      </c>
      <c r="S40" s="92">
        <f t="shared" si="3"/>
        <v>75000</v>
      </c>
    </row>
    <row r="41" spans="2:43" s="37" customFormat="1" ht="12" x14ac:dyDescent="0.2">
      <c r="B41" s="88">
        <f t="shared" si="8"/>
        <v>33</v>
      </c>
      <c r="C41" s="5"/>
      <c r="D41" s="15"/>
      <c r="E41" s="5"/>
      <c r="F41" s="35"/>
      <c r="G41" s="5"/>
      <c r="H41" s="16" t="s">
        <v>357</v>
      </c>
      <c r="I41" s="25"/>
      <c r="J41" s="25"/>
      <c r="K41" s="25">
        <f t="shared" si="5"/>
        <v>0</v>
      </c>
      <c r="L41" s="261"/>
      <c r="M41" s="25">
        <v>75000</v>
      </c>
      <c r="N41" s="25"/>
      <c r="O41" s="251">
        <f t="shared" si="6"/>
        <v>75000</v>
      </c>
      <c r="P41" s="261"/>
      <c r="Q41" s="93">
        <f t="shared" ref="Q41:Q64" si="16">I41+M41</f>
        <v>75000</v>
      </c>
      <c r="R41" s="93">
        <f t="shared" si="2"/>
        <v>0</v>
      </c>
      <c r="S41" s="93">
        <f t="shared" si="3"/>
        <v>75000</v>
      </c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</row>
    <row r="42" spans="2:43" ht="15" x14ac:dyDescent="0.2">
      <c r="B42" s="88">
        <f t="shared" si="8"/>
        <v>34</v>
      </c>
      <c r="C42" s="8">
        <v>3</v>
      </c>
      <c r="D42" s="511" t="s">
        <v>148</v>
      </c>
      <c r="E42" s="509"/>
      <c r="F42" s="509"/>
      <c r="G42" s="509"/>
      <c r="H42" s="510"/>
      <c r="I42" s="40">
        <f>I43</f>
        <v>60550</v>
      </c>
      <c r="J42" s="40">
        <f t="shared" ref="J42:J43" si="17">J43</f>
        <v>51252</v>
      </c>
      <c r="K42" s="40">
        <f t="shared" si="5"/>
        <v>111802</v>
      </c>
      <c r="L42" s="259"/>
      <c r="M42" s="40">
        <f>M45</f>
        <v>324326</v>
      </c>
      <c r="N42" s="40">
        <f>N45</f>
        <v>-219629</v>
      </c>
      <c r="O42" s="248">
        <f t="shared" si="6"/>
        <v>104697</v>
      </c>
      <c r="P42" s="259"/>
      <c r="Q42" s="89">
        <f t="shared" si="16"/>
        <v>384876</v>
      </c>
      <c r="R42" s="89">
        <f t="shared" si="2"/>
        <v>-168377</v>
      </c>
      <c r="S42" s="89">
        <f t="shared" si="3"/>
        <v>216499</v>
      </c>
    </row>
    <row r="43" spans="2:43" x14ac:dyDescent="0.2">
      <c r="B43" s="88">
        <f t="shared" si="8"/>
        <v>35</v>
      </c>
      <c r="C43" s="10"/>
      <c r="D43" s="10"/>
      <c r="E43" s="10"/>
      <c r="F43" s="29" t="s">
        <v>81</v>
      </c>
      <c r="G43" s="10">
        <v>630</v>
      </c>
      <c r="H43" s="10" t="s">
        <v>133</v>
      </c>
      <c r="I43" s="27">
        <f>I44</f>
        <v>60550</v>
      </c>
      <c r="J43" s="27">
        <f t="shared" si="17"/>
        <v>51252</v>
      </c>
      <c r="K43" s="27">
        <f t="shared" si="5"/>
        <v>111802</v>
      </c>
      <c r="L43" s="259"/>
      <c r="M43" s="27"/>
      <c r="N43" s="27"/>
      <c r="O43" s="250">
        <f t="shared" si="6"/>
        <v>0</v>
      </c>
      <c r="P43" s="259"/>
      <c r="Q43" s="91">
        <f t="shared" si="16"/>
        <v>60550</v>
      </c>
      <c r="R43" s="91">
        <f t="shared" si="2"/>
        <v>51252</v>
      </c>
      <c r="S43" s="91">
        <f t="shared" si="3"/>
        <v>111802</v>
      </c>
    </row>
    <row r="44" spans="2:43" x14ac:dyDescent="0.2">
      <c r="B44" s="88">
        <f t="shared" si="8"/>
        <v>36</v>
      </c>
      <c r="C44" s="4"/>
      <c r="D44" s="4"/>
      <c r="E44" s="4"/>
      <c r="F44" s="30" t="s">
        <v>81</v>
      </c>
      <c r="G44" s="4">
        <v>637</v>
      </c>
      <c r="H44" s="4" t="s">
        <v>134</v>
      </c>
      <c r="I44" s="23">
        <f>90500-29950</f>
        <v>60550</v>
      </c>
      <c r="J44" s="23">
        <v>51252</v>
      </c>
      <c r="K44" s="23">
        <f t="shared" si="5"/>
        <v>111802</v>
      </c>
      <c r="L44" s="259"/>
      <c r="M44" s="23"/>
      <c r="N44" s="23"/>
      <c r="O44" s="220">
        <f t="shared" si="6"/>
        <v>0</v>
      </c>
      <c r="P44" s="259"/>
      <c r="Q44" s="92">
        <f t="shared" si="16"/>
        <v>60550</v>
      </c>
      <c r="R44" s="92">
        <f t="shared" si="2"/>
        <v>51252</v>
      </c>
      <c r="S44" s="92">
        <f t="shared" si="3"/>
        <v>111802</v>
      </c>
    </row>
    <row r="45" spans="2:43" x14ac:dyDescent="0.2">
      <c r="B45" s="88">
        <f t="shared" si="8"/>
        <v>37</v>
      </c>
      <c r="C45" s="10"/>
      <c r="D45" s="10"/>
      <c r="E45" s="10"/>
      <c r="F45" s="29" t="s">
        <v>81</v>
      </c>
      <c r="G45" s="10">
        <v>710</v>
      </c>
      <c r="H45" s="10" t="s">
        <v>188</v>
      </c>
      <c r="I45" s="27"/>
      <c r="J45" s="27"/>
      <c r="K45" s="27">
        <f t="shared" si="5"/>
        <v>0</v>
      </c>
      <c r="L45" s="259"/>
      <c r="M45" s="27">
        <f>M46+M48</f>
        <v>324326</v>
      </c>
      <c r="N45" s="27">
        <f>N46+N48</f>
        <v>-219629</v>
      </c>
      <c r="O45" s="250">
        <f t="shared" si="6"/>
        <v>104697</v>
      </c>
      <c r="P45" s="259"/>
      <c r="Q45" s="91">
        <f t="shared" si="16"/>
        <v>324326</v>
      </c>
      <c r="R45" s="91">
        <f t="shared" si="2"/>
        <v>-219629</v>
      </c>
      <c r="S45" s="91">
        <f t="shared" si="3"/>
        <v>104697</v>
      </c>
    </row>
    <row r="46" spans="2:43" x14ac:dyDescent="0.2">
      <c r="B46" s="88">
        <f t="shared" si="8"/>
        <v>38</v>
      </c>
      <c r="C46" s="4"/>
      <c r="D46" s="4"/>
      <c r="E46" s="4"/>
      <c r="F46" s="30" t="s">
        <v>81</v>
      </c>
      <c r="G46" s="4">
        <v>716</v>
      </c>
      <c r="H46" s="4" t="s">
        <v>232</v>
      </c>
      <c r="I46" s="23"/>
      <c r="J46" s="23"/>
      <c r="K46" s="23">
        <f t="shared" si="5"/>
        <v>0</v>
      </c>
      <c r="L46" s="259"/>
      <c r="M46" s="23">
        <f>M47</f>
        <v>130280</v>
      </c>
      <c r="N46" s="23">
        <f>N47</f>
        <v>-79590</v>
      </c>
      <c r="O46" s="220">
        <f t="shared" si="6"/>
        <v>50690</v>
      </c>
      <c r="P46" s="259"/>
      <c r="Q46" s="92">
        <f t="shared" si="16"/>
        <v>130280</v>
      </c>
      <c r="R46" s="92">
        <f t="shared" si="2"/>
        <v>-79590</v>
      </c>
      <c r="S46" s="92">
        <f t="shared" si="3"/>
        <v>50690</v>
      </c>
    </row>
    <row r="47" spans="2:43" s="37" customFormat="1" ht="12" x14ac:dyDescent="0.2">
      <c r="B47" s="88">
        <f t="shared" si="8"/>
        <v>39</v>
      </c>
      <c r="C47" s="5"/>
      <c r="D47" s="5"/>
      <c r="E47" s="5"/>
      <c r="F47" s="35"/>
      <c r="G47" s="5"/>
      <c r="H47" s="5" t="s">
        <v>358</v>
      </c>
      <c r="I47" s="25"/>
      <c r="J47" s="25"/>
      <c r="K47" s="25">
        <f t="shared" si="5"/>
        <v>0</v>
      </c>
      <c r="L47" s="261"/>
      <c r="M47" s="25">
        <f>150000-24000+24000-19720</f>
        <v>130280</v>
      </c>
      <c r="N47" s="25">
        <f>-45600-33990</f>
        <v>-79590</v>
      </c>
      <c r="O47" s="251">
        <f t="shared" si="6"/>
        <v>50690</v>
      </c>
      <c r="P47" s="261"/>
      <c r="Q47" s="93">
        <f t="shared" si="16"/>
        <v>130280</v>
      </c>
      <c r="R47" s="93">
        <f t="shared" si="2"/>
        <v>-79590</v>
      </c>
      <c r="S47" s="93">
        <f t="shared" si="3"/>
        <v>50690</v>
      </c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</row>
    <row r="48" spans="2:43" x14ac:dyDescent="0.2">
      <c r="B48" s="88">
        <f t="shared" si="8"/>
        <v>40</v>
      </c>
      <c r="C48" s="4"/>
      <c r="D48" s="4"/>
      <c r="E48" s="4"/>
      <c r="F48" s="30" t="s">
        <v>81</v>
      </c>
      <c r="G48" s="4">
        <v>717</v>
      </c>
      <c r="H48" s="4" t="s">
        <v>198</v>
      </c>
      <c r="I48" s="23"/>
      <c r="J48" s="23"/>
      <c r="K48" s="23">
        <f t="shared" si="5"/>
        <v>0</v>
      </c>
      <c r="L48" s="259"/>
      <c r="M48" s="23">
        <f>SUM(M49:M49)</f>
        <v>194046</v>
      </c>
      <c r="N48" s="23">
        <f>SUM(N49:N49)</f>
        <v>-140039</v>
      </c>
      <c r="O48" s="220">
        <f t="shared" si="6"/>
        <v>54007</v>
      </c>
      <c r="P48" s="259"/>
      <c r="Q48" s="92">
        <f t="shared" si="16"/>
        <v>194046</v>
      </c>
      <c r="R48" s="92">
        <f t="shared" si="2"/>
        <v>-140039</v>
      </c>
      <c r="S48" s="92">
        <f t="shared" si="3"/>
        <v>54007</v>
      </c>
    </row>
    <row r="49" spans="2:19" x14ac:dyDescent="0.2">
      <c r="B49" s="88">
        <f t="shared" si="8"/>
        <v>41</v>
      </c>
      <c r="C49" s="5"/>
      <c r="D49" s="5"/>
      <c r="E49" s="5"/>
      <c r="F49" s="31"/>
      <c r="G49" s="5"/>
      <c r="H49" s="5" t="s">
        <v>86</v>
      </c>
      <c r="I49" s="25"/>
      <c r="J49" s="25"/>
      <c r="K49" s="25">
        <f t="shared" si="5"/>
        <v>0</v>
      </c>
      <c r="L49" s="259"/>
      <c r="M49" s="25">
        <f>248910-12850-50000+7986</f>
        <v>194046</v>
      </c>
      <c r="N49" s="25">
        <v>-140039</v>
      </c>
      <c r="O49" s="251">
        <f t="shared" si="6"/>
        <v>54007</v>
      </c>
      <c r="P49" s="259"/>
      <c r="Q49" s="93">
        <f t="shared" si="16"/>
        <v>194046</v>
      </c>
      <c r="R49" s="93">
        <f t="shared" si="2"/>
        <v>-140039</v>
      </c>
      <c r="S49" s="93">
        <f t="shared" si="3"/>
        <v>54007</v>
      </c>
    </row>
    <row r="50" spans="2:19" ht="15" x14ac:dyDescent="0.2">
      <c r="B50" s="88">
        <f t="shared" si="8"/>
        <v>42</v>
      </c>
      <c r="C50" s="8">
        <v>4</v>
      </c>
      <c r="D50" s="511" t="s">
        <v>346</v>
      </c>
      <c r="E50" s="509"/>
      <c r="F50" s="509"/>
      <c r="G50" s="509"/>
      <c r="H50" s="510"/>
      <c r="I50" s="40">
        <v>0</v>
      </c>
      <c r="J50" s="40">
        <v>0</v>
      </c>
      <c r="K50" s="40">
        <f t="shared" si="5"/>
        <v>0</v>
      </c>
      <c r="L50" s="259"/>
      <c r="M50" s="40">
        <v>0</v>
      </c>
      <c r="N50" s="40">
        <v>0</v>
      </c>
      <c r="O50" s="248">
        <f t="shared" si="6"/>
        <v>0</v>
      </c>
      <c r="P50" s="259"/>
      <c r="Q50" s="89">
        <f t="shared" si="16"/>
        <v>0</v>
      </c>
      <c r="R50" s="89">
        <f t="shared" si="2"/>
        <v>0</v>
      </c>
      <c r="S50" s="89">
        <f t="shared" si="3"/>
        <v>0</v>
      </c>
    </row>
    <row r="51" spans="2:19" ht="15" x14ac:dyDescent="0.2">
      <c r="B51" s="88">
        <f t="shared" si="8"/>
        <v>43</v>
      </c>
      <c r="C51" s="8">
        <v>5</v>
      </c>
      <c r="D51" s="511" t="s">
        <v>347</v>
      </c>
      <c r="E51" s="509"/>
      <c r="F51" s="509"/>
      <c r="G51" s="509"/>
      <c r="H51" s="510"/>
      <c r="I51" s="40">
        <v>0</v>
      </c>
      <c r="J51" s="40">
        <v>0</v>
      </c>
      <c r="K51" s="40">
        <f t="shared" si="5"/>
        <v>0</v>
      </c>
      <c r="L51" s="259"/>
      <c r="M51" s="40">
        <v>0</v>
      </c>
      <c r="N51" s="40">
        <v>0</v>
      </c>
      <c r="O51" s="248">
        <f t="shared" si="6"/>
        <v>0</v>
      </c>
      <c r="P51" s="259"/>
      <c r="Q51" s="89">
        <f t="shared" si="16"/>
        <v>0</v>
      </c>
      <c r="R51" s="89">
        <f t="shared" si="2"/>
        <v>0</v>
      </c>
      <c r="S51" s="89">
        <f t="shared" si="3"/>
        <v>0</v>
      </c>
    </row>
    <row r="52" spans="2:19" ht="15" x14ac:dyDescent="0.2">
      <c r="B52" s="88">
        <f t="shared" si="8"/>
        <v>44</v>
      </c>
      <c r="C52" s="8">
        <v>6</v>
      </c>
      <c r="D52" s="511" t="s">
        <v>348</v>
      </c>
      <c r="E52" s="509"/>
      <c r="F52" s="509"/>
      <c r="G52" s="509"/>
      <c r="H52" s="510"/>
      <c r="I52" s="40">
        <v>0</v>
      </c>
      <c r="J52" s="40">
        <v>0</v>
      </c>
      <c r="K52" s="40">
        <f t="shared" si="5"/>
        <v>0</v>
      </c>
      <c r="L52" s="259"/>
      <c r="M52" s="40">
        <v>0</v>
      </c>
      <c r="N52" s="40">
        <v>0</v>
      </c>
      <c r="O52" s="248">
        <f t="shared" si="6"/>
        <v>0</v>
      </c>
      <c r="P52" s="259"/>
      <c r="Q52" s="89">
        <f t="shared" si="16"/>
        <v>0</v>
      </c>
      <c r="R52" s="89">
        <f t="shared" si="2"/>
        <v>0</v>
      </c>
      <c r="S52" s="89">
        <f t="shared" si="3"/>
        <v>0</v>
      </c>
    </row>
    <row r="53" spans="2:19" ht="15" x14ac:dyDescent="0.2">
      <c r="B53" s="88">
        <f t="shared" si="8"/>
        <v>45</v>
      </c>
      <c r="C53" s="8">
        <v>7</v>
      </c>
      <c r="D53" s="511" t="s">
        <v>264</v>
      </c>
      <c r="E53" s="509"/>
      <c r="F53" s="509"/>
      <c r="G53" s="509"/>
      <c r="H53" s="510"/>
      <c r="I53" s="40">
        <f>I54+I55+I59</f>
        <v>97300</v>
      </c>
      <c r="J53" s="40">
        <f t="shared" ref="J53" si="18">J54+J55+J59</f>
        <v>0</v>
      </c>
      <c r="K53" s="40">
        <f t="shared" si="5"/>
        <v>97300</v>
      </c>
      <c r="L53" s="259"/>
      <c r="M53" s="40">
        <v>0</v>
      </c>
      <c r="N53" s="40">
        <v>0</v>
      </c>
      <c r="O53" s="248">
        <f t="shared" si="6"/>
        <v>0</v>
      </c>
      <c r="P53" s="259"/>
      <c r="Q53" s="89">
        <f t="shared" si="16"/>
        <v>97300</v>
      </c>
      <c r="R53" s="89">
        <f t="shared" si="2"/>
        <v>0</v>
      </c>
      <c r="S53" s="89">
        <f t="shared" si="3"/>
        <v>97300</v>
      </c>
    </row>
    <row r="54" spans="2:19" x14ac:dyDescent="0.2">
      <c r="B54" s="88">
        <f t="shared" si="8"/>
        <v>46</v>
      </c>
      <c r="C54" s="10"/>
      <c r="D54" s="10"/>
      <c r="E54" s="10"/>
      <c r="F54" s="29" t="s">
        <v>81</v>
      </c>
      <c r="G54" s="10">
        <v>620</v>
      </c>
      <c r="H54" s="10" t="s">
        <v>136</v>
      </c>
      <c r="I54" s="27">
        <f>10200+500</f>
        <v>10700</v>
      </c>
      <c r="J54" s="27"/>
      <c r="K54" s="27">
        <f t="shared" si="5"/>
        <v>10700</v>
      </c>
      <c r="L54" s="259"/>
      <c r="M54" s="27"/>
      <c r="N54" s="27"/>
      <c r="O54" s="250">
        <f t="shared" si="6"/>
        <v>0</v>
      </c>
      <c r="P54" s="259"/>
      <c r="Q54" s="91">
        <f t="shared" si="16"/>
        <v>10700</v>
      </c>
      <c r="R54" s="91">
        <f t="shared" si="2"/>
        <v>0</v>
      </c>
      <c r="S54" s="91">
        <f t="shared" si="3"/>
        <v>10700</v>
      </c>
    </row>
    <row r="55" spans="2:19" x14ac:dyDescent="0.2">
      <c r="B55" s="88">
        <f t="shared" si="8"/>
        <v>47</v>
      </c>
      <c r="C55" s="10"/>
      <c r="D55" s="10"/>
      <c r="E55" s="10"/>
      <c r="F55" s="29" t="s">
        <v>81</v>
      </c>
      <c r="G55" s="10">
        <v>630</v>
      </c>
      <c r="H55" s="10" t="s">
        <v>133</v>
      </c>
      <c r="I55" s="27">
        <f>SUM(I56:I58)</f>
        <v>76700</v>
      </c>
      <c r="J55" s="27">
        <f t="shared" ref="J55" si="19">SUM(J56:J58)</f>
        <v>0</v>
      </c>
      <c r="K55" s="27">
        <f t="shared" si="5"/>
        <v>76700</v>
      </c>
      <c r="L55" s="259"/>
      <c r="M55" s="27"/>
      <c r="N55" s="27"/>
      <c r="O55" s="250">
        <f t="shared" si="6"/>
        <v>0</v>
      </c>
      <c r="P55" s="259"/>
      <c r="Q55" s="91">
        <f t="shared" si="16"/>
        <v>76700</v>
      </c>
      <c r="R55" s="91">
        <f t="shared" si="2"/>
        <v>0</v>
      </c>
      <c r="S55" s="91">
        <f t="shared" si="3"/>
        <v>76700</v>
      </c>
    </row>
    <row r="56" spans="2:19" x14ac:dyDescent="0.2">
      <c r="B56" s="88">
        <f t="shared" si="8"/>
        <v>48</v>
      </c>
      <c r="C56" s="4"/>
      <c r="D56" s="4"/>
      <c r="E56" s="4"/>
      <c r="F56" s="30" t="s">
        <v>81</v>
      </c>
      <c r="G56" s="4">
        <v>632</v>
      </c>
      <c r="H56" s="4" t="s">
        <v>146</v>
      </c>
      <c r="I56" s="23">
        <f>20000+10000</f>
        <v>30000</v>
      </c>
      <c r="J56" s="23"/>
      <c r="K56" s="23">
        <f t="shared" si="5"/>
        <v>30000</v>
      </c>
      <c r="L56" s="259"/>
      <c r="M56" s="23"/>
      <c r="N56" s="23"/>
      <c r="O56" s="220">
        <f t="shared" si="6"/>
        <v>0</v>
      </c>
      <c r="P56" s="259"/>
      <c r="Q56" s="92">
        <f t="shared" si="16"/>
        <v>30000</v>
      </c>
      <c r="R56" s="92">
        <f t="shared" si="2"/>
        <v>0</v>
      </c>
      <c r="S56" s="92">
        <f t="shared" si="3"/>
        <v>30000</v>
      </c>
    </row>
    <row r="57" spans="2:19" x14ac:dyDescent="0.2">
      <c r="B57" s="88">
        <f t="shared" si="8"/>
        <v>49</v>
      </c>
      <c r="C57" s="4"/>
      <c r="D57" s="4"/>
      <c r="E57" s="4"/>
      <c r="F57" s="30" t="s">
        <v>81</v>
      </c>
      <c r="G57" s="4">
        <v>633</v>
      </c>
      <c r="H57" s="4" t="s">
        <v>137</v>
      </c>
      <c r="I57" s="23">
        <v>5500</v>
      </c>
      <c r="J57" s="23"/>
      <c r="K57" s="23">
        <f t="shared" si="5"/>
        <v>5500</v>
      </c>
      <c r="L57" s="259"/>
      <c r="M57" s="23"/>
      <c r="N57" s="23"/>
      <c r="O57" s="220">
        <f t="shared" si="6"/>
        <v>0</v>
      </c>
      <c r="P57" s="259"/>
      <c r="Q57" s="92">
        <f t="shared" si="16"/>
        <v>5500</v>
      </c>
      <c r="R57" s="92">
        <f t="shared" si="2"/>
        <v>0</v>
      </c>
      <c r="S57" s="92">
        <f t="shared" si="3"/>
        <v>5500</v>
      </c>
    </row>
    <row r="58" spans="2:19" x14ac:dyDescent="0.2">
      <c r="B58" s="88">
        <f t="shared" si="8"/>
        <v>50</v>
      </c>
      <c r="C58" s="4"/>
      <c r="D58" s="4"/>
      <c r="E58" s="4"/>
      <c r="F58" s="30" t="s">
        <v>81</v>
      </c>
      <c r="G58" s="4">
        <v>637</v>
      </c>
      <c r="H58" s="4" t="s">
        <v>134</v>
      </c>
      <c r="I58" s="23">
        <f>40000+1200</f>
        <v>41200</v>
      </c>
      <c r="J58" s="23"/>
      <c r="K58" s="23">
        <f t="shared" si="5"/>
        <v>41200</v>
      </c>
      <c r="L58" s="259"/>
      <c r="M58" s="23"/>
      <c r="N58" s="23"/>
      <c r="O58" s="220">
        <f t="shared" si="6"/>
        <v>0</v>
      </c>
      <c r="P58" s="259"/>
      <c r="Q58" s="92">
        <f t="shared" si="16"/>
        <v>41200</v>
      </c>
      <c r="R58" s="92">
        <f t="shared" si="2"/>
        <v>0</v>
      </c>
      <c r="S58" s="92">
        <f t="shared" si="3"/>
        <v>41200</v>
      </c>
    </row>
    <row r="59" spans="2:19" x14ac:dyDescent="0.2">
      <c r="B59" s="88">
        <f t="shared" si="8"/>
        <v>51</v>
      </c>
      <c r="C59" s="10"/>
      <c r="D59" s="10"/>
      <c r="E59" s="10"/>
      <c r="F59" s="29" t="s">
        <v>263</v>
      </c>
      <c r="G59" s="10">
        <v>630</v>
      </c>
      <c r="H59" s="10" t="s">
        <v>133</v>
      </c>
      <c r="I59" s="27">
        <f>I60</f>
        <v>9900</v>
      </c>
      <c r="J59" s="27">
        <f t="shared" ref="J59" si="20">J60</f>
        <v>0</v>
      </c>
      <c r="K59" s="27">
        <f t="shared" si="5"/>
        <v>9900</v>
      </c>
      <c r="L59" s="259"/>
      <c r="M59" s="27"/>
      <c r="N59" s="27"/>
      <c r="O59" s="250">
        <f t="shared" si="6"/>
        <v>0</v>
      </c>
      <c r="P59" s="259"/>
      <c r="Q59" s="91">
        <f t="shared" si="16"/>
        <v>9900</v>
      </c>
      <c r="R59" s="91">
        <f t="shared" si="2"/>
        <v>0</v>
      </c>
      <c r="S59" s="91">
        <f t="shared" si="3"/>
        <v>9900</v>
      </c>
    </row>
    <row r="60" spans="2:19" x14ac:dyDescent="0.2">
      <c r="B60" s="88">
        <f t="shared" si="8"/>
        <v>52</v>
      </c>
      <c r="C60" s="4"/>
      <c r="D60" s="4"/>
      <c r="E60" s="4"/>
      <c r="F60" s="30" t="s">
        <v>263</v>
      </c>
      <c r="G60" s="4">
        <v>637</v>
      </c>
      <c r="H60" s="4" t="s">
        <v>134</v>
      </c>
      <c r="I60" s="23">
        <v>9900</v>
      </c>
      <c r="J60" s="23"/>
      <c r="K60" s="23">
        <f t="shared" si="5"/>
        <v>9900</v>
      </c>
      <c r="L60" s="259"/>
      <c r="M60" s="23"/>
      <c r="N60" s="23"/>
      <c r="O60" s="220">
        <f t="shared" si="6"/>
        <v>0</v>
      </c>
      <c r="P60" s="259"/>
      <c r="Q60" s="92">
        <f t="shared" si="16"/>
        <v>9900</v>
      </c>
      <c r="R60" s="92">
        <f t="shared" si="2"/>
        <v>0</v>
      </c>
      <c r="S60" s="92">
        <f t="shared" si="3"/>
        <v>9900</v>
      </c>
    </row>
    <row r="61" spans="2:19" ht="15" x14ac:dyDescent="0.2">
      <c r="B61" s="88">
        <f t="shared" si="8"/>
        <v>53</v>
      </c>
      <c r="C61" s="8">
        <v>8</v>
      </c>
      <c r="D61" s="511" t="s">
        <v>292</v>
      </c>
      <c r="E61" s="509"/>
      <c r="F61" s="509"/>
      <c r="G61" s="509"/>
      <c r="H61" s="510"/>
      <c r="I61" s="40">
        <f>I62</f>
        <v>15500</v>
      </c>
      <c r="J61" s="40">
        <f t="shared" ref="J61:J62" si="21">J62</f>
        <v>0</v>
      </c>
      <c r="K61" s="40">
        <f t="shared" si="5"/>
        <v>15500</v>
      </c>
      <c r="L61" s="259"/>
      <c r="M61" s="40">
        <v>0</v>
      </c>
      <c r="N61" s="40">
        <v>0</v>
      </c>
      <c r="O61" s="248">
        <f t="shared" si="6"/>
        <v>0</v>
      </c>
      <c r="P61" s="259"/>
      <c r="Q61" s="89">
        <f t="shared" si="16"/>
        <v>15500</v>
      </c>
      <c r="R61" s="89">
        <f t="shared" si="2"/>
        <v>0</v>
      </c>
      <c r="S61" s="89">
        <f t="shared" si="3"/>
        <v>15500</v>
      </c>
    </row>
    <row r="62" spans="2:19" x14ac:dyDescent="0.2">
      <c r="B62" s="88">
        <f t="shared" si="8"/>
        <v>54</v>
      </c>
      <c r="C62" s="10"/>
      <c r="D62" s="10"/>
      <c r="E62" s="10"/>
      <c r="F62" s="29" t="s">
        <v>156</v>
      </c>
      <c r="G62" s="10">
        <v>640</v>
      </c>
      <c r="H62" s="10" t="s">
        <v>141</v>
      </c>
      <c r="I62" s="27">
        <f>I63</f>
        <v>15500</v>
      </c>
      <c r="J62" s="27">
        <f t="shared" si="21"/>
        <v>0</v>
      </c>
      <c r="K62" s="27">
        <f t="shared" si="5"/>
        <v>15500</v>
      </c>
      <c r="L62" s="259"/>
      <c r="M62" s="27"/>
      <c r="N62" s="27"/>
      <c r="O62" s="250">
        <f t="shared" si="6"/>
        <v>0</v>
      </c>
      <c r="P62" s="259"/>
      <c r="Q62" s="91">
        <f t="shared" si="16"/>
        <v>15500</v>
      </c>
      <c r="R62" s="91">
        <f t="shared" si="2"/>
        <v>0</v>
      </c>
      <c r="S62" s="91">
        <f t="shared" si="3"/>
        <v>15500</v>
      </c>
    </row>
    <row r="63" spans="2:19" x14ac:dyDescent="0.2">
      <c r="B63" s="88">
        <f t="shared" si="8"/>
        <v>55</v>
      </c>
      <c r="C63" s="4"/>
      <c r="D63" s="4"/>
      <c r="E63" s="4"/>
      <c r="F63" s="30" t="s">
        <v>156</v>
      </c>
      <c r="G63" s="4">
        <v>642</v>
      </c>
      <c r="H63" s="4" t="s">
        <v>142</v>
      </c>
      <c r="I63" s="23">
        <v>15500</v>
      </c>
      <c r="J63" s="23"/>
      <c r="K63" s="23">
        <f t="shared" si="5"/>
        <v>15500</v>
      </c>
      <c r="L63" s="259"/>
      <c r="M63" s="23"/>
      <c r="N63" s="23"/>
      <c r="O63" s="220">
        <f t="shared" si="6"/>
        <v>0</v>
      </c>
      <c r="P63" s="259"/>
      <c r="Q63" s="92">
        <f t="shared" si="16"/>
        <v>15500</v>
      </c>
      <c r="R63" s="92">
        <f t="shared" si="2"/>
        <v>0</v>
      </c>
      <c r="S63" s="92">
        <f t="shared" si="3"/>
        <v>15500</v>
      </c>
    </row>
    <row r="64" spans="2:19" ht="15.75" thickBot="1" x14ac:dyDescent="0.25">
      <c r="B64" s="94">
        <f t="shared" si="8"/>
        <v>56</v>
      </c>
      <c r="C64" s="167">
        <v>9</v>
      </c>
      <c r="D64" s="540" t="s">
        <v>192</v>
      </c>
      <c r="E64" s="541"/>
      <c r="F64" s="541"/>
      <c r="G64" s="541"/>
      <c r="H64" s="542"/>
      <c r="I64" s="168">
        <v>0</v>
      </c>
      <c r="J64" s="168">
        <v>0</v>
      </c>
      <c r="K64" s="168">
        <f t="shared" si="5"/>
        <v>0</v>
      </c>
      <c r="L64" s="259"/>
      <c r="M64" s="168">
        <v>0</v>
      </c>
      <c r="N64" s="168">
        <v>0</v>
      </c>
      <c r="O64" s="252">
        <f t="shared" si="6"/>
        <v>0</v>
      </c>
      <c r="P64" s="259"/>
      <c r="Q64" s="169">
        <f t="shared" si="16"/>
        <v>0</v>
      </c>
      <c r="R64" s="169">
        <f t="shared" si="2"/>
        <v>0</v>
      </c>
      <c r="S64" s="169">
        <f t="shared" si="3"/>
        <v>0</v>
      </c>
    </row>
    <row r="122" spans="2:19" ht="27.75" thickBot="1" x14ac:dyDescent="0.4">
      <c r="B122" s="480" t="s">
        <v>23</v>
      </c>
      <c r="C122" s="481"/>
      <c r="D122" s="481"/>
      <c r="E122" s="481"/>
      <c r="F122" s="481"/>
      <c r="G122" s="481"/>
      <c r="H122" s="481"/>
      <c r="I122" s="481"/>
      <c r="J122" s="481"/>
      <c r="K122" s="481"/>
      <c r="L122" s="481"/>
      <c r="M122" s="481"/>
      <c r="N122" s="481"/>
      <c r="O122" s="481"/>
      <c r="P122" s="481"/>
      <c r="Q122" s="481"/>
    </row>
    <row r="123" spans="2:19" ht="13.5" customHeight="1" thickBot="1" x14ac:dyDescent="0.25">
      <c r="B123" s="482" t="s">
        <v>353</v>
      </c>
      <c r="C123" s="483"/>
      <c r="D123" s="483"/>
      <c r="E123" s="483"/>
      <c r="F123" s="483"/>
      <c r="G123" s="483"/>
      <c r="H123" s="483"/>
      <c r="I123" s="484"/>
      <c r="J123" s="484"/>
      <c r="K123" s="484"/>
      <c r="L123" s="484"/>
      <c r="M123" s="484"/>
      <c r="N123" s="244"/>
      <c r="O123" s="244"/>
      <c r="P123" s="260"/>
      <c r="Q123" s="485" t="s">
        <v>651</v>
      </c>
      <c r="R123" s="471" t="s">
        <v>648</v>
      </c>
      <c r="S123" s="474" t="s">
        <v>652</v>
      </c>
    </row>
    <row r="124" spans="2:19" ht="12.75" customHeight="1" x14ac:dyDescent="0.2">
      <c r="B124" s="522"/>
      <c r="C124" s="525" t="s">
        <v>126</v>
      </c>
      <c r="D124" s="525" t="s">
        <v>127</v>
      </c>
      <c r="E124" s="525"/>
      <c r="F124" s="525" t="s">
        <v>128</v>
      </c>
      <c r="G124" s="528" t="s">
        <v>129</v>
      </c>
      <c r="H124" s="531" t="s">
        <v>130</v>
      </c>
      <c r="I124" s="496" t="s">
        <v>647</v>
      </c>
      <c r="J124" s="502" t="s">
        <v>648</v>
      </c>
      <c r="K124" s="477" t="s">
        <v>649</v>
      </c>
      <c r="L124" s="269"/>
      <c r="M124" s="517" t="s">
        <v>650</v>
      </c>
      <c r="N124" s="471" t="s">
        <v>648</v>
      </c>
      <c r="O124" s="477" t="s">
        <v>649</v>
      </c>
      <c r="P124" s="259"/>
      <c r="Q124" s="486"/>
      <c r="R124" s="472"/>
      <c r="S124" s="475"/>
    </row>
    <row r="125" spans="2:19" x14ac:dyDescent="0.2">
      <c r="B125" s="523"/>
      <c r="C125" s="526"/>
      <c r="D125" s="526"/>
      <c r="E125" s="526"/>
      <c r="F125" s="526"/>
      <c r="G125" s="529"/>
      <c r="H125" s="532"/>
      <c r="I125" s="496"/>
      <c r="J125" s="502"/>
      <c r="K125" s="478"/>
      <c r="L125" s="259"/>
      <c r="M125" s="500"/>
      <c r="N125" s="472"/>
      <c r="O125" s="478"/>
      <c r="P125" s="259"/>
      <c r="Q125" s="486"/>
      <c r="R125" s="472"/>
      <c r="S125" s="475"/>
    </row>
    <row r="126" spans="2:19" x14ac:dyDescent="0.2">
      <c r="B126" s="523"/>
      <c r="C126" s="526"/>
      <c r="D126" s="526"/>
      <c r="E126" s="526"/>
      <c r="F126" s="526"/>
      <c r="G126" s="529"/>
      <c r="H126" s="532"/>
      <c r="I126" s="496"/>
      <c r="J126" s="502"/>
      <c r="K126" s="478"/>
      <c r="L126" s="259"/>
      <c r="M126" s="500"/>
      <c r="N126" s="472"/>
      <c r="O126" s="478"/>
      <c r="P126" s="259"/>
      <c r="Q126" s="486"/>
      <c r="R126" s="472"/>
      <c r="S126" s="475"/>
    </row>
    <row r="127" spans="2:19" ht="13.5" thickBot="1" x14ac:dyDescent="0.25">
      <c r="B127" s="524"/>
      <c r="C127" s="527"/>
      <c r="D127" s="527"/>
      <c r="E127" s="527"/>
      <c r="F127" s="527"/>
      <c r="G127" s="530"/>
      <c r="H127" s="533"/>
      <c r="I127" s="497"/>
      <c r="J127" s="503"/>
      <c r="K127" s="479"/>
      <c r="L127" s="259"/>
      <c r="M127" s="501"/>
      <c r="N127" s="473"/>
      <c r="O127" s="479"/>
      <c r="P127" s="259"/>
      <c r="Q127" s="487"/>
      <c r="R127" s="473"/>
      <c r="S127" s="476"/>
    </row>
    <row r="128" spans="2:19" ht="16.5" thickTop="1" x14ac:dyDescent="0.2">
      <c r="B128" s="88">
        <v>1</v>
      </c>
      <c r="C128" s="505" t="s">
        <v>23</v>
      </c>
      <c r="D128" s="518"/>
      <c r="E128" s="518"/>
      <c r="F128" s="518"/>
      <c r="G128" s="518"/>
      <c r="H128" s="519"/>
      <c r="I128" s="39">
        <f>I139+I129</f>
        <v>133120</v>
      </c>
      <c r="J128" s="39">
        <f>J139+J129</f>
        <v>-2000</v>
      </c>
      <c r="K128" s="253">
        <f>I128+J128</f>
        <v>131120</v>
      </c>
      <c r="L128" s="259"/>
      <c r="M128" s="336">
        <f>M139+M129</f>
        <v>0</v>
      </c>
      <c r="N128" s="39">
        <f>N139+N129</f>
        <v>0</v>
      </c>
      <c r="O128" s="253">
        <f>M128+N128</f>
        <v>0</v>
      </c>
      <c r="P128" s="259"/>
      <c r="Q128" s="331">
        <f t="shared" ref="Q128:Q144" si="22">I128+M128</f>
        <v>133120</v>
      </c>
      <c r="R128" s="98">
        <f t="shared" ref="R128:R144" si="23">J128+N128</f>
        <v>-2000</v>
      </c>
      <c r="S128" s="98">
        <f t="shared" ref="S128:S144" si="24">K128+O128</f>
        <v>131120</v>
      </c>
    </row>
    <row r="129" spans="2:19" ht="15" x14ac:dyDescent="0.2">
      <c r="B129" s="88">
        <f>B128+1</f>
        <v>2</v>
      </c>
      <c r="C129" s="242">
        <v>1</v>
      </c>
      <c r="D129" s="511" t="s">
        <v>211</v>
      </c>
      <c r="E129" s="520"/>
      <c r="F129" s="520"/>
      <c r="G129" s="520"/>
      <c r="H129" s="521"/>
      <c r="I129" s="40">
        <f>I130+I132+I136+I138+I134</f>
        <v>101600</v>
      </c>
      <c r="J129" s="40">
        <f>J130+J132+J136+J138+J134</f>
        <v>-2000</v>
      </c>
      <c r="K129" s="248">
        <f t="shared" ref="K129:K144" si="25">I129+J129</f>
        <v>99600</v>
      </c>
      <c r="L129" s="259"/>
      <c r="M129" s="318">
        <v>0</v>
      </c>
      <c r="N129" s="40">
        <v>0</v>
      </c>
      <c r="O129" s="248">
        <f t="shared" ref="O129:O144" si="26">M129+N129</f>
        <v>0</v>
      </c>
      <c r="P129" s="259"/>
      <c r="Q129" s="313">
        <f t="shared" si="22"/>
        <v>101600</v>
      </c>
      <c r="R129" s="89">
        <f t="shared" si="23"/>
        <v>-2000</v>
      </c>
      <c r="S129" s="89">
        <f t="shared" si="24"/>
        <v>99600</v>
      </c>
    </row>
    <row r="130" spans="2:19" x14ac:dyDescent="0.2">
      <c r="B130" s="88">
        <f>B129+1</f>
        <v>3</v>
      </c>
      <c r="C130" s="10"/>
      <c r="D130" s="10"/>
      <c r="E130" s="10"/>
      <c r="F130" s="29" t="s">
        <v>81</v>
      </c>
      <c r="G130" s="10">
        <v>630</v>
      </c>
      <c r="H130" s="10" t="s">
        <v>133</v>
      </c>
      <c r="I130" s="27">
        <f>I131</f>
        <v>22000</v>
      </c>
      <c r="J130" s="27">
        <f>J131</f>
        <v>0</v>
      </c>
      <c r="K130" s="250">
        <f t="shared" si="25"/>
        <v>22000</v>
      </c>
      <c r="L130" s="259"/>
      <c r="M130" s="315"/>
      <c r="N130" s="27"/>
      <c r="O130" s="250">
        <f t="shared" si="26"/>
        <v>0</v>
      </c>
      <c r="P130" s="259"/>
      <c r="Q130" s="309">
        <f t="shared" si="22"/>
        <v>22000</v>
      </c>
      <c r="R130" s="91">
        <f t="shared" si="23"/>
        <v>0</v>
      </c>
      <c r="S130" s="91">
        <f t="shared" si="24"/>
        <v>22000</v>
      </c>
    </row>
    <row r="131" spans="2:19" x14ac:dyDescent="0.2">
      <c r="B131" s="88">
        <f t="shared" ref="B131:B144" si="27">B130+1</f>
        <v>4</v>
      </c>
      <c r="C131" s="4"/>
      <c r="D131" s="4"/>
      <c r="E131" s="4"/>
      <c r="F131" s="30" t="s">
        <v>81</v>
      </c>
      <c r="G131" s="4">
        <v>637</v>
      </c>
      <c r="H131" s="4" t="s">
        <v>134</v>
      </c>
      <c r="I131" s="23">
        <v>22000</v>
      </c>
      <c r="J131" s="23"/>
      <c r="K131" s="220">
        <f t="shared" si="25"/>
        <v>22000</v>
      </c>
      <c r="L131" s="259"/>
      <c r="M131" s="227"/>
      <c r="N131" s="23"/>
      <c r="O131" s="220">
        <f t="shared" si="26"/>
        <v>0</v>
      </c>
      <c r="P131" s="259"/>
      <c r="Q131" s="308">
        <f t="shared" si="22"/>
        <v>22000</v>
      </c>
      <c r="R131" s="92">
        <f t="shared" si="23"/>
        <v>0</v>
      </c>
      <c r="S131" s="92">
        <f t="shared" si="24"/>
        <v>22000</v>
      </c>
    </row>
    <row r="132" spans="2:19" x14ac:dyDescent="0.2">
      <c r="B132" s="88">
        <f t="shared" si="27"/>
        <v>5</v>
      </c>
      <c r="C132" s="10"/>
      <c r="D132" s="10"/>
      <c r="E132" s="10"/>
      <c r="F132" s="29" t="s">
        <v>260</v>
      </c>
      <c r="G132" s="10">
        <v>630</v>
      </c>
      <c r="H132" s="10" t="s">
        <v>133</v>
      </c>
      <c r="I132" s="27">
        <f>I133</f>
        <v>10000</v>
      </c>
      <c r="J132" s="27">
        <f>J133</f>
        <v>0</v>
      </c>
      <c r="K132" s="250">
        <f t="shared" si="25"/>
        <v>10000</v>
      </c>
      <c r="L132" s="259"/>
      <c r="M132" s="315"/>
      <c r="N132" s="27"/>
      <c r="O132" s="250">
        <f t="shared" si="26"/>
        <v>0</v>
      </c>
      <c r="P132" s="259"/>
      <c r="Q132" s="309">
        <f t="shared" si="22"/>
        <v>10000</v>
      </c>
      <c r="R132" s="91">
        <f t="shared" si="23"/>
        <v>0</v>
      </c>
      <c r="S132" s="91">
        <f t="shared" si="24"/>
        <v>10000</v>
      </c>
    </row>
    <row r="133" spans="2:19" x14ac:dyDescent="0.2">
      <c r="B133" s="88">
        <f t="shared" si="27"/>
        <v>6</v>
      </c>
      <c r="C133" s="4"/>
      <c r="D133" s="4"/>
      <c r="E133" s="4"/>
      <c r="F133" s="30" t="s">
        <v>260</v>
      </c>
      <c r="G133" s="4">
        <v>637</v>
      </c>
      <c r="H133" s="4" t="s">
        <v>134</v>
      </c>
      <c r="I133" s="23">
        <f>8500+1500</f>
        <v>10000</v>
      </c>
      <c r="J133" s="23"/>
      <c r="K133" s="220">
        <f t="shared" si="25"/>
        <v>10000</v>
      </c>
      <c r="L133" s="259"/>
      <c r="M133" s="227"/>
      <c r="N133" s="23"/>
      <c r="O133" s="220">
        <f t="shared" si="26"/>
        <v>0</v>
      </c>
      <c r="P133" s="259"/>
      <c r="Q133" s="308">
        <f t="shared" si="22"/>
        <v>10000</v>
      </c>
      <c r="R133" s="92">
        <f t="shared" si="23"/>
        <v>0</v>
      </c>
      <c r="S133" s="92">
        <f t="shared" si="24"/>
        <v>10000</v>
      </c>
    </row>
    <row r="134" spans="2:19" x14ac:dyDescent="0.2">
      <c r="B134" s="88">
        <f t="shared" si="27"/>
        <v>7</v>
      </c>
      <c r="C134" s="10"/>
      <c r="D134" s="10"/>
      <c r="E134" s="10"/>
      <c r="F134" s="29" t="s">
        <v>434</v>
      </c>
      <c r="G134" s="10">
        <v>630</v>
      </c>
      <c r="H134" s="10" t="s">
        <v>133</v>
      </c>
      <c r="I134" s="27">
        <f>I135</f>
        <v>19000</v>
      </c>
      <c r="J134" s="27">
        <f>J135</f>
        <v>0</v>
      </c>
      <c r="K134" s="250">
        <f t="shared" si="25"/>
        <v>19000</v>
      </c>
      <c r="L134" s="259"/>
      <c r="M134" s="315"/>
      <c r="N134" s="27"/>
      <c r="O134" s="250">
        <f t="shared" si="26"/>
        <v>0</v>
      </c>
      <c r="P134" s="259"/>
      <c r="Q134" s="309">
        <f t="shared" si="22"/>
        <v>19000</v>
      </c>
      <c r="R134" s="91">
        <f t="shared" si="23"/>
        <v>0</v>
      </c>
      <c r="S134" s="91">
        <f t="shared" si="24"/>
        <v>19000</v>
      </c>
    </row>
    <row r="135" spans="2:19" x14ac:dyDescent="0.2">
      <c r="B135" s="88">
        <f t="shared" si="27"/>
        <v>8</v>
      </c>
      <c r="C135" s="4"/>
      <c r="D135" s="4"/>
      <c r="E135" s="4"/>
      <c r="F135" s="30" t="s">
        <v>434</v>
      </c>
      <c r="G135" s="4">
        <v>637</v>
      </c>
      <c r="H135" s="4" t="s">
        <v>435</v>
      </c>
      <c r="I135" s="23">
        <f>6000+13000</f>
        <v>19000</v>
      </c>
      <c r="J135" s="23"/>
      <c r="K135" s="220">
        <f t="shared" si="25"/>
        <v>19000</v>
      </c>
      <c r="L135" s="259"/>
      <c r="M135" s="227"/>
      <c r="N135" s="23"/>
      <c r="O135" s="220">
        <f t="shared" si="26"/>
        <v>0</v>
      </c>
      <c r="P135" s="259"/>
      <c r="Q135" s="308">
        <f t="shared" si="22"/>
        <v>19000</v>
      </c>
      <c r="R135" s="92">
        <f t="shared" si="23"/>
        <v>0</v>
      </c>
      <c r="S135" s="92">
        <f t="shared" si="24"/>
        <v>19000</v>
      </c>
    </row>
    <row r="136" spans="2:19" x14ac:dyDescent="0.2">
      <c r="B136" s="88">
        <f t="shared" si="27"/>
        <v>9</v>
      </c>
      <c r="C136" s="10"/>
      <c r="D136" s="10"/>
      <c r="E136" s="10"/>
      <c r="F136" s="29" t="s">
        <v>234</v>
      </c>
      <c r="G136" s="10">
        <v>630</v>
      </c>
      <c r="H136" s="10" t="s">
        <v>133</v>
      </c>
      <c r="I136" s="27">
        <f>I137</f>
        <v>25000</v>
      </c>
      <c r="J136" s="27">
        <f>J137</f>
        <v>-2000</v>
      </c>
      <c r="K136" s="250">
        <f t="shared" si="25"/>
        <v>23000</v>
      </c>
      <c r="L136" s="259"/>
      <c r="M136" s="315"/>
      <c r="N136" s="27"/>
      <c r="O136" s="250">
        <f t="shared" si="26"/>
        <v>0</v>
      </c>
      <c r="P136" s="259"/>
      <c r="Q136" s="309">
        <f t="shared" si="22"/>
        <v>25000</v>
      </c>
      <c r="R136" s="91">
        <f t="shared" si="23"/>
        <v>-2000</v>
      </c>
      <c r="S136" s="91">
        <f t="shared" si="24"/>
        <v>23000</v>
      </c>
    </row>
    <row r="137" spans="2:19" x14ac:dyDescent="0.2">
      <c r="B137" s="88">
        <f t="shared" si="27"/>
        <v>10</v>
      </c>
      <c r="C137" s="4"/>
      <c r="D137" s="4"/>
      <c r="E137" s="4"/>
      <c r="F137" s="30" t="s">
        <v>234</v>
      </c>
      <c r="G137" s="4">
        <v>637</v>
      </c>
      <c r="H137" s="4" t="s">
        <v>134</v>
      </c>
      <c r="I137" s="23">
        <v>25000</v>
      </c>
      <c r="J137" s="23">
        <v>-2000</v>
      </c>
      <c r="K137" s="220">
        <f t="shared" si="25"/>
        <v>23000</v>
      </c>
      <c r="L137" s="259"/>
      <c r="M137" s="227"/>
      <c r="N137" s="23"/>
      <c r="O137" s="220">
        <f t="shared" si="26"/>
        <v>0</v>
      </c>
      <c r="P137" s="259"/>
      <c r="Q137" s="308">
        <f t="shared" si="22"/>
        <v>25000</v>
      </c>
      <c r="R137" s="92">
        <f t="shared" si="23"/>
        <v>-2000</v>
      </c>
      <c r="S137" s="92">
        <f t="shared" si="24"/>
        <v>23000</v>
      </c>
    </row>
    <row r="138" spans="2:19" x14ac:dyDescent="0.2">
      <c r="B138" s="88">
        <f t="shared" si="27"/>
        <v>11</v>
      </c>
      <c r="C138" s="4"/>
      <c r="D138" s="136"/>
      <c r="E138" s="4"/>
      <c r="F138" s="34" t="s">
        <v>82</v>
      </c>
      <c r="G138" s="3"/>
      <c r="H138" s="137" t="s">
        <v>428</v>
      </c>
      <c r="I138" s="22">
        <v>25600</v>
      </c>
      <c r="J138" s="22"/>
      <c r="K138" s="219">
        <f t="shared" si="25"/>
        <v>25600</v>
      </c>
      <c r="L138" s="259"/>
      <c r="M138" s="226"/>
      <c r="N138" s="22"/>
      <c r="O138" s="219">
        <f t="shared" si="26"/>
        <v>0</v>
      </c>
      <c r="P138" s="259"/>
      <c r="Q138" s="373">
        <f t="shared" si="22"/>
        <v>25600</v>
      </c>
      <c r="R138" s="118">
        <f t="shared" si="23"/>
        <v>0</v>
      </c>
      <c r="S138" s="118">
        <f t="shared" si="24"/>
        <v>25600</v>
      </c>
    </row>
    <row r="139" spans="2:19" ht="15" x14ac:dyDescent="0.2">
      <c r="B139" s="88">
        <f t="shared" si="27"/>
        <v>12</v>
      </c>
      <c r="C139" s="242">
        <v>2</v>
      </c>
      <c r="D139" s="511" t="s">
        <v>261</v>
      </c>
      <c r="E139" s="520"/>
      <c r="F139" s="520"/>
      <c r="G139" s="520"/>
      <c r="H139" s="521"/>
      <c r="I139" s="40">
        <f>I140+I142</f>
        <v>31520</v>
      </c>
      <c r="J139" s="40">
        <f>J140+J142</f>
        <v>0</v>
      </c>
      <c r="K139" s="248">
        <f t="shared" si="25"/>
        <v>31520</v>
      </c>
      <c r="L139" s="259"/>
      <c r="M139" s="318">
        <v>0</v>
      </c>
      <c r="N139" s="40">
        <v>0</v>
      </c>
      <c r="O139" s="248">
        <f t="shared" si="26"/>
        <v>0</v>
      </c>
      <c r="P139" s="259"/>
      <c r="Q139" s="313">
        <f t="shared" si="22"/>
        <v>31520</v>
      </c>
      <c r="R139" s="89">
        <f t="shared" si="23"/>
        <v>0</v>
      </c>
      <c r="S139" s="89">
        <f t="shared" si="24"/>
        <v>31520</v>
      </c>
    </row>
    <row r="140" spans="2:19" x14ac:dyDescent="0.2">
      <c r="B140" s="88">
        <f t="shared" si="27"/>
        <v>13</v>
      </c>
      <c r="C140" s="10"/>
      <c r="D140" s="10"/>
      <c r="E140" s="10"/>
      <c r="F140" s="29" t="s">
        <v>260</v>
      </c>
      <c r="G140" s="10">
        <v>630</v>
      </c>
      <c r="H140" s="10" t="s">
        <v>133</v>
      </c>
      <c r="I140" s="27">
        <f>I141</f>
        <v>8000</v>
      </c>
      <c r="J140" s="27">
        <f>J141</f>
        <v>0</v>
      </c>
      <c r="K140" s="250">
        <f t="shared" si="25"/>
        <v>8000</v>
      </c>
      <c r="L140" s="259"/>
      <c r="M140" s="315"/>
      <c r="N140" s="27"/>
      <c r="O140" s="250">
        <f t="shared" si="26"/>
        <v>0</v>
      </c>
      <c r="P140" s="259"/>
      <c r="Q140" s="309">
        <f t="shared" si="22"/>
        <v>8000</v>
      </c>
      <c r="R140" s="91">
        <f t="shared" si="23"/>
        <v>0</v>
      </c>
      <c r="S140" s="91">
        <f t="shared" si="24"/>
        <v>8000</v>
      </c>
    </row>
    <row r="141" spans="2:19" x14ac:dyDescent="0.2">
      <c r="B141" s="88">
        <f t="shared" si="27"/>
        <v>14</v>
      </c>
      <c r="C141" s="4"/>
      <c r="D141" s="4"/>
      <c r="E141" s="4"/>
      <c r="F141" s="30" t="s">
        <v>260</v>
      </c>
      <c r="G141" s="4">
        <v>637</v>
      </c>
      <c r="H141" s="4" t="s">
        <v>134</v>
      </c>
      <c r="I141" s="23">
        <v>8000</v>
      </c>
      <c r="J141" s="23"/>
      <c r="K141" s="220">
        <f t="shared" si="25"/>
        <v>8000</v>
      </c>
      <c r="L141" s="259"/>
      <c r="M141" s="227"/>
      <c r="N141" s="23"/>
      <c r="O141" s="220">
        <f t="shared" si="26"/>
        <v>0</v>
      </c>
      <c r="P141" s="259"/>
      <c r="Q141" s="308">
        <f t="shared" si="22"/>
        <v>8000</v>
      </c>
      <c r="R141" s="92">
        <f t="shared" si="23"/>
        <v>0</v>
      </c>
      <c r="S141" s="92">
        <f t="shared" si="24"/>
        <v>8000</v>
      </c>
    </row>
    <row r="142" spans="2:19" x14ac:dyDescent="0.2">
      <c r="B142" s="88">
        <f t="shared" si="27"/>
        <v>15</v>
      </c>
      <c r="C142" s="10"/>
      <c r="D142" s="10"/>
      <c r="E142" s="10"/>
      <c r="F142" s="29" t="s">
        <v>260</v>
      </c>
      <c r="G142" s="10">
        <v>640</v>
      </c>
      <c r="H142" s="10" t="s">
        <v>141</v>
      </c>
      <c r="I142" s="27">
        <f>I143</f>
        <v>23520</v>
      </c>
      <c r="J142" s="27">
        <f>J143</f>
        <v>0</v>
      </c>
      <c r="K142" s="250">
        <f t="shared" si="25"/>
        <v>23520</v>
      </c>
      <c r="L142" s="259"/>
      <c r="M142" s="315"/>
      <c r="N142" s="27"/>
      <c r="O142" s="250">
        <f t="shared" si="26"/>
        <v>0</v>
      </c>
      <c r="P142" s="259"/>
      <c r="Q142" s="309">
        <f t="shared" si="22"/>
        <v>23520</v>
      </c>
      <c r="R142" s="91">
        <f t="shared" si="23"/>
        <v>0</v>
      </c>
      <c r="S142" s="91">
        <f t="shared" si="24"/>
        <v>23520</v>
      </c>
    </row>
    <row r="143" spans="2:19" x14ac:dyDescent="0.2">
      <c r="B143" s="88">
        <f t="shared" si="27"/>
        <v>16</v>
      </c>
      <c r="C143" s="4"/>
      <c r="D143" s="4"/>
      <c r="E143" s="4"/>
      <c r="F143" s="30" t="s">
        <v>260</v>
      </c>
      <c r="G143" s="4">
        <v>642</v>
      </c>
      <c r="H143" s="4" t="s">
        <v>142</v>
      </c>
      <c r="I143" s="23">
        <f>I144</f>
        <v>23520</v>
      </c>
      <c r="J143" s="23">
        <f>J144</f>
        <v>0</v>
      </c>
      <c r="K143" s="220">
        <f t="shared" si="25"/>
        <v>23520</v>
      </c>
      <c r="L143" s="259"/>
      <c r="M143" s="227"/>
      <c r="N143" s="23"/>
      <c r="O143" s="220">
        <f t="shared" si="26"/>
        <v>0</v>
      </c>
      <c r="P143" s="259"/>
      <c r="Q143" s="308">
        <f t="shared" si="22"/>
        <v>23520</v>
      </c>
      <c r="R143" s="92">
        <f t="shared" si="23"/>
        <v>0</v>
      </c>
      <c r="S143" s="92">
        <f t="shared" si="24"/>
        <v>23520</v>
      </c>
    </row>
    <row r="144" spans="2:19" ht="13.5" thickBot="1" x14ac:dyDescent="0.25">
      <c r="B144" s="94">
        <f t="shared" si="27"/>
        <v>17</v>
      </c>
      <c r="C144" s="100"/>
      <c r="D144" s="100"/>
      <c r="E144" s="100"/>
      <c r="F144" s="101"/>
      <c r="G144" s="100"/>
      <c r="H144" s="100" t="s">
        <v>317</v>
      </c>
      <c r="I144" s="103">
        <v>23520</v>
      </c>
      <c r="J144" s="103"/>
      <c r="K144" s="254">
        <f t="shared" si="25"/>
        <v>23520</v>
      </c>
      <c r="L144" s="259"/>
      <c r="M144" s="351"/>
      <c r="N144" s="103"/>
      <c r="O144" s="254">
        <f t="shared" si="26"/>
        <v>0</v>
      </c>
      <c r="P144" s="259"/>
      <c r="Q144" s="334">
        <f t="shared" si="22"/>
        <v>23520</v>
      </c>
      <c r="R144" s="104">
        <f t="shared" si="23"/>
        <v>0</v>
      </c>
      <c r="S144" s="104">
        <f t="shared" si="24"/>
        <v>23520</v>
      </c>
    </row>
    <row r="180" spans="2:19" x14ac:dyDescent="0.2">
      <c r="L180" s="263"/>
      <c r="P180" s="263"/>
    </row>
    <row r="181" spans="2:19" ht="27.75" thickBot="1" x14ac:dyDescent="0.4">
      <c r="B181" s="480" t="s">
        <v>24</v>
      </c>
      <c r="C181" s="481"/>
      <c r="D181" s="481"/>
      <c r="E181" s="481"/>
      <c r="F181" s="481"/>
      <c r="G181" s="481"/>
      <c r="H181" s="481"/>
      <c r="I181" s="481"/>
      <c r="J181" s="481"/>
      <c r="K181" s="481"/>
      <c r="L181" s="481"/>
      <c r="M181" s="481"/>
      <c r="N181" s="481"/>
      <c r="O181" s="481"/>
      <c r="P181" s="481"/>
      <c r="Q181" s="481"/>
    </row>
    <row r="182" spans="2:19" ht="13.5" customHeight="1" thickBot="1" x14ac:dyDescent="0.25">
      <c r="B182" s="482" t="s">
        <v>353</v>
      </c>
      <c r="C182" s="483"/>
      <c r="D182" s="483"/>
      <c r="E182" s="483"/>
      <c r="F182" s="483"/>
      <c r="G182" s="483"/>
      <c r="H182" s="483"/>
      <c r="I182" s="484"/>
      <c r="J182" s="484"/>
      <c r="K182" s="484"/>
      <c r="L182" s="484"/>
      <c r="M182" s="484"/>
      <c r="N182" s="244"/>
      <c r="O182" s="244"/>
      <c r="P182" s="389"/>
      <c r="Q182" s="485" t="s">
        <v>651</v>
      </c>
      <c r="R182" s="471" t="s">
        <v>648</v>
      </c>
      <c r="S182" s="474" t="s">
        <v>652</v>
      </c>
    </row>
    <row r="183" spans="2:19" ht="13.5" customHeight="1" thickBot="1" x14ac:dyDescent="0.25">
      <c r="B183" s="488"/>
      <c r="C183" s="489" t="s">
        <v>126</v>
      </c>
      <c r="D183" s="489" t="s">
        <v>127</v>
      </c>
      <c r="E183" s="489"/>
      <c r="F183" s="489" t="s">
        <v>128</v>
      </c>
      <c r="G183" s="492" t="s">
        <v>129</v>
      </c>
      <c r="H183" s="495" t="s">
        <v>130</v>
      </c>
      <c r="I183" s="516" t="s">
        <v>647</v>
      </c>
      <c r="J183" s="504" t="s">
        <v>648</v>
      </c>
      <c r="K183" s="477" t="s">
        <v>649</v>
      </c>
      <c r="L183" s="269"/>
      <c r="M183" s="517" t="s">
        <v>650</v>
      </c>
      <c r="N183" s="471" t="s">
        <v>648</v>
      </c>
      <c r="O183" s="477" t="s">
        <v>649</v>
      </c>
      <c r="P183" s="389"/>
      <c r="Q183" s="486"/>
      <c r="R183" s="472"/>
      <c r="S183" s="475"/>
    </row>
    <row r="184" spans="2:19" ht="13.5" thickBot="1" x14ac:dyDescent="0.25">
      <c r="B184" s="488"/>
      <c r="C184" s="490"/>
      <c r="D184" s="490"/>
      <c r="E184" s="490"/>
      <c r="F184" s="490"/>
      <c r="G184" s="493"/>
      <c r="H184" s="495"/>
      <c r="I184" s="496"/>
      <c r="J184" s="502"/>
      <c r="K184" s="478"/>
      <c r="L184" s="259"/>
      <c r="M184" s="500"/>
      <c r="N184" s="472"/>
      <c r="O184" s="478"/>
      <c r="P184" s="389"/>
      <c r="Q184" s="486"/>
      <c r="R184" s="472"/>
      <c r="S184" s="475"/>
    </row>
    <row r="185" spans="2:19" ht="13.5" thickBot="1" x14ac:dyDescent="0.25">
      <c r="B185" s="488"/>
      <c r="C185" s="490"/>
      <c r="D185" s="490"/>
      <c r="E185" s="490"/>
      <c r="F185" s="490"/>
      <c r="G185" s="493"/>
      <c r="H185" s="495"/>
      <c r="I185" s="496"/>
      <c r="J185" s="502"/>
      <c r="K185" s="478"/>
      <c r="L185" s="259"/>
      <c r="M185" s="500"/>
      <c r="N185" s="472"/>
      <c r="O185" s="478"/>
      <c r="P185" s="389"/>
      <c r="Q185" s="486"/>
      <c r="R185" s="472"/>
      <c r="S185" s="475"/>
    </row>
    <row r="186" spans="2:19" ht="13.5" thickBot="1" x14ac:dyDescent="0.25">
      <c r="B186" s="488"/>
      <c r="C186" s="491"/>
      <c r="D186" s="491"/>
      <c r="E186" s="491"/>
      <c r="F186" s="491"/>
      <c r="G186" s="494"/>
      <c r="H186" s="495"/>
      <c r="I186" s="497"/>
      <c r="J186" s="503"/>
      <c r="K186" s="479"/>
      <c r="L186" s="259"/>
      <c r="M186" s="501"/>
      <c r="N186" s="473"/>
      <c r="O186" s="479"/>
      <c r="P186" s="389"/>
      <c r="Q186" s="487"/>
      <c r="R186" s="473"/>
      <c r="S186" s="476"/>
    </row>
    <row r="187" spans="2:19" ht="16.5" thickTop="1" x14ac:dyDescent="0.2">
      <c r="B187" s="88">
        <v>1</v>
      </c>
      <c r="C187" s="505" t="s">
        <v>24</v>
      </c>
      <c r="D187" s="506"/>
      <c r="E187" s="506"/>
      <c r="F187" s="506"/>
      <c r="G187" s="506"/>
      <c r="H187" s="507"/>
      <c r="I187" s="39">
        <f>I269+I256+I251+I235+I211+I207+I191+I188</f>
        <v>4421868</v>
      </c>
      <c r="J187" s="39">
        <f>J269+J256+J251+J235+J211+J207+J191+J188</f>
        <v>4500</v>
      </c>
      <c r="K187" s="253">
        <f t="shared" ref="K187:K249" si="28">I187+J187</f>
        <v>4426368</v>
      </c>
      <c r="L187" s="389"/>
      <c r="M187" s="336">
        <f>M188+M191+M207+M211+M235+M251+M256+M269</f>
        <v>785003</v>
      </c>
      <c r="N187" s="39">
        <f>N188+N191+N207+N211+N235+N251+N256+N269</f>
        <v>0</v>
      </c>
      <c r="O187" s="253">
        <f t="shared" ref="O187:O249" si="29">M187+N187</f>
        <v>785003</v>
      </c>
      <c r="P187" s="389"/>
      <c r="Q187" s="331">
        <f t="shared" ref="Q187:Q249" si="30">I187+M187</f>
        <v>5206871</v>
      </c>
      <c r="R187" s="98">
        <f t="shared" ref="R187:R249" si="31">J187+N187</f>
        <v>4500</v>
      </c>
      <c r="S187" s="98">
        <f t="shared" ref="S187:S249" si="32">K187+O187</f>
        <v>5211371</v>
      </c>
    </row>
    <row r="188" spans="2:19" ht="15" x14ac:dyDescent="0.2">
      <c r="B188" s="88">
        <f>B187+1</f>
        <v>2</v>
      </c>
      <c r="C188" s="242">
        <v>1</v>
      </c>
      <c r="D188" s="511" t="s">
        <v>155</v>
      </c>
      <c r="E188" s="509"/>
      <c r="F188" s="509"/>
      <c r="G188" s="509"/>
      <c r="H188" s="510"/>
      <c r="I188" s="40">
        <f>I189</f>
        <v>176960</v>
      </c>
      <c r="J188" s="40">
        <f>J189</f>
        <v>0</v>
      </c>
      <c r="K188" s="248">
        <f t="shared" si="28"/>
        <v>176960</v>
      </c>
      <c r="L188" s="389"/>
      <c r="M188" s="318">
        <f>M189</f>
        <v>0</v>
      </c>
      <c r="N188" s="40">
        <f>N189</f>
        <v>0</v>
      </c>
      <c r="O188" s="248">
        <f t="shared" si="29"/>
        <v>0</v>
      </c>
      <c r="P188" s="389"/>
      <c r="Q188" s="313">
        <f t="shared" si="30"/>
        <v>176960</v>
      </c>
      <c r="R188" s="89">
        <f t="shared" si="31"/>
        <v>0</v>
      </c>
      <c r="S188" s="89">
        <f t="shared" si="32"/>
        <v>176960</v>
      </c>
    </row>
    <row r="189" spans="2:19" x14ac:dyDescent="0.2">
      <c r="B189" s="88">
        <f>B188+1</f>
        <v>3</v>
      </c>
      <c r="C189" s="10"/>
      <c r="D189" s="10"/>
      <c r="E189" s="10"/>
      <c r="F189" s="29" t="s">
        <v>81</v>
      </c>
      <c r="G189" s="10">
        <v>630</v>
      </c>
      <c r="H189" s="10" t="s">
        <v>133</v>
      </c>
      <c r="I189" s="27">
        <f>I190</f>
        <v>176960</v>
      </c>
      <c r="J189" s="27">
        <f>J190</f>
        <v>0</v>
      </c>
      <c r="K189" s="250">
        <f t="shared" si="28"/>
        <v>176960</v>
      </c>
      <c r="L189" s="389"/>
      <c r="M189" s="315"/>
      <c r="N189" s="27"/>
      <c r="O189" s="250">
        <f t="shared" si="29"/>
        <v>0</v>
      </c>
      <c r="P189" s="389"/>
      <c r="Q189" s="309">
        <f t="shared" si="30"/>
        <v>176960</v>
      </c>
      <c r="R189" s="91">
        <f t="shared" si="31"/>
        <v>0</v>
      </c>
      <c r="S189" s="91">
        <f t="shared" si="32"/>
        <v>176960</v>
      </c>
    </row>
    <row r="190" spans="2:19" x14ac:dyDescent="0.2">
      <c r="B190" s="88">
        <f t="shared" ref="B190:B252" si="33">B189+1</f>
        <v>4</v>
      </c>
      <c r="C190" s="4"/>
      <c r="D190" s="4"/>
      <c r="E190" s="4"/>
      <c r="F190" s="30" t="s">
        <v>81</v>
      </c>
      <c r="G190" s="4">
        <v>637</v>
      </c>
      <c r="H190" s="4" t="s">
        <v>134</v>
      </c>
      <c r="I190" s="23">
        <f>131400-1000-8440+55000</f>
        <v>176960</v>
      </c>
      <c r="J190" s="23"/>
      <c r="K190" s="220">
        <f t="shared" si="28"/>
        <v>176960</v>
      </c>
      <c r="L190" s="389"/>
      <c r="M190" s="227"/>
      <c r="N190" s="23"/>
      <c r="O190" s="220">
        <f t="shared" si="29"/>
        <v>0</v>
      </c>
      <c r="P190" s="389"/>
      <c r="Q190" s="308">
        <f t="shared" si="30"/>
        <v>176960</v>
      </c>
      <c r="R190" s="92">
        <f t="shared" si="31"/>
        <v>0</v>
      </c>
      <c r="S190" s="92">
        <f t="shared" si="32"/>
        <v>176960</v>
      </c>
    </row>
    <row r="191" spans="2:19" ht="15" x14ac:dyDescent="0.2">
      <c r="B191" s="88">
        <f t="shared" si="33"/>
        <v>5</v>
      </c>
      <c r="C191" s="242">
        <v>2</v>
      </c>
      <c r="D191" s="511" t="s">
        <v>154</v>
      </c>
      <c r="E191" s="509"/>
      <c r="F191" s="509"/>
      <c r="G191" s="509"/>
      <c r="H191" s="510"/>
      <c r="I191" s="40">
        <f>I192+I195+I201</f>
        <v>87250</v>
      </c>
      <c r="J191" s="40">
        <f>J192+J195+J201</f>
        <v>0</v>
      </c>
      <c r="K191" s="248">
        <f t="shared" si="28"/>
        <v>87250</v>
      </c>
      <c r="L191" s="389"/>
      <c r="M191" s="318">
        <f>M192+M195+M201</f>
        <v>406474</v>
      </c>
      <c r="N191" s="40">
        <f>N192+N195+N201</f>
        <v>0</v>
      </c>
      <c r="O191" s="248">
        <f t="shared" si="29"/>
        <v>406474</v>
      </c>
      <c r="P191" s="389"/>
      <c r="Q191" s="313">
        <f t="shared" si="30"/>
        <v>493724</v>
      </c>
      <c r="R191" s="89">
        <f t="shared" si="31"/>
        <v>0</v>
      </c>
      <c r="S191" s="89">
        <f t="shared" si="32"/>
        <v>493724</v>
      </c>
    </row>
    <row r="192" spans="2:19" ht="15" x14ac:dyDescent="0.25">
      <c r="B192" s="88">
        <f t="shared" si="33"/>
        <v>6</v>
      </c>
      <c r="C192" s="243"/>
      <c r="D192" s="243">
        <v>1</v>
      </c>
      <c r="E192" s="508" t="s">
        <v>160</v>
      </c>
      <c r="F192" s="509"/>
      <c r="G192" s="509"/>
      <c r="H192" s="510"/>
      <c r="I192" s="41">
        <f>I193</f>
        <v>2500</v>
      </c>
      <c r="J192" s="41">
        <f>J193</f>
        <v>0</v>
      </c>
      <c r="K192" s="249">
        <f t="shared" si="28"/>
        <v>2500</v>
      </c>
      <c r="L192" s="389"/>
      <c r="M192" s="316">
        <v>0</v>
      </c>
      <c r="N192" s="41"/>
      <c r="O192" s="249">
        <f t="shared" si="29"/>
        <v>0</v>
      </c>
      <c r="P192" s="389"/>
      <c r="Q192" s="310">
        <f t="shared" si="30"/>
        <v>2500</v>
      </c>
      <c r="R192" s="90">
        <f t="shared" si="31"/>
        <v>0</v>
      </c>
      <c r="S192" s="90">
        <f t="shared" si="32"/>
        <v>2500</v>
      </c>
    </row>
    <row r="193" spans="2:19" x14ac:dyDescent="0.2">
      <c r="B193" s="88">
        <f t="shared" si="33"/>
        <v>7</v>
      </c>
      <c r="C193" s="10"/>
      <c r="D193" s="10"/>
      <c r="E193" s="10"/>
      <c r="F193" s="29" t="s">
        <v>81</v>
      </c>
      <c r="G193" s="10">
        <v>630</v>
      </c>
      <c r="H193" s="10" t="s">
        <v>133</v>
      </c>
      <c r="I193" s="27">
        <f>I194</f>
        <v>2500</v>
      </c>
      <c r="J193" s="27">
        <f>J194</f>
        <v>0</v>
      </c>
      <c r="K193" s="250">
        <f t="shared" si="28"/>
        <v>2500</v>
      </c>
      <c r="L193" s="389"/>
      <c r="M193" s="315"/>
      <c r="N193" s="27"/>
      <c r="O193" s="250">
        <f t="shared" si="29"/>
        <v>0</v>
      </c>
      <c r="P193" s="389"/>
      <c r="Q193" s="309">
        <f t="shared" si="30"/>
        <v>2500</v>
      </c>
      <c r="R193" s="91">
        <f t="shared" si="31"/>
        <v>0</v>
      </c>
      <c r="S193" s="91">
        <f t="shared" si="32"/>
        <v>2500</v>
      </c>
    </row>
    <row r="194" spans="2:19" x14ac:dyDescent="0.2">
      <c r="B194" s="88">
        <f t="shared" si="33"/>
        <v>8</v>
      </c>
      <c r="C194" s="4"/>
      <c r="D194" s="4"/>
      <c r="E194" s="4"/>
      <c r="F194" s="30" t="s">
        <v>81</v>
      </c>
      <c r="G194" s="4">
        <v>637</v>
      </c>
      <c r="H194" s="4" t="s">
        <v>134</v>
      </c>
      <c r="I194" s="23">
        <v>2500</v>
      </c>
      <c r="J194" s="23"/>
      <c r="K194" s="220">
        <f t="shared" si="28"/>
        <v>2500</v>
      </c>
      <c r="L194" s="389"/>
      <c r="M194" s="227"/>
      <c r="N194" s="23"/>
      <c r="O194" s="220">
        <f t="shared" si="29"/>
        <v>0</v>
      </c>
      <c r="P194" s="389"/>
      <c r="Q194" s="308">
        <f t="shared" si="30"/>
        <v>2500</v>
      </c>
      <c r="R194" s="92">
        <f t="shared" si="31"/>
        <v>0</v>
      </c>
      <c r="S194" s="92">
        <f t="shared" si="32"/>
        <v>2500</v>
      </c>
    </row>
    <row r="195" spans="2:19" ht="15" x14ac:dyDescent="0.25">
      <c r="B195" s="88">
        <f t="shared" si="33"/>
        <v>9</v>
      </c>
      <c r="C195" s="243"/>
      <c r="D195" s="243">
        <v>2</v>
      </c>
      <c r="E195" s="508" t="s">
        <v>153</v>
      </c>
      <c r="F195" s="509"/>
      <c r="G195" s="509"/>
      <c r="H195" s="510"/>
      <c r="I195" s="41">
        <f>I196</f>
        <v>19750</v>
      </c>
      <c r="J195" s="41">
        <f>J196</f>
        <v>0</v>
      </c>
      <c r="K195" s="249">
        <f t="shared" si="28"/>
        <v>19750</v>
      </c>
      <c r="L195" s="389"/>
      <c r="M195" s="316">
        <f>M199</f>
        <v>17600</v>
      </c>
      <c r="N195" s="41">
        <f>N199</f>
        <v>0</v>
      </c>
      <c r="O195" s="249">
        <f t="shared" si="29"/>
        <v>17600</v>
      </c>
      <c r="P195" s="389"/>
      <c r="Q195" s="310">
        <f t="shared" si="30"/>
        <v>37350</v>
      </c>
      <c r="R195" s="90">
        <f t="shared" si="31"/>
        <v>0</v>
      </c>
      <c r="S195" s="90">
        <f t="shared" si="32"/>
        <v>37350</v>
      </c>
    </row>
    <row r="196" spans="2:19" x14ac:dyDescent="0.2">
      <c r="B196" s="88">
        <f t="shared" si="33"/>
        <v>10</v>
      </c>
      <c r="C196" s="10"/>
      <c r="D196" s="10"/>
      <c r="E196" s="10"/>
      <c r="F196" s="29" t="s">
        <v>81</v>
      </c>
      <c r="G196" s="10">
        <v>630</v>
      </c>
      <c r="H196" s="10" t="s">
        <v>133</v>
      </c>
      <c r="I196" s="27">
        <f>I197+I198</f>
        <v>19750</v>
      </c>
      <c r="J196" s="27">
        <f>J197+J198</f>
        <v>0</v>
      </c>
      <c r="K196" s="250">
        <f t="shared" si="28"/>
        <v>19750</v>
      </c>
      <c r="L196" s="389"/>
      <c r="M196" s="315"/>
      <c r="N196" s="27"/>
      <c r="O196" s="250">
        <f t="shared" si="29"/>
        <v>0</v>
      </c>
      <c r="P196" s="389"/>
      <c r="Q196" s="309">
        <f t="shared" si="30"/>
        <v>19750</v>
      </c>
      <c r="R196" s="91">
        <f t="shared" si="31"/>
        <v>0</v>
      </c>
      <c r="S196" s="91">
        <f t="shared" si="32"/>
        <v>19750</v>
      </c>
    </row>
    <row r="197" spans="2:19" x14ac:dyDescent="0.2">
      <c r="B197" s="88">
        <f t="shared" si="33"/>
        <v>11</v>
      </c>
      <c r="C197" s="4"/>
      <c r="D197" s="4"/>
      <c r="E197" s="4"/>
      <c r="F197" s="30" t="s">
        <v>81</v>
      </c>
      <c r="G197" s="4">
        <v>636</v>
      </c>
      <c r="H197" s="4" t="s">
        <v>138</v>
      </c>
      <c r="I197" s="23">
        <v>9410</v>
      </c>
      <c r="J197" s="23"/>
      <c r="K197" s="220">
        <f t="shared" si="28"/>
        <v>9410</v>
      </c>
      <c r="L197" s="389"/>
      <c r="M197" s="227"/>
      <c r="N197" s="23"/>
      <c r="O197" s="220">
        <f t="shared" si="29"/>
        <v>0</v>
      </c>
      <c r="P197" s="389"/>
      <c r="Q197" s="308">
        <f t="shared" si="30"/>
        <v>9410</v>
      </c>
      <c r="R197" s="92">
        <f t="shared" si="31"/>
        <v>0</v>
      </c>
      <c r="S197" s="92">
        <f t="shared" si="32"/>
        <v>9410</v>
      </c>
    </row>
    <row r="198" spans="2:19" x14ac:dyDescent="0.2">
      <c r="B198" s="88">
        <f t="shared" si="33"/>
        <v>12</v>
      </c>
      <c r="C198" s="4"/>
      <c r="D198" s="4"/>
      <c r="E198" s="4"/>
      <c r="F198" s="30" t="s">
        <v>81</v>
      </c>
      <c r="G198" s="4">
        <v>637</v>
      </c>
      <c r="H198" s="4" t="s">
        <v>134</v>
      </c>
      <c r="I198" s="23">
        <f>10000+340</f>
        <v>10340</v>
      </c>
      <c r="J198" s="23"/>
      <c r="K198" s="220">
        <f t="shared" si="28"/>
        <v>10340</v>
      </c>
      <c r="L198" s="389"/>
      <c r="M198" s="227"/>
      <c r="N198" s="23"/>
      <c r="O198" s="220">
        <f t="shared" si="29"/>
        <v>0</v>
      </c>
      <c r="P198" s="389"/>
      <c r="Q198" s="308">
        <f t="shared" si="30"/>
        <v>10340</v>
      </c>
      <c r="R198" s="92">
        <f t="shared" si="31"/>
        <v>0</v>
      </c>
      <c r="S198" s="92">
        <f t="shared" si="32"/>
        <v>10340</v>
      </c>
    </row>
    <row r="199" spans="2:19" x14ac:dyDescent="0.2">
      <c r="B199" s="88">
        <f t="shared" si="33"/>
        <v>13</v>
      </c>
      <c r="C199" s="10"/>
      <c r="D199" s="10"/>
      <c r="E199" s="10"/>
      <c r="F199" s="29" t="s">
        <v>81</v>
      </c>
      <c r="G199" s="10">
        <v>710</v>
      </c>
      <c r="H199" s="10" t="s">
        <v>188</v>
      </c>
      <c r="I199" s="27"/>
      <c r="J199" s="27"/>
      <c r="K199" s="250">
        <f t="shared" si="28"/>
        <v>0</v>
      </c>
      <c r="L199" s="389"/>
      <c r="M199" s="315">
        <f>M200</f>
        <v>17600</v>
      </c>
      <c r="N199" s="27">
        <f>N200</f>
        <v>0</v>
      </c>
      <c r="O199" s="250">
        <f t="shared" si="29"/>
        <v>17600</v>
      </c>
      <c r="P199" s="389"/>
      <c r="Q199" s="309">
        <f t="shared" si="30"/>
        <v>17600</v>
      </c>
      <c r="R199" s="91">
        <f t="shared" si="31"/>
        <v>0</v>
      </c>
      <c r="S199" s="91">
        <f t="shared" si="32"/>
        <v>17600</v>
      </c>
    </row>
    <row r="200" spans="2:19" x14ac:dyDescent="0.2">
      <c r="B200" s="88">
        <f t="shared" si="33"/>
        <v>14</v>
      </c>
      <c r="C200" s="4"/>
      <c r="D200" s="4"/>
      <c r="E200" s="4"/>
      <c r="F200" s="30" t="s">
        <v>81</v>
      </c>
      <c r="G200" s="4">
        <v>712</v>
      </c>
      <c r="H200" s="4" t="s">
        <v>65</v>
      </c>
      <c r="I200" s="23"/>
      <c r="J200" s="23"/>
      <c r="K200" s="220">
        <f t="shared" si="28"/>
        <v>0</v>
      </c>
      <c r="L200" s="389"/>
      <c r="M200" s="227">
        <f>100+17200+300</f>
        <v>17600</v>
      </c>
      <c r="N200" s="23"/>
      <c r="O200" s="220">
        <f t="shared" si="29"/>
        <v>17600</v>
      </c>
      <c r="P200" s="389"/>
      <c r="Q200" s="308">
        <f t="shared" si="30"/>
        <v>17600</v>
      </c>
      <c r="R200" s="92">
        <f t="shared" si="31"/>
        <v>0</v>
      </c>
      <c r="S200" s="92">
        <f t="shared" si="32"/>
        <v>17600</v>
      </c>
    </row>
    <row r="201" spans="2:19" ht="15" x14ac:dyDescent="0.25">
      <c r="B201" s="88">
        <f t="shared" si="33"/>
        <v>15</v>
      </c>
      <c r="C201" s="243"/>
      <c r="D201" s="243">
        <v>3</v>
      </c>
      <c r="E201" s="508" t="s">
        <v>223</v>
      </c>
      <c r="F201" s="509"/>
      <c r="G201" s="509"/>
      <c r="H201" s="510"/>
      <c r="I201" s="41">
        <f>I202</f>
        <v>65000</v>
      </c>
      <c r="J201" s="41">
        <f>J202</f>
        <v>0</v>
      </c>
      <c r="K201" s="249">
        <f t="shared" si="28"/>
        <v>65000</v>
      </c>
      <c r="L201" s="389"/>
      <c r="M201" s="316">
        <f>M205</f>
        <v>388874</v>
      </c>
      <c r="N201" s="41">
        <f>N205</f>
        <v>0</v>
      </c>
      <c r="O201" s="249">
        <f t="shared" si="29"/>
        <v>388874</v>
      </c>
      <c r="P201" s="389"/>
      <c r="Q201" s="310">
        <f t="shared" si="30"/>
        <v>453874</v>
      </c>
      <c r="R201" s="90">
        <f t="shared" si="31"/>
        <v>0</v>
      </c>
      <c r="S201" s="90">
        <f t="shared" si="32"/>
        <v>453874</v>
      </c>
    </row>
    <row r="202" spans="2:19" x14ac:dyDescent="0.2">
      <c r="B202" s="88">
        <f t="shared" si="33"/>
        <v>16</v>
      </c>
      <c r="C202" s="10"/>
      <c r="D202" s="10"/>
      <c r="E202" s="10"/>
      <c r="F202" s="29" t="s">
        <v>81</v>
      </c>
      <c r="G202" s="10">
        <v>630</v>
      </c>
      <c r="H202" s="10" t="s">
        <v>133</v>
      </c>
      <c r="I202" s="27">
        <f>I203+I204</f>
        <v>65000</v>
      </c>
      <c r="J202" s="27">
        <f>J203+J204</f>
        <v>0</v>
      </c>
      <c r="K202" s="250">
        <f t="shared" si="28"/>
        <v>65000</v>
      </c>
      <c r="L202" s="389"/>
      <c r="M202" s="315"/>
      <c r="N202" s="27"/>
      <c r="O202" s="250">
        <f t="shared" si="29"/>
        <v>0</v>
      </c>
      <c r="P202" s="389"/>
      <c r="Q202" s="309">
        <f t="shared" si="30"/>
        <v>65000</v>
      </c>
      <c r="R202" s="91">
        <f t="shared" si="31"/>
        <v>0</v>
      </c>
      <c r="S202" s="91">
        <f t="shared" si="32"/>
        <v>65000</v>
      </c>
    </row>
    <row r="203" spans="2:19" x14ac:dyDescent="0.2">
      <c r="B203" s="88">
        <f t="shared" si="33"/>
        <v>17</v>
      </c>
      <c r="C203" s="4"/>
      <c r="D203" s="4"/>
      <c r="E203" s="4"/>
      <c r="F203" s="30" t="s">
        <v>81</v>
      </c>
      <c r="G203" s="4">
        <v>636</v>
      </c>
      <c r="H203" s="4" t="s">
        <v>138</v>
      </c>
      <c r="I203" s="23">
        <v>49000</v>
      </c>
      <c r="J203" s="23"/>
      <c r="K203" s="220">
        <f t="shared" si="28"/>
        <v>49000</v>
      </c>
      <c r="L203" s="389"/>
      <c r="M203" s="227"/>
      <c r="N203" s="23"/>
      <c r="O203" s="220">
        <f t="shared" si="29"/>
        <v>0</v>
      </c>
      <c r="P203" s="389"/>
      <c r="Q203" s="308">
        <f t="shared" si="30"/>
        <v>49000</v>
      </c>
      <c r="R203" s="92">
        <f t="shared" si="31"/>
        <v>0</v>
      </c>
      <c r="S203" s="92">
        <f t="shared" si="32"/>
        <v>49000</v>
      </c>
    </row>
    <row r="204" spans="2:19" x14ac:dyDescent="0.2">
      <c r="B204" s="88">
        <f t="shared" si="33"/>
        <v>18</v>
      </c>
      <c r="C204" s="4"/>
      <c r="D204" s="4"/>
      <c r="E204" s="4"/>
      <c r="F204" s="30" t="s">
        <v>81</v>
      </c>
      <c r="G204" s="4">
        <v>637</v>
      </c>
      <c r="H204" s="4" t="s">
        <v>134</v>
      </c>
      <c r="I204" s="23">
        <f>11000+5000</f>
        <v>16000</v>
      </c>
      <c r="J204" s="23"/>
      <c r="K204" s="220">
        <f t="shared" si="28"/>
        <v>16000</v>
      </c>
      <c r="L204" s="389"/>
      <c r="M204" s="227"/>
      <c r="N204" s="23"/>
      <c r="O204" s="220">
        <f t="shared" si="29"/>
        <v>0</v>
      </c>
      <c r="P204" s="389"/>
      <c r="Q204" s="308">
        <f t="shared" si="30"/>
        <v>16000</v>
      </c>
      <c r="R204" s="92">
        <f t="shared" si="31"/>
        <v>0</v>
      </c>
      <c r="S204" s="92">
        <f t="shared" si="32"/>
        <v>16000</v>
      </c>
    </row>
    <row r="205" spans="2:19" x14ac:dyDescent="0.2">
      <c r="B205" s="88">
        <f t="shared" si="33"/>
        <v>19</v>
      </c>
      <c r="C205" s="10"/>
      <c r="D205" s="10"/>
      <c r="E205" s="10"/>
      <c r="F205" s="29" t="s">
        <v>81</v>
      </c>
      <c r="G205" s="10">
        <v>710</v>
      </c>
      <c r="H205" s="10" t="s">
        <v>188</v>
      </c>
      <c r="I205" s="27"/>
      <c r="J205" s="27"/>
      <c r="K205" s="250">
        <f t="shared" si="28"/>
        <v>0</v>
      </c>
      <c r="L205" s="389"/>
      <c r="M205" s="315">
        <f>M206</f>
        <v>388874</v>
      </c>
      <c r="N205" s="27">
        <f>N206</f>
        <v>0</v>
      </c>
      <c r="O205" s="250">
        <f t="shared" si="29"/>
        <v>388874</v>
      </c>
      <c r="P205" s="389"/>
      <c r="Q205" s="309">
        <f t="shared" si="30"/>
        <v>388874</v>
      </c>
      <c r="R205" s="91">
        <f t="shared" si="31"/>
        <v>0</v>
      </c>
      <c r="S205" s="91">
        <f t="shared" si="32"/>
        <v>388874</v>
      </c>
    </row>
    <row r="206" spans="2:19" x14ac:dyDescent="0.2">
      <c r="B206" s="88">
        <f t="shared" si="33"/>
        <v>20</v>
      </c>
      <c r="C206" s="4"/>
      <c r="D206" s="4"/>
      <c r="E206" s="4"/>
      <c r="F206" s="30" t="s">
        <v>81</v>
      </c>
      <c r="G206" s="4">
        <v>711</v>
      </c>
      <c r="H206" s="4" t="s">
        <v>225</v>
      </c>
      <c r="I206" s="23"/>
      <c r="J206" s="23"/>
      <c r="K206" s="220">
        <f t="shared" si="28"/>
        <v>0</v>
      </c>
      <c r="L206" s="389"/>
      <c r="M206" s="363">
        <f>307000-17200-4000-12700+205519-47000-37745-5000</f>
        <v>388874</v>
      </c>
      <c r="N206" s="68"/>
      <c r="O206" s="358">
        <f t="shared" si="29"/>
        <v>388874</v>
      </c>
      <c r="P206" s="389"/>
      <c r="Q206" s="308">
        <f t="shared" si="30"/>
        <v>388874</v>
      </c>
      <c r="R206" s="92">
        <f t="shared" si="31"/>
        <v>0</v>
      </c>
      <c r="S206" s="92">
        <f t="shared" si="32"/>
        <v>388874</v>
      </c>
    </row>
    <row r="207" spans="2:19" ht="15" x14ac:dyDescent="0.2">
      <c r="B207" s="88">
        <f t="shared" si="33"/>
        <v>21</v>
      </c>
      <c r="C207" s="242">
        <v>3</v>
      </c>
      <c r="D207" s="511" t="s">
        <v>161</v>
      </c>
      <c r="E207" s="509"/>
      <c r="F207" s="509"/>
      <c r="G207" s="509"/>
      <c r="H207" s="510"/>
      <c r="I207" s="40">
        <f>I208</f>
        <v>8000</v>
      </c>
      <c r="J207" s="40">
        <f>J208</f>
        <v>0</v>
      </c>
      <c r="K207" s="248">
        <f t="shared" si="28"/>
        <v>8000</v>
      </c>
      <c r="L207" s="365"/>
      <c r="M207" s="318">
        <v>0</v>
      </c>
      <c r="N207" s="40"/>
      <c r="O207" s="248">
        <f t="shared" si="29"/>
        <v>0</v>
      </c>
      <c r="P207" s="365"/>
      <c r="Q207" s="313">
        <f t="shared" si="30"/>
        <v>8000</v>
      </c>
      <c r="R207" s="89">
        <f t="shared" si="31"/>
        <v>0</v>
      </c>
      <c r="S207" s="89">
        <f t="shared" si="32"/>
        <v>8000</v>
      </c>
    </row>
    <row r="208" spans="2:19" x14ac:dyDescent="0.2">
      <c r="B208" s="88">
        <f t="shared" si="33"/>
        <v>22</v>
      </c>
      <c r="C208" s="10"/>
      <c r="D208" s="10"/>
      <c r="E208" s="10"/>
      <c r="F208" s="29" t="s">
        <v>81</v>
      </c>
      <c r="G208" s="10">
        <v>630</v>
      </c>
      <c r="H208" s="10" t="s">
        <v>133</v>
      </c>
      <c r="I208" s="27">
        <f>I209+I210</f>
        <v>8000</v>
      </c>
      <c r="J208" s="27">
        <f>J209+J210</f>
        <v>0</v>
      </c>
      <c r="K208" s="250">
        <f t="shared" si="28"/>
        <v>8000</v>
      </c>
      <c r="L208" s="265"/>
      <c r="M208" s="315"/>
      <c r="N208" s="27"/>
      <c r="O208" s="250">
        <f t="shared" si="29"/>
        <v>0</v>
      </c>
      <c r="P208" s="260"/>
      <c r="Q208" s="309">
        <f t="shared" si="30"/>
        <v>8000</v>
      </c>
      <c r="R208" s="91">
        <f t="shared" si="31"/>
        <v>0</v>
      </c>
      <c r="S208" s="91">
        <f t="shared" si="32"/>
        <v>8000</v>
      </c>
    </row>
    <row r="209" spans="2:19" x14ac:dyDescent="0.2">
      <c r="B209" s="88">
        <f t="shared" si="33"/>
        <v>23</v>
      </c>
      <c r="C209" s="4"/>
      <c r="D209" s="4"/>
      <c r="E209" s="4"/>
      <c r="F209" s="30" t="s">
        <v>81</v>
      </c>
      <c r="G209" s="4">
        <v>633</v>
      </c>
      <c r="H209" s="4" t="s">
        <v>137</v>
      </c>
      <c r="I209" s="23">
        <v>1000</v>
      </c>
      <c r="J209" s="23"/>
      <c r="K209" s="220">
        <f t="shared" si="28"/>
        <v>1000</v>
      </c>
      <c r="L209" s="259"/>
      <c r="M209" s="227"/>
      <c r="N209" s="23"/>
      <c r="O209" s="220">
        <f t="shared" si="29"/>
        <v>0</v>
      </c>
      <c r="P209" s="259"/>
      <c r="Q209" s="308">
        <f t="shared" si="30"/>
        <v>1000</v>
      </c>
      <c r="R209" s="92">
        <f t="shared" si="31"/>
        <v>0</v>
      </c>
      <c r="S209" s="92">
        <f t="shared" si="32"/>
        <v>1000</v>
      </c>
    </row>
    <row r="210" spans="2:19" x14ac:dyDescent="0.2">
      <c r="B210" s="88">
        <f t="shared" si="33"/>
        <v>24</v>
      </c>
      <c r="C210" s="4"/>
      <c r="D210" s="4"/>
      <c r="E210" s="4"/>
      <c r="F210" s="30" t="s">
        <v>81</v>
      </c>
      <c r="G210" s="4">
        <v>637</v>
      </c>
      <c r="H210" s="4" t="s">
        <v>134</v>
      </c>
      <c r="I210" s="23">
        <v>7000</v>
      </c>
      <c r="J210" s="23"/>
      <c r="K210" s="220">
        <f t="shared" si="28"/>
        <v>7000</v>
      </c>
      <c r="L210" s="259"/>
      <c r="M210" s="227"/>
      <c r="N210" s="23"/>
      <c r="O210" s="220">
        <f t="shared" si="29"/>
        <v>0</v>
      </c>
      <c r="P210" s="259"/>
      <c r="Q210" s="308">
        <f t="shared" si="30"/>
        <v>7000</v>
      </c>
      <c r="R210" s="92">
        <f t="shared" si="31"/>
        <v>0</v>
      </c>
      <c r="S210" s="92">
        <f t="shared" si="32"/>
        <v>7000</v>
      </c>
    </row>
    <row r="211" spans="2:19" ht="15" x14ac:dyDescent="0.2">
      <c r="B211" s="88">
        <f t="shared" si="33"/>
        <v>25</v>
      </c>
      <c r="C211" s="242">
        <v>4</v>
      </c>
      <c r="D211" s="511" t="s">
        <v>207</v>
      </c>
      <c r="E211" s="509"/>
      <c r="F211" s="509"/>
      <c r="G211" s="509"/>
      <c r="H211" s="510"/>
      <c r="I211" s="40">
        <f>I212+I231</f>
        <v>257610</v>
      </c>
      <c r="J211" s="40">
        <f>J212+J231</f>
        <v>0</v>
      </c>
      <c r="K211" s="248">
        <f t="shared" si="28"/>
        <v>257610</v>
      </c>
      <c r="L211" s="259"/>
      <c r="M211" s="318">
        <f>M220+M231</f>
        <v>230310</v>
      </c>
      <c r="N211" s="40">
        <f>N220+N231</f>
        <v>0</v>
      </c>
      <c r="O211" s="248">
        <f t="shared" si="29"/>
        <v>230310</v>
      </c>
      <c r="P211" s="259"/>
      <c r="Q211" s="313">
        <f t="shared" si="30"/>
        <v>487920</v>
      </c>
      <c r="R211" s="89">
        <f t="shared" si="31"/>
        <v>0</v>
      </c>
      <c r="S211" s="89">
        <f t="shared" si="32"/>
        <v>487920</v>
      </c>
    </row>
    <row r="212" spans="2:19" x14ac:dyDescent="0.2">
      <c r="B212" s="88">
        <f t="shared" si="33"/>
        <v>26</v>
      </c>
      <c r="C212" s="10"/>
      <c r="D212" s="10"/>
      <c r="E212" s="10"/>
      <c r="F212" s="30" t="s">
        <v>165</v>
      </c>
      <c r="G212" s="10">
        <v>630</v>
      </c>
      <c r="H212" s="10" t="s">
        <v>133</v>
      </c>
      <c r="I212" s="27">
        <f>SUM(I213:I219)</f>
        <v>249460</v>
      </c>
      <c r="J212" s="27">
        <f>SUM(J213:J219)</f>
        <v>0</v>
      </c>
      <c r="K212" s="250">
        <f t="shared" si="28"/>
        <v>249460</v>
      </c>
      <c r="L212" s="259"/>
      <c r="M212" s="315"/>
      <c r="N212" s="27"/>
      <c r="O212" s="250">
        <f t="shared" si="29"/>
        <v>0</v>
      </c>
      <c r="P212" s="259"/>
      <c r="Q212" s="309">
        <f t="shared" si="30"/>
        <v>249460</v>
      </c>
      <c r="R212" s="91">
        <f t="shared" si="31"/>
        <v>0</v>
      </c>
      <c r="S212" s="91">
        <f t="shared" si="32"/>
        <v>249460</v>
      </c>
    </row>
    <row r="213" spans="2:19" x14ac:dyDescent="0.2">
      <c r="B213" s="88">
        <f t="shared" si="33"/>
        <v>27</v>
      </c>
      <c r="C213" s="10"/>
      <c r="D213" s="10"/>
      <c r="E213" s="10"/>
      <c r="F213" s="30" t="s">
        <v>165</v>
      </c>
      <c r="G213" s="56">
        <v>632</v>
      </c>
      <c r="H213" s="4" t="s">
        <v>146</v>
      </c>
      <c r="I213" s="24">
        <f>96000+1800</f>
        <v>97800</v>
      </c>
      <c r="J213" s="24"/>
      <c r="K213" s="257">
        <f t="shared" si="28"/>
        <v>97800</v>
      </c>
      <c r="L213" s="259"/>
      <c r="M213" s="315"/>
      <c r="N213" s="27"/>
      <c r="O213" s="250">
        <f t="shared" si="29"/>
        <v>0</v>
      </c>
      <c r="P213" s="259"/>
      <c r="Q213" s="309">
        <f t="shared" si="30"/>
        <v>97800</v>
      </c>
      <c r="R213" s="91">
        <f t="shared" si="31"/>
        <v>0</v>
      </c>
      <c r="S213" s="91">
        <f t="shared" si="32"/>
        <v>97800</v>
      </c>
    </row>
    <row r="214" spans="2:19" x14ac:dyDescent="0.2">
      <c r="B214" s="88">
        <f t="shared" si="33"/>
        <v>28</v>
      </c>
      <c r="C214" s="10"/>
      <c r="D214" s="10"/>
      <c r="E214" s="10"/>
      <c r="F214" s="30" t="s">
        <v>165</v>
      </c>
      <c r="G214" s="4">
        <v>633</v>
      </c>
      <c r="H214" s="4" t="s">
        <v>137</v>
      </c>
      <c r="I214" s="24">
        <f>5000+5200</f>
        <v>10200</v>
      </c>
      <c r="J214" s="24"/>
      <c r="K214" s="257">
        <f t="shared" si="28"/>
        <v>10200</v>
      </c>
      <c r="L214" s="259"/>
      <c r="M214" s="315"/>
      <c r="N214" s="27"/>
      <c r="O214" s="250">
        <f t="shared" si="29"/>
        <v>0</v>
      </c>
      <c r="P214" s="259"/>
      <c r="Q214" s="309">
        <f t="shared" si="30"/>
        <v>10200</v>
      </c>
      <c r="R214" s="91">
        <f t="shared" si="31"/>
        <v>0</v>
      </c>
      <c r="S214" s="91">
        <f t="shared" si="32"/>
        <v>10200</v>
      </c>
    </row>
    <row r="215" spans="2:19" x14ac:dyDescent="0.2">
      <c r="B215" s="88">
        <f t="shared" si="33"/>
        <v>29</v>
      </c>
      <c r="C215" s="4"/>
      <c r="D215" s="4"/>
      <c r="E215" s="4"/>
      <c r="F215" s="30" t="s">
        <v>165</v>
      </c>
      <c r="G215" s="4">
        <v>635</v>
      </c>
      <c r="H215" s="4" t="s">
        <v>145</v>
      </c>
      <c r="I215" s="24">
        <f>57000+2500+3700-19500+3500-8200</f>
        <v>39000</v>
      </c>
      <c r="J215" s="24"/>
      <c r="K215" s="257">
        <f t="shared" si="28"/>
        <v>39000</v>
      </c>
      <c r="L215" s="259"/>
      <c r="M215" s="227"/>
      <c r="N215" s="23"/>
      <c r="O215" s="220">
        <f t="shared" si="29"/>
        <v>0</v>
      </c>
      <c r="P215" s="259"/>
      <c r="Q215" s="308">
        <f t="shared" si="30"/>
        <v>39000</v>
      </c>
      <c r="R215" s="92">
        <f t="shared" si="31"/>
        <v>0</v>
      </c>
      <c r="S215" s="92">
        <f t="shared" si="32"/>
        <v>39000</v>
      </c>
    </row>
    <row r="216" spans="2:19" x14ac:dyDescent="0.2">
      <c r="B216" s="88">
        <f t="shared" si="33"/>
        <v>30</v>
      </c>
      <c r="C216" s="4"/>
      <c r="D216" s="4"/>
      <c r="E216" s="4"/>
      <c r="F216" s="30" t="s">
        <v>165</v>
      </c>
      <c r="G216" s="4">
        <v>635</v>
      </c>
      <c r="H216" s="4" t="s">
        <v>502</v>
      </c>
      <c r="I216" s="24">
        <v>9000</v>
      </c>
      <c r="J216" s="24"/>
      <c r="K216" s="257">
        <f t="shared" si="28"/>
        <v>9000</v>
      </c>
      <c r="L216" s="259"/>
      <c r="M216" s="227"/>
      <c r="N216" s="23"/>
      <c r="O216" s="220">
        <f t="shared" si="29"/>
        <v>0</v>
      </c>
      <c r="P216" s="259"/>
      <c r="Q216" s="308">
        <f t="shared" si="30"/>
        <v>9000</v>
      </c>
      <c r="R216" s="92">
        <f t="shared" si="31"/>
        <v>0</v>
      </c>
      <c r="S216" s="92">
        <f t="shared" si="32"/>
        <v>9000</v>
      </c>
    </row>
    <row r="217" spans="2:19" x14ac:dyDescent="0.2">
      <c r="B217" s="88">
        <f t="shared" si="33"/>
        <v>31</v>
      </c>
      <c r="C217" s="4"/>
      <c r="D217" s="4"/>
      <c r="E217" s="4"/>
      <c r="F217" s="30" t="s">
        <v>165</v>
      </c>
      <c r="G217" s="4">
        <v>635</v>
      </c>
      <c r="H217" s="4" t="s">
        <v>495</v>
      </c>
      <c r="I217" s="24">
        <v>81000</v>
      </c>
      <c r="J217" s="24"/>
      <c r="K217" s="257">
        <f t="shared" si="28"/>
        <v>81000</v>
      </c>
      <c r="L217" s="259"/>
      <c r="M217" s="227"/>
      <c r="N217" s="23"/>
      <c r="O217" s="220">
        <f t="shared" si="29"/>
        <v>0</v>
      </c>
      <c r="P217" s="259"/>
      <c r="Q217" s="308">
        <f t="shared" si="30"/>
        <v>81000</v>
      </c>
      <c r="R217" s="92">
        <f t="shared" si="31"/>
        <v>0</v>
      </c>
      <c r="S217" s="92">
        <f t="shared" si="32"/>
        <v>81000</v>
      </c>
    </row>
    <row r="218" spans="2:19" x14ac:dyDescent="0.2">
      <c r="B218" s="88">
        <f t="shared" si="33"/>
        <v>32</v>
      </c>
      <c r="C218" s="4"/>
      <c r="D218" s="4"/>
      <c r="E218" s="4"/>
      <c r="F218" s="30" t="s">
        <v>165</v>
      </c>
      <c r="G218" s="4">
        <v>635</v>
      </c>
      <c r="H218" s="4" t="s">
        <v>570</v>
      </c>
      <c r="I218" s="24">
        <v>6000</v>
      </c>
      <c r="J218" s="24"/>
      <c r="K218" s="257">
        <f t="shared" si="28"/>
        <v>6000</v>
      </c>
      <c r="L218" s="259"/>
      <c r="M218" s="227"/>
      <c r="N218" s="23"/>
      <c r="O218" s="220">
        <f t="shared" si="29"/>
        <v>0</v>
      </c>
      <c r="P218" s="259"/>
      <c r="Q218" s="308">
        <f t="shared" si="30"/>
        <v>6000</v>
      </c>
      <c r="R218" s="92">
        <f t="shared" si="31"/>
        <v>0</v>
      </c>
      <c r="S218" s="92">
        <f t="shared" si="32"/>
        <v>6000</v>
      </c>
    </row>
    <row r="219" spans="2:19" x14ac:dyDescent="0.2">
      <c r="B219" s="88">
        <f t="shared" si="33"/>
        <v>33</v>
      </c>
      <c r="C219" s="4"/>
      <c r="D219" s="4"/>
      <c r="E219" s="4"/>
      <c r="F219" s="30" t="s">
        <v>165</v>
      </c>
      <c r="G219" s="4">
        <v>637</v>
      </c>
      <c r="H219" s="4" t="s">
        <v>134</v>
      </c>
      <c r="I219" s="23">
        <f>7250+50-340-2500+2000</f>
        <v>6460</v>
      </c>
      <c r="J219" s="23"/>
      <c r="K219" s="220">
        <f t="shared" si="28"/>
        <v>6460</v>
      </c>
      <c r="L219" s="259"/>
      <c r="M219" s="227"/>
      <c r="N219" s="23"/>
      <c r="O219" s="220">
        <f t="shared" si="29"/>
        <v>0</v>
      </c>
      <c r="P219" s="259"/>
      <c r="Q219" s="308">
        <f t="shared" si="30"/>
        <v>6460</v>
      </c>
      <c r="R219" s="92">
        <f t="shared" si="31"/>
        <v>0</v>
      </c>
      <c r="S219" s="92">
        <f t="shared" si="32"/>
        <v>6460</v>
      </c>
    </row>
    <row r="220" spans="2:19" x14ac:dyDescent="0.2">
      <c r="B220" s="88">
        <f t="shared" si="33"/>
        <v>34</v>
      </c>
      <c r="C220" s="10"/>
      <c r="D220" s="10"/>
      <c r="E220" s="10"/>
      <c r="F220" s="29" t="s">
        <v>208</v>
      </c>
      <c r="G220" s="10">
        <v>710</v>
      </c>
      <c r="H220" s="10" t="s">
        <v>188</v>
      </c>
      <c r="I220" s="27"/>
      <c r="J220" s="27"/>
      <c r="K220" s="250">
        <f t="shared" si="28"/>
        <v>0</v>
      </c>
      <c r="L220" s="264"/>
      <c r="M220" s="315">
        <f>M221+M225</f>
        <v>230310</v>
      </c>
      <c r="N220" s="27">
        <f>N221+N225</f>
        <v>0</v>
      </c>
      <c r="O220" s="250">
        <f t="shared" si="29"/>
        <v>230310</v>
      </c>
      <c r="P220" s="264"/>
      <c r="Q220" s="309">
        <f t="shared" si="30"/>
        <v>230310</v>
      </c>
      <c r="R220" s="91">
        <f t="shared" si="31"/>
        <v>0</v>
      </c>
      <c r="S220" s="91">
        <f t="shared" si="32"/>
        <v>230310</v>
      </c>
    </row>
    <row r="221" spans="2:19" x14ac:dyDescent="0.2">
      <c r="B221" s="88">
        <f t="shared" si="33"/>
        <v>35</v>
      </c>
      <c r="C221" s="4"/>
      <c r="D221" s="4"/>
      <c r="E221" s="4"/>
      <c r="F221" s="30" t="s">
        <v>208</v>
      </c>
      <c r="G221" s="4">
        <v>716</v>
      </c>
      <c r="H221" s="4" t="s">
        <v>232</v>
      </c>
      <c r="I221" s="23"/>
      <c r="J221" s="23"/>
      <c r="K221" s="220">
        <f t="shared" si="28"/>
        <v>0</v>
      </c>
      <c r="L221" s="264"/>
      <c r="M221" s="227">
        <f>SUM(M222:M224)</f>
        <v>15200</v>
      </c>
      <c r="N221" s="23">
        <f>SUM(N222:N224)</f>
        <v>0</v>
      </c>
      <c r="O221" s="220">
        <f t="shared" si="29"/>
        <v>15200</v>
      </c>
      <c r="P221" s="264"/>
      <c r="Q221" s="308">
        <f t="shared" si="30"/>
        <v>15200</v>
      </c>
      <c r="R221" s="92">
        <f t="shared" si="31"/>
        <v>0</v>
      </c>
      <c r="S221" s="92">
        <f t="shared" si="32"/>
        <v>15200</v>
      </c>
    </row>
    <row r="222" spans="2:19" x14ac:dyDescent="0.2">
      <c r="B222" s="88">
        <f t="shared" si="33"/>
        <v>36</v>
      </c>
      <c r="C222" s="5"/>
      <c r="D222" s="5"/>
      <c r="E222" s="5"/>
      <c r="F222" s="31"/>
      <c r="G222" s="5"/>
      <c r="H222" s="5" t="s">
        <v>319</v>
      </c>
      <c r="I222" s="25"/>
      <c r="J222" s="25"/>
      <c r="K222" s="251">
        <f t="shared" si="28"/>
        <v>0</v>
      </c>
      <c r="L222" s="259"/>
      <c r="M222" s="337">
        <v>9600</v>
      </c>
      <c r="N222" s="25"/>
      <c r="O222" s="251">
        <f t="shared" si="29"/>
        <v>9600</v>
      </c>
      <c r="P222" s="259"/>
      <c r="Q222" s="332">
        <f t="shared" si="30"/>
        <v>9600</v>
      </c>
      <c r="R222" s="93">
        <f t="shared" si="31"/>
        <v>0</v>
      </c>
      <c r="S222" s="93">
        <f t="shared" si="32"/>
        <v>9600</v>
      </c>
    </row>
    <row r="223" spans="2:19" x14ac:dyDescent="0.2">
      <c r="B223" s="88">
        <f t="shared" si="33"/>
        <v>37</v>
      </c>
      <c r="C223" s="5"/>
      <c r="D223" s="5"/>
      <c r="E223" s="5"/>
      <c r="F223" s="31"/>
      <c r="G223" s="5"/>
      <c r="H223" s="5" t="s">
        <v>320</v>
      </c>
      <c r="I223" s="25"/>
      <c r="J223" s="25"/>
      <c r="K223" s="251">
        <f t="shared" si="28"/>
        <v>0</v>
      </c>
      <c r="L223" s="259"/>
      <c r="M223" s="380">
        <v>1000</v>
      </c>
      <c r="N223" s="26"/>
      <c r="O223" s="376">
        <f t="shared" si="29"/>
        <v>1000</v>
      </c>
      <c r="P223" s="259"/>
      <c r="Q223" s="332">
        <f t="shared" si="30"/>
        <v>1000</v>
      </c>
      <c r="R223" s="93">
        <f t="shared" si="31"/>
        <v>0</v>
      </c>
      <c r="S223" s="93">
        <f t="shared" si="32"/>
        <v>1000</v>
      </c>
    </row>
    <row r="224" spans="2:19" x14ac:dyDescent="0.2">
      <c r="B224" s="88">
        <f t="shared" si="33"/>
        <v>38</v>
      </c>
      <c r="C224" s="5"/>
      <c r="D224" s="5"/>
      <c r="E224" s="5"/>
      <c r="F224" s="31"/>
      <c r="G224" s="5"/>
      <c r="H224" s="5" t="s">
        <v>318</v>
      </c>
      <c r="I224" s="25"/>
      <c r="J224" s="25"/>
      <c r="K224" s="251">
        <f t="shared" si="28"/>
        <v>0</v>
      </c>
      <c r="L224" s="259"/>
      <c r="M224" s="380">
        <v>4600</v>
      </c>
      <c r="N224" s="26"/>
      <c r="O224" s="376">
        <f t="shared" si="29"/>
        <v>4600</v>
      </c>
      <c r="P224" s="259"/>
      <c r="Q224" s="332">
        <f t="shared" si="30"/>
        <v>4600</v>
      </c>
      <c r="R224" s="93">
        <f t="shared" si="31"/>
        <v>0</v>
      </c>
      <c r="S224" s="93">
        <f t="shared" si="32"/>
        <v>4600</v>
      </c>
    </row>
    <row r="225" spans="2:19" x14ac:dyDescent="0.2">
      <c r="B225" s="88">
        <f t="shared" si="33"/>
        <v>39</v>
      </c>
      <c r="C225" s="4"/>
      <c r="D225" s="4"/>
      <c r="E225" s="4"/>
      <c r="F225" s="30" t="s">
        <v>208</v>
      </c>
      <c r="G225" s="4">
        <v>717</v>
      </c>
      <c r="H225" s="4" t="s">
        <v>198</v>
      </c>
      <c r="I225" s="23"/>
      <c r="J225" s="23"/>
      <c r="K225" s="220">
        <f t="shared" si="28"/>
        <v>0</v>
      </c>
      <c r="L225" s="259"/>
      <c r="M225" s="227">
        <f>SUM(M226:M230)</f>
        <v>215110</v>
      </c>
      <c r="N225" s="23">
        <f>SUM(N226:N230)</f>
        <v>0</v>
      </c>
      <c r="O225" s="220">
        <f t="shared" si="29"/>
        <v>215110</v>
      </c>
      <c r="P225" s="259"/>
      <c r="Q225" s="308">
        <f t="shared" si="30"/>
        <v>215110</v>
      </c>
      <c r="R225" s="92">
        <f t="shared" si="31"/>
        <v>0</v>
      </c>
      <c r="S225" s="92">
        <f t="shared" si="32"/>
        <v>215110</v>
      </c>
    </row>
    <row r="226" spans="2:19" x14ac:dyDescent="0.2">
      <c r="B226" s="88">
        <f t="shared" si="33"/>
        <v>40</v>
      </c>
      <c r="C226" s="5"/>
      <c r="D226" s="5"/>
      <c r="E226" s="5"/>
      <c r="F226" s="31"/>
      <c r="G226" s="5"/>
      <c r="H226" s="5" t="s">
        <v>318</v>
      </c>
      <c r="I226" s="25"/>
      <c r="J226" s="25"/>
      <c r="K226" s="251">
        <f t="shared" si="28"/>
        <v>0</v>
      </c>
      <c r="L226" s="259"/>
      <c r="M226" s="337">
        <v>151810</v>
      </c>
      <c r="N226" s="25"/>
      <c r="O226" s="251">
        <f t="shared" si="29"/>
        <v>151810</v>
      </c>
      <c r="P226" s="259"/>
      <c r="Q226" s="332">
        <f t="shared" si="30"/>
        <v>151810</v>
      </c>
      <c r="R226" s="93">
        <f t="shared" si="31"/>
        <v>0</v>
      </c>
      <c r="S226" s="93">
        <f t="shared" si="32"/>
        <v>151810</v>
      </c>
    </row>
    <row r="227" spans="2:19" x14ac:dyDescent="0.2">
      <c r="B227" s="88">
        <f t="shared" si="33"/>
        <v>41</v>
      </c>
      <c r="C227" s="5"/>
      <c r="D227" s="5"/>
      <c r="E227" s="5"/>
      <c r="F227" s="31"/>
      <c r="G227" s="5"/>
      <c r="H227" s="5" t="s">
        <v>320</v>
      </c>
      <c r="I227" s="25"/>
      <c r="J227" s="25"/>
      <c r="K227" s="251">
        <f t="shared" si="28"/>
        <v>0</v>
      </c>
      <c r="L227" s="259"/>
      <c r="M227" s="380">
        <f>40000-1000</f>
        <v>39000</v>
      </c>
      <c r="N227" s="26"/>
      <c r="O227" s="376">
        <f t="shared" si="29"/>
        <v>39000</v>
      </c>
      <c r="P227" s="259"/>
      <c r="Q227" s="332">
        <f t="shared" si="30"/>
        <v>39000</v>
      </c>
      <c r="R227" s="93">
        <f t="shared" si="31"/>
        <v>0</v>
      </c>
      <c r="S227" s="93">
        <f t="shared" si="32"/>
        <v>39000</v>
      </c>
    </row>
    <row r="228" spans="2:19" x14ac:dyDescent="0.2">
      <c r="B228" s="88">
        <f t="shared" si="33"/>
        <v>42</v>
      </c>
      <c r="C228" s="5"/>
      <c r="D228" s="15"/>
      <c r="E228" s="5"/>
      <c r="F228" s="35"/>
      <c r="G228" s="5"/>
      <c r="H228" s="16" t="s">
        <v>497</v>
      </c>
      <c r="I228" s="25"/>
      <c r="J228" s="25"/>
      <c r="K228" s="251">
        <f t="shared" si="28"/>
        <v>0</v>
      </c>
      <c r="L228" s="259"/>
      <c r="M228" s="337">
        <f>10000+7000</f>
        <v>17000</v>
      </c>
      <c r="N228" s="25"/>
      <c r="O228" s="251">
        <f t="shared" si="29"/>
        <v>17000</v>
      </c>
      <c r="P228" s="259"/>
      <c r="Q228" s="332">
        <f t="shared" si="30"/>
        <v>17000</v>
      </c>
      <c r="R228" s="93">
        <f t="shared" si="31"/>
        <v>0</v>
      </c>
      <c r="S228" s="93">
        <f t="shared" si="32"/>
        <v>17000</v>
      </c>
    </row>
    <row r="229" spans="2:19" x14ac:dyDescent="0.2">
      <c r="B229" s="88">
        <f t="shared" si="33"/>
        <v>43</v>
      </c>
      <c r="C229" s="5"/>
      <c r="D229" s="15"/>
      <c r="E229" s="5"/>
      <c r="F229" s="35"/>
      <c r="G229" s="5"/>
      <c r="H229" s="16" t="s">
        <v>584</v>
      </c>
      <c r="I229" s="25"/>
      <c r="J229" s="25"/>
      <c r="K229" s="251">
        <f t="shared" si="28"/>
        <v>0</v>
      </c>
      <c r="L229" s="259"/>
      <c r="M229" s="337">
        <v>4000</v>
      </c>
      <c r="N229" s="25"/>
      <c r="O229" s="251">
        <f t="shared" si="29"/>
        <v>4000</v>
      </c>
      <c r="P229" s="259"/>
      <c r="Q229" s="332">
        <f t="shared" si="30"/>
        <v>4000</v>
      </c>
      <c r="R229" s="93">
        <f t="shared" si="31"/>
        <v>0</v>
      </c>
      <c r="S229" s="93">
        <f t="shared" si="32"/>
        <v>4000</v>
      </c>
    </row>
    <row r="230" spans="2:19" x14ac:dyDescent="0.2">
      <c r="B230" s="88">
        <f t="shared" si="33"/>
        <v>44</v>
      </c>
      <c r="C230" s="5"/>
      <c r="D230" s="15"/>
      <c r="E230" s="5"/>
      <c r="F230" s="35"/>
      <c r="G230" s="5"/>
      <c r="H230" s="16" t="s">
        <v>588</v>
      </c>
      <c r="I230" s="25"/>
      <c r="J230" s="25"/>
      <c r="K230" s="251">
        <f t="shared" si="28"/>
        <v>0</v>
      </c>
      <c r="L230" s="259"/>
      <c r="M230" s="337">
        <v>3300</v>
      </c>
      <c r="N230" s="25"/>
      <c r="O230" s="251">
        <f t="shared" si="29"/>
        <v>3300</v>
      </c>
      <c r="P230" s="259"/>
      <c r="Q230" s="332">
        <f t="shared" si="30"/>
        <v>3300</v>
      </c>
      <c r="R230" s="93">
        <f t="shared" si="31"/>
        <v>0</v>
      </c>
      <c r="S230" s="93">
        <f t="shared" si="32"/>
        <v>3300</v>
      </c>
    </row>
    <row r="231" spans="2:19" ht="15" x14ac:dyDescent="0.25">
      <c r="B231" s="88">
        <f t="shared" si="33"/>
        <v>45</v>
      </c>
      <c r="C231" s="13"/>
      <c r="D231" s="13"/>
      <c r="E231" s="13">
        <v>2</v>
      </c>
      <c r="F231" s="32"/>
      <c r="G231" s="13"/>
      <c r="H231" s="13" t="s">
        <v>402</v>
      </c>
      <c r="I231" s="42">
        <f>I232</f>
        <v>8150</v>
      </c>
      <c r="J231" s="42">
        <f>J232</f>
        <v>0</v>
      </c>
      <c r="K231" s="255">
        <f t="shared" si="28"/>
        <v>8150</v>
      </c>
      <c r="L231" s="259"/>
      <c r="M231" s="317">
        <v>0</v>
      </c>
      <c r="N231" s="42">
        <v>0</v>
      </c>
      <c r="O231" s="255">
        <f t="shared" si="29"/>
        <v>0</v>
      </c>
      <c r="P231" s="259"/>
      <c r="Q231" s="312">
        <f t="shared" si="30"/>
        <v>8150</v>
      </c>
      <c r="R231" s="99">
        <f t="shared" si="31"/>
        <v>0</v>
      </c>
      <c r="S231" s="99">
        <f t="shared" si="32"/>
        <v>8150</v>
      </c>
    </row>
    <row r="232" spans="2:19" x14ac:dyDescent="0.2">
      <c r="B232" s="88">
        <f t="shared" si="33"/>
        <v>46</v>
      </c>
      <c r="C232" s="10"/>
      <c r="D232" s="10"/>
      <c r="E232" s="10"/>
      <c r="F232" s="29" t="s">
        <v>165</v>
      </c>
      <c r="G232" s="10">
        <v>630</v>
      </c>
      <c r="H232" s="10" t="s">
        <v>133</v>
      </c>
      <c r="I232" s="27">
        <f>SUM(I233:I234)</f>
        <v>8150</v>
      </c>
      <c r="J232" s="27">
        <f>SUM(J233:J234)</f>
        <v>0</v>
      </c>
      <c r="K232" s="250">
        <f t="shared" si="28"/>
        <v>8150</v>
      </c>
      <c r="L232" s="259"/>
      <c r="M232" s="315"/>
      <c r="N232" s="27"/>
      <c r="O232" s="250">
        <f t="shared" si="29"/>
        <v>0</v>
      </c>
      <c r="P232" s="259"/>
      <c r="Q232" s="309">
        <f t="shared" si="30"/>
        <v>8150</v>
      </c>
      <c r="R232" s="91">
        <f t="shared" si="31"/>
        <v>0</v>
      </c>
      <c r="S232" s="91">
        <f t="shared" si="32"/>
        <v>8150</v>
      </c>
    </row>
    <row r="233" spans="2:19" x14ac:dyDescent="0.2">
      <c r="B233" s="88">
        <f t="shared" si="33"/>
        <v>47</v>
      </c>
      <c r="C233" s="4"/>
      <c r="D233" s="4"/>
      <c r="E233" s="4"/>
      <c r="F233" s="30" t="s">
        <v>165</v>
      </c>
      <c r="G233" s="4">
        <v>632</v>
      </c>
      <c r="H233" s="4" t="s">
        <v>146</v>
      </c>
      <c r="I233" s="23">
        <f>12000-1500-3350</f>
        <v>7150</v>
      </c>
      <c r="J233" s="23"/>
      <c r="K233" s="220">
        <f t="shared" si="28"/>
        <v>7150</v>
      </c>
      <c r="L233" s="259"/>
      <c r="M233" s="227"/>
      <c r="N233" s="23"/>
      <c r="O233" s="220">
        <f t="shared" si="29"/>
        <v>0</v>
      </c>
      <c r="P233" s="259"/>
      <c r="Q233" s="308">
        <f t="shared" si="30"/>
        <v>7150</v>
      </c>
      <c r="R233" s="92">
        <f t="shared" si="31"/>
        <v>0</v>
      </c>
      <c r="S233" s="92">
        <f t="shared" si="32"/>
        <v>7150</v>
      </c>
    </row>
    <row r="234" spans="2:19" x14ac:dyDescent="0.2">
      <c r="B234" s="88">
        <f t="shared" si="33"/>
        <v>48</v>
      </c>
      <c r="C234" s="4"/>
      <c r="D234" s="4"/>
      <c r="E234" s="4"/>
      <c r="F234" s="30" t="s">
        <v>165</v>
      </c>
      <c r="G234" s="4">
        <v>635</v>
      </c>
      <c r="H234" s="4" t="s">
        <v>145</v>
      </c>
      <c r="I234" s="23">
        <v>1000</v>
      </c>
      <c r="J234" s="23"/>
      <c r="K234" s="220">
        <f t="shared" si="28"/>
        <v>1000</v>
      </c>
      <c r="L234" s="259"/>
      <c r="M234" s="227"/>
      <c r="N234" s="23"/>
      <c r="O234" s="220">
        <f t="shared" si="29"/>
        <v>0</v>
      </c>
      <c r="P234" s="259"/>
      <c r="Q234" s="308">
        <f t="shared" si="30"/>
        <v>1000</v>
      </c>
      <c r="R234" s="92">
        <f t="shared" si="31"/>
        <v>0</v>
      </c>
      <c r="S234" s="92">
        <f t="shared" si="32"/>
        <v>1000</v>
      </c>
    </row>
    <row r="235" spans="2:19" ht="15" x14ac:dyDescent="0.2">
      <c r="B235" s="88">
        <f t="shared" si="33"/>
        <v>49</v>
      </c>
      <c r="C235" s="242">
        <v>5</v>
      </c>
      <c r="D235" s="511" t="s">
        <v>164</v>
      </c>
      <c r="E235" s="509"/>
      <c r="F235" s="509"/>
      <c r="G235" s="509"/>
      <c r="H235" s="510"/>
      <c r="I235" s="40">
        <f>I236+I237+I238+I243+I245+I246+I248</f>
        <v>3669248</v>
      </c>
      <c r="J235" s="40">
        <f>J236+J237+J238+J243+J245+J246+J248</f>
        <v>4500</v>
      </c>
      <c r="K235" s="248">
        <f t="shared" si="28"/>
        <v>3673748</v>
      </c>
      <c r="L235" s="259"/>
      <c r="M235" s="318">
        <f>M248</f>
        <v>11617</v>
      </c>
      <c r="N235" s="40">
        <f>N248</f>
        <v>0</v>
      </c>
      <c r="O235" s="248">
        <f t="shared" si="29"/>
        <v>11617</v>
      </c>
      <c r="P235" s="259"/>
      <c r="Q235" s="313">
        <f t="shared" si="30"/>
        <v>3680865</v>
      </c>
      <c r="R235" s="89">
        <f t="shared" si="31"/>
        <v>4500</v>
      </c>
      <c r="S235" s="89">
        <f t="shared" si="32"/>
        <v>3685365</v>
      </c>
    </row>
    <row r="236" spans="2:19" x14ac:dyDescent="0.2">
      <c r="B236" s="88">
        <f t="shared" si="33"/>
        <v>50</v>
      </c>
      <c r="C236" s="10"/>
      <c r="D236" s="10"/>
      <c r="E236" s="10"/>
      <c r="F236" s="29" t="s">
        <v>81</v>
      </c>
      <c r="G236" s="10">
        <v>610</v>
      </c>
      <c r="H236" s="10" t="s">
        <v>143</v>
      </c>
      <c r="I236" s="27">
        <f>1980000+8650-34300+650+164000</f>
        <v>2119000</v>
      </c>
      <c r="J236" s="27"/>
      <c r="K236" s="250">
        <f t="shared" si="28"/>
        <v>2119000</v>
      </c>
      <c r="L236" s="259"/>
      <c r="M236" s="315"/>
      <c r="N236" s="27"/>
      <c r="O236" s="250">
        <f t="shared" si="29"/>
        <v>0</v>
      </c>
      <c r="P236" s="259"/>
      <c r="Q236" s="309">
        <f t="shared" si="30"/>
        <v>2119000</v>
      </c>
      <c r="R236" s="91">
        <f t="shared" si="31"/>
        <v>0</v>
      </c>
      <c r="S236" s="91">
        <f t="shared" si="32"/>
        <v>2119000</v>
      </c>
    </row>
    <row r="237" spans="2:19" x14ac:dyDescent="0.2">
      <c r="B237" s="88">
        <f t="shared" si="33"/>
        <v>51</v>
      </c>
      <c r="C237" s="10"/>
      <c r="D237" s="10"/>
      <c r="E237" s="10"/>
      <c r="F237" s="29" t="s">
        <v>81</v>
      </c>
      <c r="G237" s="10">
        <v>620</v>
      </c>
      <c r="H237" s="10" t="s">
        <v>136</v>
      </c>
      <c r="I237" s="27">
        <f>790000+3055-13000+45-100+63500</f>
        <v>843500</v>
      </c>
      <c r="J237" s="27"/>
      <c r="K237" s="250">
        <f t="shared" si="28"/>
        <v>843500</v>
      </c>
      <c r="L237" s="259"/>
      <c r="M237" s="315"/>
      <c r="N237" s="27"/>
      <c r="O237" s="250">
        <f t="shared" si="29"/>
        <v>0</v>
      </c>
      <c r="P237" s="259"/>
      <c r="Q237" s="309">
        <f t="shared" si="30"/>
        <v>843500</v>
      </c>
      <c r="R237" s="91">
        <f t="shared" si="31"/>
        <v>0</v>
      </c>
      <c r="S237" s="91">
        <f t="shared" si="32"/>
        <v>843500</v>
      </c>
    </row>
    <row r="238" spans="2:19" x14ac:dyDescent="0.2">
      <c r="B238" s="88">
        <f t="shared" si="33"/>
        <v>52</v>
      </c>
      <c r="C238" s="10"/>
      <c r="D238" s="10"/>
      <c r="E238" s="10"/>
      <c r="F238" s="29" t="s">
        <v>81</v>
      </c>
      <c r="G238" s="10">
        <v>630</v>
      </c>
      <c r="H238" s="10" t="s">
        <v>133</v>
      </c>
      <c r="I238" s="27">
        <f>SUM(I239:I242)</f>
        <v>535063</v>
      </c>
      <c r="J238" s="27">
        <f>SUM(J239:J242)</f>
        <v>4500</v>
      </c>
      <c r="K238" s="250">
        <f t="shared" si="28"/>
        <v>539563</v>
      </c>
      <c r="L238" s="259"/>
      <c r="M238" s="315"/>
      <c r="N238" s="27"/>
      <c r="O238" s="250">
        <f t="shared" si="29"/>
        <v>0</v>
      </c>
      <c r="P238" s="259"/>
      <c r="Q238" s="309">
        <f t="shared" si="30"/>
        <v>535063</v>
      </c>
      <c r="R238" s="91">
        <f t="shared" si="31"/>
        <v>4500</v>
      </c>
      <c r="S238" s="91">
        <f t="shared" si="32"/>
        <v>539563</v>
      </c>
    </row>
    <row r="239" spans="2:19" x14ac:dyDescent="0.2">
      <c r="B239" s="88">
        <f t="shared" si="33"/>
        <v>53</v>
      </c>
      <c r="C239" s="4"/>
      <c r="D239" s="4"/>
      <c r="E239" s="4"/>
      <c r="F239" s="30" t="s">
        <v>81</v>
      </c>
      <c r="G239" s="4">
        <v>632</v>
      </c>
      <c r="H239" s="4" t="s">
        <v>146</v>
      </c>
      <c r="I239" s="23">
        <v>177350</v>
      </c>
      <c r="J239" s="23">
        <v>4500</v>
      </c>
      <c r="K239" s="220">
        <f t="shared" si="28"/>
        <v>181850</v>
      </c>
      <c r="L239" s="259"/>
      <c r="M239" s="227"/>
      <c r="N239" s="23"/>
      <c r="O239" s="220">
        <f t="shared" si="29"/>
        <v>0</v>
      </c>
      <c r="P239" s="259"/>
      <c r="Q239" s="308">
        <f t="shared" si="30"/>
        <v>177350</v>
      </c>
      <c r="R239" s="92">
        <f t="shared" si="31"/>
        <v>4500</v>
      </c>
      <c r="S239" s="92">
        <f t="shared" si="32"/>
        <v>181850</v>
      </c>
    </row>
    <row r="240" spans="2:19" x14ac:dyDescent="0.2">
      <c r="B240" s="88">
        <f t="shared" si="33"/>
        <v>54</v>
      </c>
      <c r="C240" s="4"/>
      <c r="D240" s="4"/>
      <c r="E240" s="4"/>
      <c r="F240" s="30" t="s">
        <v>81</v>
      </c>
      <c r="G240" s="4">
        <v>633</v>
      </c>
      <c r="H240" s="4" t="s">
        <v>137</v>
      </c>
      <c r="I240" s="23">
        <f>18000+7000-3000+728-15+9000+6000</f>
        <v>37713</v>
      </c>
      <c r="J240" s="23"/>
      <c r="K240" s="220">
        <f t="shared" si="28"/>
        <v>37713</v>
      </c>
      <c r="L240" s="259"/>
      <c r="M240" s="227"/>
      <c r="N240" s="23"/>
      <c r="O240" s="220">
        <f t="shared" si="29"/>
        <v>0</v>
      </c>
      <c r="P240" s="259"/>
      <c r="Q240" s="308">
        <f t="shared" si="30"/>
        <v>37713</v>
      </c>
      <c r="R240" s="92">
        <f t="shared" si="31"/>
        <v>0</v>
      </c>
      <c r="S240" s="92">
        <f t="shared" si="32"/>
        <v>37713</v>
      </c>
    </row>
    <row r="241" spans="2:19" x14ac:dyDescent="0.2">
      <c r="B241" s="88">
        <f t="shared" si="33"/>
        <v>55</v>
      </c>
      <c r="C241" s="4"/>
      <c r="D241" s="4"/>
      <c r="E241" s="4"/>
      <c r="F241" s="30" t="s">
        <v>81</v>
      </c>
      <c r="G241" s="4">
        <v>635</v>
      </c>
      <c r="H241" s="4" t="s">
        <v>145</v>
      </c>
      <c r="I241" s="23">
        <v>50000</v>
      </c>
      <c r="J241" s="23"/>
      <c r="K241" s="220">
        <f t="shared" si="28"/>
        <v>50000</v>
      </c>
      <c r="L241" s="259"/>
      <c r="M241" s="227"/>
      <c r="N241" s="23"/>
      <c r="O241" s="220">
        <f t="shared" si="29"/>
        <v>0</v>
      </c>
      <c r="P241" s="259"/>
      <c r="Q241" s="308">
        <f t="shared" si="30"/>
        <v>50000</v>
      </c>
      <c r="R241" s="92">
        <f t="shared" si="31"/>
        <v>0</v>
      </c>
      <c r="S241" s="92">
        <f t="shared" si="32"/>
        <v>50000</v>
      </c>
    </row>
    <row r="242" spans="2:19" x14ac:dyDescent="0.2">
      <c r="B242" s="88">
        <f t="shared" si="33"/>
        <v>56</v>
      </c>
      <c r="C242" s="4"/>
      <c r="D242" s="4"/>
      <c r="E242" s="4"/>
      <c r="F242" s="30" t="s">
        <v>81</v>
      </c>
      <c r="G242" s="4">
        <v>637</v>
      </c>
      <c r="H242" s="4" t="s">
        <v>134</v>
      </c>
      <c r="I242" s="23">
        <f>240000+30000</f>
        <v>270000</v>
      </c>
      <c r="J242" s="23"/>
      <c r="K242" s="220">
        <f t="shared" si="28"/>
        <v>270000</v>
      </c>
      <c r="L242" s="259"/>
      <c r="M242" s="227"/>
      <c r="N242" s="23"/>
      <c r="O242" s="220">
        <f t="shared" si="29"/>
        <v>0</v>
      </c>
      <c r="P242" s="259"/>
      <c r="Q242" s="308">
        <f t="shared" si="30"/>
        <v>270000</v>
      </c>
      <c r="R242" s="92">
        <f t="shared" si="31"/>
        <v>0</v>
      </c>
      <c r="S242" s="92">
        <f t="shared" si="32"/>
        <v>270000</v>
      </c>
    </row>
    <row r="243" spans="2:19" x14ac:dyDescent="0.2">
      <c r="B243" s="88">
        <f t="shared" si="33"/>
        <v>57</v>
      </c>
      <c r="C243" s="10"/>
      <c r="D243" s="10"/>
      <c r="E243" s="10"/>
      <c r="F243" s="29" t="s">
        <v>263</v>
      </c>
      <c r="G243" s="10">
        <v>630</v>
      </c>
      <c r="H243" s="10" t="s">
        <v>133</v>
      </c>
      <c r="I243" s="27">
        <f>I244</f>
        <v>15000</v>
      </c>
      <c r="J243" s="27">
        <f>J244</f>
        <v>0</v>
      </c>
      <c r="K243" s="250">
        <f t="shared" si="28"/>
        <v>15000</v>
      </c>
      <c r="L243" s="259"/>
      <c r="M243" s="315"/>
      <c r="N243" s="27"/>
      <c r="O243" s="250">
        <f t="shared" si="29"/>
        <v>0</v>
      </c>
      <c r="P243" s="259"/>
      <c r="Q243" s="309">
        <f t="shared" si="30"/>
        <v>15000</v>
      </c>
      <c r="R243" s="91">
        <f t="shared" si="31"/>
        <v>0</v>
      </c>
      <c r="S243" s="91">
        <f t="shared" si="32"/>
        <v>15000</v>
      </c>
    </row>
    <row r="244" spans="2:19" x14ac:dyDescent="0.2">
      <c r="B244" s="88">
        <f t="shared" si="33"/>
        <v>58</v>
      </c>
      <c r="C244" s="4"/>
      <c r="D244" s="4"/>
      <c r="E244" s="4"/>
      <c r="F244" s="30" t="s">
        <v>263</v>
      </c>
      <c r="G244" s="4">
        <v>637</v>
      </c>
      <c r="H244" s="4" t="s">
        <v>134</v>
      </c>
      <c r="I244" s="23">
        <v>15000</v>
      </c>
      <c r="J244" s="23"/>
      <c r="K244" s="220">
        <f t="shared" si="28"/>
        <v>15000</v>
      </c>
      <c r="L244" s="259"/>
      <c r="M244" s="227"/>
      <c r="N244" s="23"/>
      <c r="O244" s="220">
        <f t="shared" si="29"/>
        <v>0</v>
      </c>
      <c r="P244" s="259"/>
      <c r="Q244" s="308">
        <f t="shared" si="30"/>
        <v>15000</v>
      </c>
      <c r="R244" s="92">
        <f t="shared" si="31"/>
        <v>0</v>
      </c>
      <c r="S244" s="92">
        <f t="shared" si="32"/>
        <v>15000</v>
      </c>
    </row>
    <row r="245" spans="2:19" x14ac:dyDescent="0.2">
      <c r="B245" s="88">
        <f t="shared" si="33"/>
        <v>59</v>
      </c>
      <c r="C245" s="10"/>
      <c r="D245" s="10"/>
      <c r="E245" s="10"/>
      <c r="F245" s="29" t="s">
        <v>224</v>
      </c>
      <c r="G245" s="10">
        <v>650</v>
      </c>
      <c r="H245" s="10" t="s">
        <v>354</v>
      </c>
      <c r="I245" s="27">
        <f>230000-3000-65650-3500-1000-20000-1500</f>
        <v>135350</v>
      </c>
      <c r="J245" s="27"/>
      <c r="K245" s="250">
        <f t="shared" si="28"/>
        <v>135350</v>
      </c>
      <c r="L245" s="259"/>
      <c r="M245" s="315"/>
      <c r="N245" s="27"/>
      <c r="O245" s="250">
        <f t="shared" si="29"/>
        <v>0</v>
      </c>
      <c r="P245" s="259"/>
      <c r="Q245" s="309">
        <f t="shared" si="30"/>
        <v>135350</v>
      </c>
      <c r="R245" s="91">
        <f t="shared" si="31"/>
        <v>0</v>
      </c>
      <c r="S245" s="91">
        <f t="shared" si="32"/>
        <v>135350</v>
      </c>
    </row>
    <row r="246" spans="2:19" x14ac:dyDescent="0.2">
      <c r="B246" s="88">
        <f t="shared" si="33"/>
        <v>60</v>
      </c>
      <c r="C246" s="10"/>
      <c r="D246" s="10"/>
      <c r="E246" s="10"/>
      <c r="F246" s="29" t="s">
        <v>81</v>
      </c>
      <c r="G246" s="10">
        <v>640</v>
      </c>
      <c r="H246" s="10" t="s">
        <v>141</v>
      </c>
      <c r="I246" s="27">
        <f>I247</f>
        <v>21335</v>
      </c>
      <c r="J246" s="27">
        <f>J247</f>
        <v>0</v>
      </c>
      <c r="K246" s="250">
        <f t="shared" si="28"/>
        <v>21335</v>
      </c>
      <c r="L246" s="259"/>
      <c r="M246" s="315"/>
      <c r="N246" s="27"/>
      <c r="O246" s="250">
        <f t="shared" si="29"/>
        <v>0</v>
      </c>
      <c r="P246" s="259"/>
      <c r="Q246" s="309">
        <f t="shared" si="30"/>
        <v>21335</v>
      </c>
      <c r="R246" s="91">
        <f t="shared" si="31"/>
        <v>0</v>
      </c>
      <c r="S246" s="91">
        <f t="shared" si="32"/>
        <v>21335</v>
      </c>
    </row>
    <row r="247" spans="2:19" x14ac:dyDescent="0.2">
      <c r="B247" s="88">
        <f t="shared" si="33"/>
        <v>61</v>
      </c>
      <c r="C247" s="4"/>
      <c r="D247" s="4"/>
      <c r="E247" s="4"/>
      <c r="F247" s="30" t="s">
        <v>81</v>
      </c>
      <c r="G247" s="4">
        <v>642</v>
      </c>
      <c r="H247" s="4" t="s">
        <v>142</v>
      </c>
      <c r="I247" s="23">
        <f>20000+1335</f>
        <v>21335</v>
      </c>
      <c r="J247" s="23"/>
      <c r="K247" s="220">
        <f t="shared" si="28"/>
        <v>21335</v>
      </c>
      <c r="L247" s="259"/>
      <c r="M247" s="227"/>
      <c r="N247" s="23"/>
      <c r="O247" s="220">
        <f t="shared" si="29"/>
        <v>0</v>
      </c>
      <c r="P247" s="259"/>
      <c r="Q247" s="308">
        <f t="shared" si="30"/>
        <v>21335</v>
      </c>
      <c r="R247" s="92">
        <f t="shared" si="31"/>
        <v>0</v>
      </c>
      <c r="S247" s="92">
        <f t="shared" si="32"/>
        <v>21335</v>
      </c>
    </row>
    <row r="248" spans="2:19" x14ac:dyDescent="0.2">
      <c r="B248" s="88">
        <f t="shared" si="33"/>
        <v>62</v>
      </c>
      <c r="C248" s="10"/>
      <c r="D248" s="10"/>
      <c r="E248" s="10"/>
      <c r="F248" s="29" t="s">
        <v>81</v>
      </c>
      <c r="G248" s="10">
        <v>710</v>
      </c>
      <c r="H248" s="10" t="s">
        <v>188</v>
      </c>
      <c r="I248" s="27"/>
      <c r="J248" s="27"/>
      <c r="K248" s="250">
        <f t="shared" si="28"/>
        <v>0</v>
      </c>
      <c r="L248" s="259"/>
      <c r="M248" s="315">
        <f>M249</f>
        <v>11617</v>
      </c>
      <c r="N248" s="27">
        <f>N249</f>
        <v>0</v>
      </c>
      <c r="O248" s="250">
        <f t="shared" si="29"/>
        <v>11617</v>
      </c>
      <c r="P248" s="259"/>
      <c r="Q248" s="309">
        <f t="shared" si="30"/>
        <v>11617</v>
      </c>
      <c r="R248" s="91">
        <f t="shared" si="31"/>
        <v>0</v>
      </c>
      <c r="S248" s="91">
        <f t="shared" si="32"/>
        <v>11617</v>
      </c>
    </row>
    <row r="249" spans="2:19" x14ac:dyDescent="0.2">
      <c r="B249" s="88">
        <f t="shared" si="33"/>
        <v>63</v>
      </c>
      <c r="C249" s="5"/>
      <c r="D249" s="15"/>
      <c r="E249" s="5"/>
      <c r="F249" s="30" t="s">
        <v>81</v>
      </c>
      <c r="G249" s="4">
        <v>717</v>
      </c>
      <c r="H249" s="36" t="s">
        <v>198</v>
      </c>
      <c r="I249" s="25"/>
      <c r="J249" s="25"/>
      <c r="K249" s="251">
        <f t="shared" si="28"/>
        <v>0</v>
      </c>
      <c r="L249" s="259"/>
      <c r="M249" s="388">
        <f>SUM(M250:M250)</f>
        <v>11617</v>
      </c>
      <c r="N249" s="43">
        <f>SUM(N250:N250)</f>
        <v>0</v>
      </c>
      <c r="O249" s="390">
        <f t="shared" si="29"/>
        <v>11617</v>
      </c>
      <c r="P249" s="259"/>
      <c r="Q249" s="332">
        <f t="shared" si="30"/>
        <v>11617</v>
      </c>
      <c r="R249" s="93">
        <f t="shared" si="31"/>
        <v>0</v>
      </c>
      <c r="S249" s="93">
        <f t="shared" si="32"/>
        <v>11617</v>
      </c>
    </row>
    <row r="250" spans="2:19" x14ac:dyDescent="0.2">
      <c r="B250" s="88">
        <f t="shared" si="33"/>
        <v>64</v>
      </c>
      <c r="C250" s="5"/>
      <c r="D250" s="15"/>
      <c r="E250" s="5"/>
      <c r="F250" s="31"/>
      <c r="G250" s="5"/>
      <c r="H250" s="16" t="s">
        <v>371</v>
      </c>
      <c r="I250" s="25"/>
      <c r="J250" s="25"/>
      <c r="K250" s="251">
        <f t="shared" ref="K250:K275" si="34">I250+J250</f>
        <v>0</v>
      </c>
      <c r="L250" s="259"/>
      <c r="M250" s="337">
        <f>12500-3383+2500</f>
        <v>11617</v>
      </c>
      <c r="N250" s="25"/>
      <c r="O250" s="251">
        <f t="shared" ref="O250:O275" si="35">M250+N250</f>
        <v>11617</v>
      </c>
      <c r="P250" s="259"/>
      <c r="Q250" s="332">
        <f t="shared" ref="Q250:Q275" si="36">I250+M250</f>
        <v>11617</v>
      </c>
      <c r="R250" s="93">
        <f t="shared" ref="R250:R275" si="37">J250+N250</f>
        <v>0</v>
      </c>
      <c r="S250" s="93">
        <f t="shared" ref="S250:S275" si="38">K250+O250</f>
        <v>11617</v>
      </c>
    </row>
    <row r="251" spans="2:19" ht="15" x14ac:dyDescent="0.2">
      <c r="B251" s="88">
        <f t="shared" si="33"/>
        <v>65</v>
      </c>
      <c r="C251" s="242">
        <v>6</v>
      </c>
      <c r="D251" s="511" t="s">
        <v>286</v>
      </c>
      <c r="E251" s="509"/>
      <c r="F251" s="509"/>
      <c r="G251" s="509"/>
      <c r="H251" s="510"/>
      <c r="I251" s="40">
        <f>I252+I254</f>
        <v>10500</v>
      </c>
      <c r="J251" s="40">
        <f>J252+J254</f>
        <v>0</v>
      </c>
      <c r="K251" s="248">
        <f t="shared" si="34"/>
        <v>10500</v>
      </c>
      <c r="L251" s="259"/>
      <c r="M251" s="318">
        <v>0</v>
      </c>
      <c r="N251" s="40"/>
      <c r="O251" s="248">
        <f t="shared" si="35"/>
        <v>0</v>
      </c>
      <c r="P251" s="259"/>
      <c r="Q251" s="313">
        <f t="shared" si="36"/>
        <v>10500</v>
      </c>
      <c r="R251" s="89">
        <f t="shared" si="37"/>
        <v>0</v>
      </c>
      <c r="S251" s="89">
        <f t="shared" si="38"/>
        <v>10500</v>
      </c>
    </row>
    <row r="252" spans="2:19" x14ac:dyDescent="0.2">
      <c r="B252" s="88">
        <f t="shared" si="33"/>
        <v>66</v>
      </c>
      <c r="C252" s="10"/>
      <c r="D252" s="10"/>
      <c r="E252" s="10"/>
      <c r="F252" s="29" t="s">
        <v>81</v>
      </c>
      <c r="G252" s="10">
        <v>630</v>
      </c>
      <c r="H252" s="10" t="s">
        <v>133</v>
      </c>
      <c r="I252" s="27">
        <f>I253</f>
        <v>3000</v>
      </c>
      <c r="J252" s="27">
        <f>J253</f>
        <v>0</v>
      </c>
      <c r="K252" s="250">
        <f t="shared" si="34"/>
        <v>3000</v>
      </c>
      <c r="L252" s="259"/>
      <c r="M252" s="315"/>
      <c r="N252" s="27"/>
      <c r="O252" s="250">
        <f t="shared" si="35"/>
        <v>0</v>
      </c>
      <c r="P252" s="259"/>
      <c r="Q252" s="309">
        <f t="shared" si="36"/>
        <v>3000</v>
      </c>
      <c r="R252" s="91">
        <f t="shared" si="37"/>
        <v>0</v>
      </c>
      <c r="S252" s="91">
        <f t="shared" si="38"/>
        <v>3000</v>
      </c>
    </row>
    <row r="253" spans="2:19" x14ac:dyDescent="0.2">
      <c r="B253" s="88">
        <f t="shared" ref="B253:B275" si="39">B252+1</f>
        <v>67</v>
      </c>
      <c r="C253" s="4"/>
      <c r="D253" s="4"/>
      <c r="E253" s="4"/>
      <c r="F253" s="30" t="s">
        <v>81</v>
      </c>
      <c r="G253" s="4">
        <v>631</v>
      </c>
      <c r="H253" s="4" t="s">
        <v>139</v>
      </c>
      <c r="I253" s="23">
        <v>3000</v>
      </c>
      <c r="J253" s="23"/>
      <c r="K253" s="220">
        <f t="shared" si="34"/>
        <v>3000</v>
      </c>
      <c r="L253" s="259"/>
      <c r="M253" s="227"/>
      <c r="N253" s="23"/>
      <c r="O253" s="220">
        <f t="shared" si="35"/>
        <v>0</v>
      </c>
      <c r="P253" s="259"/>
      <c r="Q253" s="308">
        <f t="shared" si="36"/>
        <v>3000</v>
      </c>
      <c r="R253" s="92">
        <f t="shared" si="37"/>
        <v>0</v>
      </c>
      <c r="S253" s="92">
        <f t="shared" si="38"/>
        <v>3000</v>
      </c>
    </row>
    <row r="254" spans="2:19" x14ac:dyDescent="0.2">
      <c r="B254" s="88">
        <f t="shared" si="39"/>
        <v>68</v>
      </c>
      <c r="C254" s="10"/>
      <c r="D254" s="10"/>
      <c r="E254" s="10"/>
      <c r="F254" s="29" t="s">
        <v>170</v>
      </c>
      <c r="G254" s="10">
        <v>630</v>
      </c>
      <c r="H254" s="10" t="s">
        <v>133</v>
      </c>
      <c r="I254" s="27">
        <f>I255</f>
        <v>7500</v>
      </c>
      <c r="J254" s="27">
        <f>J255</f>
        <v>0</v>
      </c>
      <c r="K254" s="250">
        <f t="shared" si="34"/>
        <v>7500</v>
      </c>
      <c r="L254" s="259"/>
      <c r="M254" s="315"/>
      <c r="N254" s="27"/>
      <c r="O254" s="250">
        <f t="shared" si="35"/>
        <v>0</v>
      </c>
      <c r="P254" s="259"/>
      <c r="Q254" s="309">
        <f t="shared" si="36"/>
        <v>7500</v>
      </c>
      <c r="R254" s="91">
        <f t="shared" si="37"/>
        <v>0</v>
      </c>
      <c r="S254" s="91">
        <f t="shared" si="38"/>
        <v>7500</v>
      </c>
    </row>
    <row r="255" spans="2:19" x14ac:dyDescent="0.2">
      <c r="B255" s="88">
        <f t="shared" si="39"/>
        <v>69</v>
      </c>
      <c r="C255" s="4"/>
      <c r="D255" s="4"/>
      <c r="E255" s="4"/>
      <c r="F255" s="30" t="s">
        <v>170</v>
      </c>
      <c r="G255" s="4">
        <v>637</v>
      </c>
      <c r="H255" s="4" t="s">
        <v>134</v>
      </c>
      <c r="I255" s="23">
        <v>7500</v>
      </c>
      <c r="J255" s="23"/>
      <c r="K255" s="220">
        <f t="shared" si="34"/>
        <v>7500</v>
      </c>
      <c r="L255" s="259"/>
      <c r="M255" s="227"/>
      <c r="N255" s="23"/>
      <c r="O255" s="220">
        <f t="shared" si="35"/>
        <v>0</v>
      </c>
      <c r="P255" s="259"/>
      <c r="Q255" s="308">
        <f t="shared" si="36"/>
        <v>7500</v>
      </c>
      <c r="R255" s="92">
        <f t="shared" si="37"/>
        <v>0</v>
      </c>
      <c r="S255" s="92">
        <f t="shared" si="38"/>
        <v>7500</v>
      </c>
    </row>
    <row r="256" spans="2:19" ht="15" x14ac:dyDescent="0.2">
      <c r="B256" s="88">
        <f t="shared" si="39"/>
        <v>70</v>
      </c>
      <c r="C256" s="242">
        <v>7</v>
      </c>
      <c r="D256" s="511" t="s">
        <v>147</v>
      </c>
      <c r="E256" s="509"/>
      <c r="F256" s="509"/>
      <c r="G256" s="509"/>
      <c r="H256" s="510"/>
      <c r="I256" s="40">
        <f>I257+I263</f>
        <v>175800</v>
      </c>
      <c r="J256" s="40">
        <f>J257+J263</f>
        <v>0</v>
      </c>
      <c r="K256" s="248">
        <f t="shared" si="34"/>
        <v>175800</v>
      </c>
      <c r="L256" s="259"/>
      <c r="M256" s="318">
        <f>M263</f>
        <v>123102</v>
      </c>
      <c r="N256" s="40">
        <f>N263</f>
        <v>0</v>
      </c>
      <c r="O256" s="248">
        <f t="shared" si="35"/>
        <v>123102</v>
      </c>
      <c r="P256" s="259"/>
      <c r="Q256" s="313">
        <f t="shared" si="36"/>
        <v>298902</v>
      </c>
      <c r="R256" s="89">
        <f t="shared" si="37"/>
        <v>0</v>
      </c>
      <c r="S256" s="89">
        <f t="shared" si="38"/>
        <v>298902</v>
      </c>
    </row>
    <row r="257" spans="2:19" x14ac:dyDescent="0.2">
      <c r="B257" s="88">
        <f t="shared" si="39"/>
        <v>71</v>
      </c>
      <c r="C257" s="10"/>
      <c r="D257" s="10"/>
      <c r="E257" s="10"/>
      <c r="F257" s="29" t="s">
        <v>81</v>
      </c>
      <c r="G257" s="10">
        <v>630</v>
      </c>
      <c r="H257" s="10" t="s">
        <v>133</v>
      </c>
      <c r="I257" s="27">
        <f>SUM(I258:I262)</f>
        <v>175800</v>
      </c>
      <c r="J257" s="27">
        <f>SUM(J258:J262)</f>
        <v>0</v>
      </c>
      <c r="K257" s="250">
        <f t="shared" si="34"/>
        <v>175800</v>
      </c>
      <c r="L257" s="259"/>
      <c r="M257" s="315"/>
      <c r="N257" s="27"/>
      <c r="O257" s="250">
        <f t="shared" si="35"/>
        <v>0</v>
      </c>
      <c r="P257" s="259"/>
      <c r="Q257" s="309">
        <f t="shared" si="36"/>
        <v>175800</v>
      </c>
      <c r="R257" s="91">
        <f t="shared" si="37"/>
        <v>0</v>
      </c>
      <c r="S257" s="91">
        <f t="shared" si="38"/>
        <v>175800</v>
      </c>
    </row>
    <row r="258" spans="2:19" x14ac:dyDescent="0.2">
      <c r="B258" s="88">
        <f t="shared" si="39"/>
        <v>72</v>
      </c>
      <c r="C258" s="4"/>
      <c r="D258" s="4"/>
      <c r="E258" s="4"/>
      <c r="F258" s="30" t="s">
        <v>81</v>
      </c>
      <c r="G258" s="4">
        <v>632</v>
      </c>
      <c r="H258" s="4" t="s">
        <v>146</v>
      </c>
      <c r="I258" s="23">
        <v>3700</v>
      </c>
      <c r="J258" s="23"/>
      <c r="K258" s="220">
        <f t="shared" si="34"/>
        <v>3700</v>
      </c>
      <c r="L258" s="259"/>
      <c r="M258" s="227"/>
      <c r="N258" s="23"/>
      <c r="O258" s="220">
        <f t="shared" si="35"/>
        <v>0</v>
      </c>
      <c r="P258" s="259"/>
      <c r="Q258" s="308">
        <f t="shared" si="36"/>
        <v>3700</v>
      </c>
      <c r="R258" s="92">
        <f t="shared" si="37"/>
        <v>0</v>
      </c>
      <c r="S258" s="92">
        <f t="shared" si="38"/>
        <v>3700</v>
      </c>
    </row>
    <row r="259" spans="2:19" x14ac:dyDescent="0.2">
      <c r="B259" s="88">
        <f t="shared" si="39"/>
        <v>73</v>
      </c>
      <c r="C259" s="4"/>
      <c r="D259" s="4"/>
      <c r="E259" s="4"/>
      <c r="F259" s="30" t="s">
        <v>81</v>
      </c>
      <c r="G259" s="4">
        <v>633</v>
      </c>
      <c r="H259" s="4" t="s">
        <v>137</v>
      </c>
      <c r="I259" s="23">
        <v>19000</v>
      </c>
      <c r="J259" s="23"/>
      <c r="K259" s="220">
        <f t="shared" si="34"/>
        <v>19000</v>
      </c>
      <c r="L259" s="259"/>
      <c r="M259" s="227"/>
      <c r="N259" s="23"/>
      <c r="O259" s="220">
        <f t="shared" si="35"/>
        <v>0</v>
      </c>
      <c r="P259" s="259"/>
      <c r="Q259" s="308">
        <f t="shared" si="36"/>
        <v>19000</v>
      </c>
      <c r="R259" s="92">
        <f t="shared" si="37"/>
        <v>0</v>
      </c>
      <c r="S259" s="92">
        <f t="shared" si="38"/>
        <v>19000</v>
      </c>
    </row>
    <row r="260" spans="2:19" x14ac:dyDescent="0.2">
      <c r="B260" s="88">
        <f t="shared" si="39"/>
        <v>74</v>
      </c>
      <c r="C260" s="4"/>
      <c r="D260" s="4"/>
      <c r="E260" s="4"/>
      <c r="F260" s="30" t="s">
        <v>81</v>
      </c>
      <c r="G260" s="4">
        <v>635</v>
      </c>
      <c r="H260" s="4" t="s">
        <v>145</v>
      </c>
      <c r="I260" s="23">
        <f>122200-12000+6900</f>
        <v>117100</v>
      </c>
      <c r="J260" s="23"/>
      <c r="K260" s="220">
        <f t="shared" si="34"/>
        <v>117100</v>
      </c>
      <c r="L260" s="259"/>
      <c r="M260" s="227"/>
      <c r="N260" s="23"/>
      <c r="O260" s="220">
        <f t="shared" si="35"/>
        <v>0</v>
      </c>
      <c r="P260" s="259"/>
      <c r="Q260" s="308">
        <f t="shared" si="36"/>
        <v>117100</v>
      </c>
      <c r="R260" s="92">
        <f t="shared" si="37"/>
        <v>0</v>
      </c>
      <c r="S260" s="92">
        <f t="shared" si="38"/>
        <v>117100</v>
      </c>
    </row>
    <row r="261" spans="2:19" x14ac:dyDescent="0.2">
      <c r="B261" s="88">
        <f t="shared" si="39"/>
        <v>75</v>
      </c>
      <c r="C261" s="4"/>
      <c r="D261" s="4"/>
      <c r="E261" s="4"/>
      <c r="F261" s="30" t="s">
        <v>81</v>
      </c>
      <c r="G261" s="4">
        <v>636</v>
      </c>
      <c r="H261" s="4" t="s">
        <v>138</v>
      </c>
      <c r="I261" s="23">
        <v>18000</v>
      </c>
      <c r="J261" s="23"/>
      <c r="K261" s="220">
        <f t="shared" si="34"/>
        <v>18000</v>
      </c>
      <c r="L261" s="259"/>
      <c r="M261" s="227"/>
      <c r="N261" s="23"/>
      <c r="O261" s="220">
        <f t="shared" si="35"/>
        <v>0</v>
      </c>
      <c r="P261" s="259"/>
      <c r="Q261" s="308">
        <f t="shared" si="36"/>
        <v>18000</v>
      </c>
      <c r="R261" s="92">
        <f t="shared" si="37"/>
        <v>0</v>
      </c>
      <c r="S261" s="92">
        <f t="shared" si="38"/>
        <v>18000</v>
      </c>
    </row>
    <row r="262" spans="2:19" x14ac:dyDescent="0.2">
      <c r="B262" s="88">
        <f t="shared" si="39"/>
        <v>76</v>
      </c>
      <c r="C262" s="4"/>
      <c r="D262" s="4"/>
      <c r="E262" s="4"/>
      <c r="F262" s="30" t="s">
        <v>81</v>
      </c>
      <c r="G262" s="4">
        <v>637</v>
      </c>
      <c r="H262" s="4" t="s">
        <v>134</v>
      </c>
      <c r="I262" s="23">
        <f>6000+12000</f>
        <v>18000</v>
      </c>
      <c r="J262" s="23"/>
      <c r="K262" s="220">
        <f t="shared" si="34"/>
        <v>18000</v>
      </c>
      <c r="L262" s="259"/>
      <c r="M262" s="227"/>
      <c r="N262" s="23"/>
      <c r="O262" s="220">
        <f t="shared" si="35"/>
        <v>0</v>
      </c>
      <c r="P262" s="259"/>
      <c r="Q262" s="308">
        <f t="shared" si="36"/>
        <v>18000</v>
      </c>
      <c r="R262" s="92">
        <f t="shared" si="37"/>
        <v>0</v>
      </c>
      <c r="S262" s="92">
        <f t="shared" si="38"/>
        <v>18000</v>
      </c>
    </row>
    <row r="263" spans="2:19" x14ac:dyDescent="0.2">
      <c r="B263" s="88">
        <f t="shared" si="39"/>
        <v>77</v>
      </c>
      <c r="C263" s="10"/>
      <c r="D263" s="10"/>
      <c r="E263" s="10"/>
      <c r="F263" s="29" t="s">
        <v>81</v>
      </c>
      <c r="G263" s="10">
        <v>710</v>
      </c>
      <c r="H263" s="10" t="s">
        <v>188</v>
      </c>
      <c r="I263" s="27"/>
      <c r="J263" s="27"/>
      <c r="K263" s="250">
        <f t="shared" si="34"/>
        <v>0</v>
      </c>
      <c r="L263" s="259"/>
      <c r="M263" s="315">
        <f>M264+M267</f>
        <v>123102</v>
      </c>
      <c r="N263" s="27">
        <f>N264+N267</f>
        <v>0</v>
      </c>
      <c r="O263" s="250">
        <f t="shared" si="35"/>
        <v>123102</v>
      </c>
      <c r="P263" s="259"/>
      <c r="Q263" s="309">
        <f t="shared" si="36"/>
        <v>123102</v>
      </c>
      <c r="R263" s="91">
        <f t="shared" si="37"/>
        <v>0</v>
      </c>
      <c r="S263" s="91">
        <f t="shared" si="38"/>
        <v>123102</v>
      </c>
    </row>
    <row r="264" spans="2:19" x14ac:dyDescent="0.2">
      <c r="B264" s="88">
        <f t="shared" si="39"/>
        <v>78</v>
      </c>
      <c r="C264" s="4"/>
      <c r="D264" s="4"/>
      <c r="E264" s="4"/>
      <c r="F264" s="30" t="s">
        <v>81</v>
      </c>
      <c r="G264" s="4">
        <v>711</v>
      </c>
      <c r="H264" s="4" t="s">
        <v>225</v>
      </c>
      <c r="I264" s="23"/>
      <c r="J264" s="23"/>
      <c r="K264" s="220">
        <f t="shared" si="34"/>
        <v>0</v>
      </c>
      <c r="L264" s="259"/>
      <c r="M264" s="227">
        <f>M265+M266</f>
        <v>55002</v>
      </c>
      <c r="N264" s="23">
        <f>N265+N266</f>
        <v>0</v>
      </c>
      <c r="O264" s="220">
        <f t="shared" si="35"/>
        <v>55002</v>
      </c>
      <c r="P264" s="259"/>
      <c r="Q264" s="308">
        <f t="shared" si="36"/>
        <v>55002</v>
      </c>
      <c r="R264" s="92">
        <f t="shared" si="37"/>
        <v>0</v>
      </c>
      <c r="S264" s="92">
        <f t="shared" si="38"/>
        <v>55002</v>
      </c>
    </row>
    <row r="265" spans="2:19" x14ac:dyDescent="0.2">
      <c r="B265" s="88">
        <f t="shared" si="39"/>
        <v>79</v>
      </c>
      <c r="C265" s="5"/>
      <c r="D265" s="5"/>
      <c r="E265" s="5"/>
      <c r="F265" s="35"/>
      <c r="G265" s="5"/>
      <c r="H265" s="5" t="s">
        <v>361</v>
      </c>
      <c r="I265" s="25"/>
      <c r="J265" s="25"/>
      <c r="K265" s="251">
        <f t="shared" si="34"/>
        <v>0</v>
      </c>
      <c r="L265" s="259"/>
      <c r="M265" s="337">
        <f>12500+22502+7000</f>
        <v>42002</v>
      </c>
      <c r="N265" s="25"/>
      <c r="O265" s="251">
        <f t="shared" si="35"/>
        <v>42002</v>
      </c>
      <c r="P265" s="259"/>
      <c r="Q265" s="332">
        <f t="shared" si="36"/>
        <v>42002</v>
      </c>
      <c r="R265" s="93">
        <f t="shared" si="37"/>
        <v>0</v>
      </c>
      <c r="S265" s="93">
        <f t="shared" si="38"/>
        <v>42002</v>
      </c>
    </row>
    <row r="266" spans="2:19" x14ac:dyDescent="0.2">
      <c r="B266" s="88">
        <f t="shared" si="39"/>
        <v>80</v>
      </c>
      <c r="C266" s="5"/>
      <c r="D266" s="5"/>
      <c r="E266" s="5"/>
      <c r="F266" s="35"/>
      <c r="G266" s="5"/>
      <c r="H266" s="5" t="s">
        <v>534</v>
      </c>
      <c r="I266" s="25"/>
      <c r="J266" s="25"/>
      <c r="K266" s="251">
        <f t="shared" si="34"/>
        <v>0</v>
      </c>
      <c r="L266" s="259"/>
      <c r="M266" s="337">
        <v>13000</v>
      </c>
      <c r="N266" s="25"/>
      <c r="O266" s="251">
        <f t="shared" si="35"/>
        <v>13000</v>
      </c>
      <c r="P266" s="259"/>
      <c r="Q266" s="332">
        <f>I266+M266</f>
        <v>13000</v>
      </c>
      <c r="R266" s="93">
        <f t="shared" si="37"/>
        <v>0</v>
      </c>
      <c r="S266" s="93">
        <f t="shared" si="38"/>
        <v>13000</v>
      </c>
    </row>
    <row r="267" spans="2:19" x14ac:dyDescent="0.2">
      <c r="B267" s="88">
        <f t="shared" si="39"/>
        <v>81</v>
      </c>
      <c r="C267" s="4"/>
      <c r="D267" s="4"/>
      <c r="E267" s="4"/>
      <c r="F267" s="30" t="s">
        <v>81</v>
      </c>
      <c r="G267" s="4">
        <v>713</v>
      </c>
      <c r="H267" s="36" t="s">
        <v>235</v>
      </c>
      <c r="I267" s="23"/>
      <c r="J267" s="23"/>
      <c r="K267" s="220">
        <f t="shared" si="34"/>
        <v>0</v>
      </c>
      <c r="L267" s="259"/>
      <c r="M267" s="227">
        <f>M268</f>
        <v>68100</v>
      </c>
      <c r="N267" s="23">
        <f>N268</f>
        <v>0</v>
      </c>
      <c r="O267" s="220">
        <f t="shared" si="35"/>
        <v>68100</v>
      </c>
      <c r="P267" s="259"/>
      <c r="Q267" s="308">
        <f t="shared" si="36"/>
        <v>68100</v>
      </c>
      <c r="R267" s="92">
        <f t="shared" si="37"/>
        <v>0</v>
      </c>
      <c r="S267" s="92">
        <f t="shared" si="38"/>
        <v>68100</v>
      </c>
    </row>
    <row r="268" spans="2:19" x14ac:dyDescent="0.2">
      <c r="B268" s="88">
        <f t="shared" si="39"/>
        <v>82</v>
      </c>
      <c r="C268" s="5"/>
      <c r="D268" s="5"/>
      <c r="E268" s="5"/>
      <c r="F268" s="35"/>
      <c r="G268" s="5"/>
      <c r="H268" s="16" t="s">
        <v>360</v>
      </c>
      <c r="I268" s="25"/>
      <c r="J268" s="25"/>
      <c r="K268" s="251">
        <f t="shared" si="34"/>
        <v>0</v>
      </c>
      <c r="L268" s="259"/>
      <c r="M268" s="337">
        <f>50000+25000-6900</f>
        <v>68100</v>
      </c>
      <c r="N268" s="25"/>
      <c r="O268" s="251">
        <f t="shared" si="35"/>
        <v>68100</v>
      </c>
      <c r="P268" s="259"/>
      <c r="Q268" s="332">
        <f t="shared" si="36"/>
        <v>68100</v>
      </c>
      <c r="R268" s="93">
        <f t="shared" si="37"/>
        <v>0</v>
      </c>
      <c r="S268" s="93">
        <f t="shared" si="38"/>
        <v>68100</v>
      </c>
    </row>
    <row r="269" spans="2:19" ht="15" x14ac:dyDescent="0.2">
      <c r="B269" s="88">
        <f t="shared" si="39"/>
        <v>83</v>
      </c>
      <c r="C269" s="242">
        <v>8</v>
      </c>
      <c r="D269" s="511" t="s">
        <v>265</v>
      </c>
      <c r="E269" s="509"/>
      <c r="F269" s="509"/>
      <c r="G269" s="509"/>
      <c r="H269" s="510"/>
      <c r="I269" s="40">
        <f>I270</f>
        <v>36500</v>
      </c>
      <c r="J269" s="40">
        <f>J270</f>
        <v>0</v>
      </c>
      <c r="K269" s="248">
        <f t="shared" si="34"/>
        <v>36500</v>
      </c>
      <c r="L269" s="259"/>
      <c r="M269" s="318">
        <f>M273</f>
        <v>13500</v>
      </c>
      <c r="N269" s="40">
        <f>N273</f>
        <v>0</v>
      </c>
      <c r="O269" s="248">
        <f t="shared" si="35"/>
        <v>13500</v>
      </c>
      <c r="P269" s="259"/>
      <c r="Q269" s="313">
        <f t="shared" si="36"/>
        <v>50000</v>
      </c>
      <c r="R269" s="89">
        <f t="shared" si="37"/>
        <v>0</v>
      </c>
      <c r="S269" s="89">
        <f t="shared" si="38"/>
        <v>50000</v>
      </c>
    </row>
    <row r="270" spans="2:19" x14ac:dyDescent="0.2">
      <c r="B270" s="88">
        <f t="shared" si="39"/>
        <v>84</v>
      </c>
      <c r="C270" s="10"/>
      <c r="D270" s="10"/>
      <c r="E270" s="10"/>
      <c r="F270" s="29" t="s">
        <v>81</v>
      </c>
      <c r="G270" s="10">
        <v>630</v>
      </c>
      <c r="H270" s="10" t="s">
        <v>133</v>
      </c>
      <c r="I270" s="27">
        <f>I271+I272</f>
        <v>36500</v>
      </c>
      <c r="J270" s="27">
        <f>J271+J272</f>
        <v>0</v>
      </c>
      <c r="K270" s="250">
        <f t="shared" si="34"/>
        <v>36500</v>
      </c>
      <c r="L270" s="259"/>
      <c r="M270" s="315"/>
      <c r="N270" s="27"/>
      <c r="O270" s="250">
        <f t="shared" si="35"/>
        <v>0</v>
      </c>
      <c r="P270" s="259"/>
      <c r="Q270" s="309">
        <f t="shared" si="36"/>
        <v>36500</v>
      </c>
      <c r="R270" s="91">
        <f t="shared" si="37"/>
        <v>0</v>
      </c>
      <c r="S270" s="91">
        <f t="shared" si="38"/>
        <v>36500</v>
      </c>
    </row>
    <row r="271" spans="2:19" x14ac:dyDescent="0.2">
      <c r="B271" s="88">
        <f t="shared" si="39"/>
        <v>85</v>
      </c>
      <c r="C271" s="4"/>
      <c r="D271" s="4"/>
      <c r="E271" s="4"/>
      <c r="F271" s="30" t="s">
        <v>81</v>
      </c>
      <c r="G271" s="4">
        <v>634</v>
      </c>
      <c r="H271" s="4" t="s">
        <v>144</v>
      </c>
      <c r="I271" s="23">
        <f>35160+500</f>
        <v>35660</v>
      </c>
      <c r="J271" s="23"/>
      <c r="K271" s="220">
        <f t="shared" si="34"/>
        <v>35660</v>
      </c>
      <c r="L271" s="259"/>
      <c r="M271" s="227"/>
      <c r="N271" s="23"/>
      <c r="O271" s="220">
        <f t="shared" si="35"/>
        <v>0</v>
      </c>
      <c r="P271" s="259"/>
      <c r="Q271" s="308">
        <f t="shared" si="36"/>
        <v>35660</v>
      </c>
      <c r="R271" s="92">
        <f t="shared" si="37"/>
        <v>0</v>
      </c>
      <c r="S271" s="92">
        <f t="shared" si="38"/>
        <v>35660</v>
      </c>
    </row>
    <row r="272" spans="2:19" x14ac:dyDescent="0.2">
      <c r="B272" s="88">
        <f t="shared" si="39"/>
        <v>86</v>
      </c>
      <c r="C272" s="4"/>
      <c r="D272" s="4"/>
      <c r="E272" s="4"/>
      <c r="F272" s="30" t="s">
        <v>81</v>
      </c>
      <c r="G272" s="4">
        <v>637</v>
      </c>
      <c r="H272" s="4" t="s">
        <v>134</v>
      </c>
      <c r="I272" s="23">
        <v>840</v>
      </c>
      <c r="J272" s="23"/>
      <c r="K272" s="220">
        <f t="shared" si="34"/>
        <v>840</v>
      </c>
      <c r="L272" s="259"/>
      <c r="M272" s="227"/>
      <c r="N272" s="23"/>
      <c r="O272" s="220">
        <f t="shared" si="35"/>
        <v>0</v>
      </c>
      <c r="P272" s="259"/>
      <c r="Q272" s="308">
        <f t="shared" si="36"/>
        <v>840</v>
      </c>
      <c r="R272" s="92">
        <f t="shared" si="37"/>
        <v>0</v>
      </c>
      <c r="S272" s="92">
        <f t="shared" si="38"/>
        <v>840</v>
      </c>
    </row>
    <row r="273" spans="2:19" x14ac:dyDescent="0.2">
      <c r="B273" s="88">
        <f t="shared" si="39"/>
        <v>87</v>
      </c>
      <c r="C273" s="10"/>
      <c r="D273" s="10"/>
      <c r="E273" s="10"/>
      <c r="F273" s="29" t="s">
        <v>81</v>
      </c>
      <c r="G273" s="10">
        <v>710</v>
      </c>
      <c r="H273" s="10" t="s">
        <v>188</v>
      </c>
      <c r="I273" s="27"/>
      <c r="J273" s="27"/>
      <c r="K273" s="250">
        <f t="shared" si="34"/>
        <v>0</v>
      </c>
      <c r="L273" s="259"/>
      <c r="M273" s="315">
        <f>M274</f>
        <v>13500</v>
      </c>
      <c r="N273" s="27">
        <f>N274</f>
        <v>0</v>
      </c>
      <c r="O273" s="250">
        <f t="shared" si="35"/>
        <v>13500</v>
      </c>
      <c r="P273" s="259"/>
      <c r="Q273" s="309">
        <f t="shared" si="36"/>
        <v>13500</v>
      </c>
      <c r="R273" s="91">
        <f t="shared" si="37"/>
        <v>0</v>
      </c>
      <c r="S273" s="91">
        <f t="shared" si="38"/>
        <v>13500</v>
      </c>
    </row>
    <row r="274" spans="2:19" x14ac:dyDescent="0.2">
      <c r="B274" s="88">
        <f t="shared" si="39"/>
        <v>88</v>
      </c>
      <c r="C274" s="4"/>
      <c r="D274" s="4"/>
      <c r="E274" s="4"/>
      <c r="F274" s="30" t="s">
        <v>81</v>
      </c>
      <c r="G274" s="4">
        <v>714</v>
      </c>
      <c r="H274" s="4" t="s">
        <v>189</v>
      </c>
      <c r="I274" s="23"/>
      <c r="J274" s="23"/>
      <c r="K274" s="220">
        <f t="shared" si="34"/>
        <v>0</v>
      </c>
      <c r="L274" s="259"/>
      <c r="M274" s="227">
        <f>M275</f>
        <v>13500</v>
      </c>
      <c r="N274" s="23">
        <f>N275</f>
        <v>0</v>
      </c>
      <c r="O274" s="220">
        <f t="shared" si="35"/>
        <v>13500</v>
      </c>
      <c r="P274" s="259"/>
      <c r="Q274" s="308">
        <f t="shared" si="36"/>
        <v>13500</v>
      </c>
      <c r="R274" s="92">
        <f t="shared" si="37"/>
        <v>0</v>
      </c>
      <c r="S274" s="92">
        <f t="shared" si="38"/>
        <v>13500</v>
      </c>
    </row>
    <row r="275" spans="2:19" ht="13.5" thickBot="1" x14ac:dyDescent="0.25">
      <c r="B275" s="94">
        <f t="shared" si="39"/>
        <v>89</v>
      </c>
      <c r="C275" s="100"/>
      <c r="D275" s="100"/>
      <c r="E275" s="100"/>
      <c r="F275" s="106"/>
      <c r="G275" s="100"/>
      <c r="H275" s="100" t="s">
        <v>359</v>
      </c>
      <c r="I275" s="103"/>
      <c r="J275" s="103"/>
      <c r="K275" s="254">
        <f t="shared" si="34"/>
        <v>0</v>
      </c>
      <c r="L275" s="259"/>
      <c r="M275" s="351">
        <v>13500</v>
      </c>
      <c r="N275" s="103"/>
      <c r="O275" s="254">
        <f t="shared" si="35"/>
        <v>13500</v>
      </c>
      <c r="P275" s="259"/>
      <c r="Q275" s="333">
        <f t="shared" si="36"/>
        <v>13500</v>
      </c>
      <c r="R275" s="277">
        <f t="shared" si="37"/>
        <v>0</v>
      </c>
      <c r="S275" s="104">
        <f t="shared" si="38"/>
        <v>13500</v>
      </c>
    </row>
    <row r="276" spans="2:19" x14ac:dyDescent="0.2">
      <c r="K276" s="273"/>
      <c r="M276" s="273"/>
      <c r="N276" s="273"/>
      <c r="O276" s="273"/>
      <c r="Q276" s="273"/>
    </row>
    <row r="277" spans="2:19" x14ac:dyDescent="0.2">
      <c r="K277" s="49"/>
      <c r="M277" s="49"/>
      <c r="N277" s="49"/>
      <c r="O277" s="49"/>
      <c r="Q277" s="49"/>
    </row>
    <row r="278" spans="2:19" x14ac:dyDescent="0.2">
      <c r="K278" s="49"/>
      <c r="M278" s="49"/>
      <c r="N278" s="49"/>
      <c r="O278" s="49"/>
      <c r="Q278" s="49"/>
    </row>
    <row r="279" spans="2:19" x14ac:dyDescent="0.2">
      <c r="K279" s="49"/>
      <c r="M279" s="49"/>
      <c r="N279" s="49"/>
      <c r="O279" s="49"/>
      <c r="Q279" s="49"/>
    </row>
    <row r="280" spans="2:19" x14ac:dyDescent="0.2">
      <c r="K280" s="49"/>
      <c r="M280" s="49"/>
      <c r="N280" s="49"/>
      <c r="O280" s="49"/>
      <c r="Q280" s="49"/>
    </row>
    <row r="281" spans="2:19" x14ac:dyDescent="0.2">
      <c r="K281" s="49"/>
      <c r="M281" s="49"/>
      <c r="N281" s="49"/>
      <c r="O281" s="49"/>
      <c r="Q281" s="49"/>
    </row>
    <row r="282" spans="2:19" x14ac:dyDescent="0.2">
      <c r="K282" s="49"/>
      <c r="M282" s="49"/>
      <c r="N282" s="49"/>
      <c r="O282" s="49"/>
      <c r="Q282" s="49"/>
    </row>
    <row r="283" spans="2:19" x14ac:dyDescent="0.2">
      <c r="K283" s="49"/>
      <c r="M283" s="49"/>
      <c r="N283" s="49"/>
      <c r="O283" s="49"/>
      <c r="Q283" s="49"/>
    </row>
    <row r="284" spans="2:19" x14ac:dyDescent="0.2">
      <c r="K284" s="49"/>
      <c r="M284" s="49"/>
      <c r="N284" s="49"/>
      <c r="O284" s="49"/>
      <c r="Q284" s="49"/>
    </row>
    <row r="285" spans="2:19" x14ac:dyDescent="0.2">
      <c r="K285" s="49"/>
      <c r="M285" s="49"/>
      <c r="N285" s="49"/>
      <c r="O285" s="49"/>
      <c r="Q285" s="49"/>
    </row>
    <row r="286" spans="2:19" x14ac:dyDescent="0.2">
      <c r="K286" s="49"/>
      <c r="M286" s="49"/>
      <c r="N286" s="49"/>
      <c r="O286" s="49"/>
      <c r="Q286" s="49"/>
    </row>
    <row r="287" spans="2:19" x14ac:dyDescent="0.2">
      <c r="K287" s="49"/>
      <c r="M287" s="49"/>
      <c r="N287" s="49"/>
      <c r="O287" s="49"/>
      <c r="Q287" s="49"/>
    </row>
    <row r="288" spans="2:19" x14ac:dyDescent="0.2">
      <c r="K288" s="49"/>
      <c r="M288" s="49"/>
      <c r="N288" s="49"/>
      <c r="O288" s="49"/>
      <c r="Q288" s="49"/>
    </row>
    <row r="289" spans="2:19" x14ac:dyDescent="0.2">
      <c r="K289" s="49"/>
      <c r="M289" s="49"/>
      <c r="N289" s="49"/>
      <c r="O289" s="49"/>
      <c r="Q289" s="49"/>
    </row>
    <row r="290" spans="2:19" x14ac:dyDescent="0.2">
      <c r="K290" s="49"/>
      <c r="M290" s="49"/>
      <c r="N290" s="49"/>
      <c r="O290" s="49"/>
      <c r="Q290" s="49"/>
    </row>
    <row r="291" spans="2:19" x14ac:dyDescent="0.2">
      <c r="K291" s="49"/>
      <c r="M291" s="49"/>
      <c r="N291" s="49"/>
      <c r="O291" s="49"/>
      <c r="Q291" s="49"/>
    </row>
    <row r="292" spans="2:19" x14ac:dyDescent="0.2">
      <c r="K292" s="49"/>
      <c r="M292" s="49"/>
      <c r="N292" s="49"/>
      <c r="O292" s="49"/>
      <c r="Q292" s="49"/>
    </row>
    <row r="293" spans="2:19" x14ac:dyDescent="0.2">
      <c r="K293" s="49"/>
      <c r="M293" s="49"/>
      <c r="N293" s="49"/>
      <c r="O293" s="49"/>
      <c r="Q293" s="49"/>
    </row>
    <row r="294" spans="2:19" x14ac:dyDescent="0.2">
      <c r="K294" s="49"/>
      <c r="M294" s="49"/>
      <c r="N294" s="49"/>
      <c r="O294" s="49"/>
      <c r="Q294" s="49"/>
    </row>
    <row r="295" spans="2:19" x14ac:dyDescent="0.2">
      <c r="K295" s="49"/>
      <c r="M295" s="49"/>
      <c r="N295" s="49"/>
      <c r="O295" s="49"/>
      <c r="Q295" s="49"/>
    </row>
    <row r="296" spans="2:19" x14ac:dyDescent="0.2">
      <c r="K296" s="49"/>
      <c r="M296" s="49"/>
      <c r="N296" s="49"/>
      <c r="O296" s="49"/>
      <c r="Q296" s="49"/>
    </row>
    <row r="297" spans="2:19" ht="27.75" thickBot="1" x14ac:dyDescent="0.4">
      <c r="B297" s="480" t="s">
        <v>25</v>
      </c>
      <c r="C297" s="481"/>
      <c r="D297" s="481"/>
      <c r="E297" s="481"/>
      <c r="F297" s="481"/>
      <c r="G297" s="481"/>
      <c r="H297" s="481"/>
      <c r="I297" s="481"/>
      <c r="J297" s="481"/>
      <c r="K297" s="481"/>
      <c r="L297" s="481"/>
      <c r="M297" s="481"/>
      <c r="N297" s="481"/>
      <c r="O297" s="481"/>
      <c r="P297" s="481"/>
      <c r="Q297" s="481"/>
    </row>
    <row r="298" spans="2:19" ht="13.5" customHeight="1" thickBot="1" x14ac:dyDescent="0.25">
      <c r="B298" s="482" t="s">
        <v>353</v>
      </c>
      <c r="C298" s="483"/>
      <c r="D298" s="483"/>
      <c r="E298" s="483"/>
      <c r="F298" s="483"/>
      <c r="G298" s="483"/>
      <c r="H298" s="483"/>
      <c r="I298" s="484"/>
      <c r="J298" s="484"/>
      <c r="K298" s="484"/>
      <c r="L298" s="484"/>
      <c r="M298" s="484"/>
      <c r="N298" s="244"/>
      <c r="O298" s="244"/>
      <c r="P298" s="259"/>
      <c r="Q298" s="485" t="s">
        <v>651</v>
      </c>
      <c r="R298" s="471" t="s">
        <v>648</v>
      </c>
      <c r="S298" s="474" t="s">
        <v>652</v>
      </c>
    </row>
    <row r="299" spans="2:19" ht="13.5" customHeight="1" thickBot="1" x14ac:dyDescent="0.25">
      <c r="B299" s="488"/>
      <c r="C299" s="489" t="s">
        <v>126</v>
      </c>
      <c r="D299" s="489" t="s">
        <v>127</v>
      </c>
      <c r="E299" s="489"/>
      <c r="F299" s="489" t="s">
        <v>128</v>
      </c>
      <c r="G299" s="492" t="s">
        <v>129</v>
      </c>
      <c r="H299" s="495" t="s">
        <v>130</v>
      </c>
      <c r="I299" s="516" t="s">
        <v>647</v>
      </c>
      <c r="J299" s="504" t="s">
        <v>648</v>
      </c>
      <c r="K299" s="477" t="s">
        <v>649</v>
      </c>
      <c r="L299" s="269"/>
      <c r="M299" s="517" t="s">
        <v>650</v>
      </c>
      <c r="N299" s="471" t="s">
        <v>648</v>
      </c>
      <c r="O299" s="477" t="s">
        <v>649</v>
      </c>
      <c r="P299" s="259"/>
      <c r="Q299" s="486"/>
      <c r="R299" s="472"/>
      <c r="S299" s="475"/>
    </row>
    <row r="300" spans="2:19" ht="13.5" thickBot="1" x14ac:dyDescent="0.25">
      <c r="B300" s="488"/>
      <c r="C300" s="490"/>
      <c r="D300" s="490"/>
      <c r="E300" s="490"/>
      <c r="F300" s="490"/>
      <c r="G300" s="493"/>
      <c r="H300" s="495"/>
      <c r="I300" s="496"/>
      <c r="J300" s="502"/>
      <c r="K300" s="478"/>
      <c r="L300" s="259"/>
      <c r="M300" s="500"/>
      <c r="N300" s="472"/>
      <c r="O300" s="478"/>
      <c r="P300" s="259"/>
      <c r="Q300" s="486"/>
      <c r="R300" s="472"/>
      <c r="S300" s="475"/>
    </row>
    <row r="301" spans="2:19" ht="13.5" thickBot="1" x14ac:dyDescent="0.25">
      <c r="B301" s="488"/>
      <c r="C301" s="490"/>
      <c r="D301" s="490"/>
      <c r="E301" s="490"/>
      <c r="F301" s="490"/>
      <c r="G301" s="493"/>
      <c r="H301" s="495"/>
      <c r="I301" s="496"/>
      <c r="J301" s="502"/>
      <c r="K301" s="478"/>
      <c r="L301" s="259"/>
      <c r="M301" s="500"/>
      <c r="N301" s="472"/>
      <c r="O301" s="478"/>
      <c r="P301" s="259"/>
      <c r="Q301" s="486"/>
      <c r="R301" s="472"/>
      <c r="S301" s="475"/>
    </row>
    <row r="302" spans="2:19" ht="13.5" thickBot="1" x14ac:dyDescent="0.25">
      <c r="B302" s="488"/>
      <c r="C302" s="491"/>
      <c r="D302" s="491"/>
      <c r="E302" s="491"/>
      <c r="F302" s="491"/>
      <c r="G302" s="494"/>
      <c r="H302" s="495"/>
      <c r="I302" s="497"/>
      <c r="J302" s="503"/>
      <c r="K302" s="479"/>
      <c r="L302" s="259"/>
      <c r="M302" s="501"/>
      <c r="N302" s="473"/>
      <c r="O302" s="479"/>
      <c r="P302" s="259"/>
      <c r="Q302" s="487"/>
      <c r="R302" s="473"/>
      <c r="S302" s="476"/>
    </row>
    <row r="303" spans="2:19" ht="16.5" thickTop="1" x14ac:dyDescent="0.2">
      <c r="B303" s="88">
        <v>1</v>
      </c>
      <c r="C303" s="505" t="s">
        <v>25</v>
      </c>
      <c r="D303" s="506"/>
      <c r="E303" s="506"/>
      <c r="F303" s="506"/>
      <c r="G303" s="506"/>
      <c r="H303" s="507"/>
      <c r="I303" s="39">
        <f>I365+I350+I339+I329+I320+I309+I304</f>
        <v>633751</v>
      </c>
      <c r="J303" s="39">
        <f>J365+J350+J339+J329+J320+J309+J304</f>
        <v>5103</v>
      </c>
      <c r="K303" s="253">
        <f t="shared" ref="K303:K365" si="40">I303+J303</f>
        <v>638854</v>
      </c>
      <c r="L303" s="259"/>
      <c r="M303" s="336">
        <f>M304+M309+M320+M329+M339+M350+M365</f>
        <v>18000</v>
      </c>
      <c r="N303" s="39">
        <f>N304+N309+N320+N329+N339+N350+N365</f>
        <v>0</v>
      </c>
      <c r="O303" s="253">
        <f t="shared" ref="O303:O365" si="41">M303+N303</f>
        <v>18000</v>
      </c>
      <c r="P303" s="259"/>
      <c r="Q303" s="331">
        <f t="shared" ref="Q303:Q365" si="42">I303+M303</f>
        <v>651751</v>
      </c>
      <c r="R303" s="98">
        <f t="shared" ref="R303:R365" si="43">J303+N303</f>
        <v>5103</v>
      </c>
      <c r="S303" s="98">
        <f t="shared" ref="S303:S365" si="44">K303+O303</f>
        <v>656854</v>
      </c>
    </row>
    <row r="304" spans="2:19" ht="15" x14ac:dyDescent="0.2">
      <c r="B304" s="88">
        <f>B303+1</f>
        <v>2</v>
      </c>
      <c r="C304" s="242">
        <v>1</v>
      </c>
      <c r="D304" s="511" t="s">
        <v>196</v>
      </c>
      <c r="E304" s="509"/>
      <c r="F304" s="509"/>
      <c r="G304" s="509"/>
      <c r="H304" s="510"/>
      <c r="I304" s="40">
        <f>I305+I306</f>
        <v>27500</v>
      </c>
      <c r="J304" s="40">
        <f>J305+J306</f>
        <v>0</v>
      </c>
      <c r="K304" s="248">
        <f t="shared" si="40"/>
        <v>27500</v>
      </c>
      <c r="L304" s="259"/>
      <c r="M304" s="318">
        <v>0</v>
      </c>
      <c r="N304" s="40">
        <v>0</v>
      </c>
      <c r="O304" s="248">
        <f t="shared" si="41"/>
        <v>0</v>
      </c>
      <c r="P304" s="259"/>
      <c r="Q304" s="313">
        <f t="shared" si="42"/>
        <v>27500</v>
      </c>
      <c r="R304" s="89">
        <f t="shared" si="43"/>
        <v>0</v>
      </c>
      <c r="S304" s="89">
        <f t="shared" si="44"/>
        <v>27500</v>
      </c>
    </row>
    <row r="305" spans="2:22" x14ac:dyDescent="0.2">
      <c r="B305" s="88">
        <f>B304+1</f>
        <v>3</v>
      </c>
      <c r="C305" s="10"/>
      <c r="D305" s="10"/>
      <c r="E305" s="10"/>
      <c r="F305" s="29" t="s">
        <v>82</v>
      </c>
      <c r="G305" s="10">
        <v>620</v>
      </c>
      <c r="H305" s="10" t="s">
        <v>136</v>
      </c>
      <c r="I305" s="27">
        <v>3900</v>
      </c>
      <c r="J305" s="27"/>
      <c r="K305" s="250">
        <f t="shared" si="40"/>
        <v>3900</v>
      </c>
      <c r="L305" s="259"/>
      <c r="M305" s="315"/>
      <c r="N305" s="27"/>
      <c r="O305" s="250">
        <f t="shared" si="41"/>
        <v>0</v>
      </c>
      <c r="P305" s="259"/>
      <c r="Q305" s="309">
        <f t="shared" si="42"/>
        <v>3900</v>
      </c>
      <c r="R305" s="91">
        <f t="shared" si="43"/>
        <v>0</v>
      </c>
      <c r="S305" s="91">
        <f t="shared" si="44"/>
        <v>3900</v>
      </c>
    </row>
    <row r="306" spans="2:22" x14ac:dyDescent="0.2">
      <c r="B306" s="88">
        <f t="shared" ref="B306:B369" si="45">B305+1</f>
        <v>4</v>
      </c>
      <c r="C306" s="10"/>
      <c r="D306" s="10"/>
      <c r="E306" s="10"/>
      <c r="F306" s="29" t="s">
        <v>82</v>
      </c>
      <c r="G306" s="10">
        <v>630</v>
      </c>
      <c r="H306" s="10" t="s">
        <v>133</v>
      </c>
      <c r="I306" s="27">
        <f>I308+I307</f>
        <v>23600</v>
      </c>
      <c r="J306" s="27">
        <f>J308+J307</f>
        <v>0</v>
      </c>
      <c r="K306" s="250">
        <f t="shared" si="40"/>
        <v>23600</v>
      </c>
      <c r="L306" s="259"/>
      <c r="M306" s="315"/>
      <c r="N306" s="27"/>
      <c r="O306" s="250">
        <f t="shared" si="41"/>
        <v>0</v>
      </c>
      <c r="P306" s="259"/>
      <c r="Q306" s="309">
        <f t="shared" si="42"/>
        <v>23600</v>
      </c>
      <c r="R306" s="91">
        <f t="shared" si="43"/>
        <v>0</v>
      </c>
      <c r="S306" s="91">
        <f t="shared" si="44"/>
        <v>23600</v>
      </c>
    </row>
    <row r="307" spans="2:22" x14ac:dyDescent="0.2">
      <c r="B307" s="88">
        <f t="shared" si="45"/>
        <v>5</v>
      </c>
      <c r="C307" s="4"/>
      <c r="D307" s="4"/>
      <c r="E307" s="4"/>
      <c r="F307" s="30" t="s">
        <v>82</v>
      </c>
      <c r="G307" s="4">
        <v>633</v>
      </c>
      <c r="H307" s="4" t="s">
        <v>137</v>
      </c>
      <c r="I307" s="23">
        <v>3100</v>
      </c>
      <c r="J307" s="23"/>
      <c r="K307" s="220">
        <f t="shared" si="40"/>
        <v>3100</v>
      </c>
      <c r="L307" s="259"/>
      <c r="M307" s="227"/>
      <c r="N307" s="23"/>
      <c r="O307" s="220">
        <f t="shared" si="41"/>
        <v>0</v>
      </c>
      <c r="P307" s="259"/>
      <c r="Q307" s="308">
        <f t="shared" si="42"/>
        <v>3100</v>
      </c>
      <c r="R307" s="92">
        <f t="shared" si="43"/>
        <v>0</v>
      </c>
      <c r="S307" s="92">
        <f t="shared" si="44"/>
        <v>3100</v>
      </c>
    </row>
    <row r="308" spans="2:22" x14ac:dyDescent="0.2">
      <c r="B308" s="88">
        <f t="shared" si="45"/>
        <v>6</v>
      </c>
      <c r="C308" s="4"/>
      <c r="D308" s="4"/>
      <c r="E308" s="4"/>
      <c r="F308" s="30" t="s">
        <v>82</v>
      </c>
      <c r="G308" s="4">
        <v>637</v>
      </c>
      <c r="H308" s="4" t="s">
        <v>134</v>
      </c>
      <c r="I308" s="23">
        <v>20500</v>
      </c>
      <c r="J308" s="23"/>
      <c r="K308" s="220">
        <f t="shared" si="40"/>
        <v>20500</v>
      </c>
      <c r="L308" s="259"/>
      <c r="M308" s="227"/>
      <c r="N308" s="23"/>
      <c r="O308" s="220">
        <f t="shared" si="41"/>
        <v>0</v>
      </c>
      <c r="P308" s="259"/>
      <c r="Q308" s="308">
        <f t="shared" si="42"/>
        <v>20500</v>
      </c>
      <c r="R308" s="92">
        <f t="shared" si="43"/>
        <v>0</v>
      </c>
      <c r="S308" s="92">
        <f t="shared" si="44"/>
        <v>20500</v>
      </c>
    </row>
    <row r="309" spans="2:22" ht="15" x14ac:dyDescent="0.2">
      <c r="B309" s="88">
        <f t="shared" si="45"/>
        <v>7</v>
      </c>
      <c r="C309" s="242">
        <v>2</v>
      </c>
      <c r="D309" s="511" t="s">
        <v>200</v>
      </c>
      <c r="E309" s="509"/>
      <c r="F309" s="509"/>
      <c r="G309" s="509"/>
      <c r="H309" s="510"/>
      <c r="I309" s="40">
        <f>I310+I311+I312+I318+I319</f>
        <v>106205</v>
      </c>
      <c r="J309" s="40">
        <f>J310+J311+J312+J318+J319</f>
        <v>1755</v>
      </c>
      <c r="K309" s="248">
        <f t="shared" si="40"/>
        <v>107960</v>
      </c>
      <c r="L309" s="259"/>
      <c r="M309" s="318">
        <v>0</v>
      </c>
      <c r="N309" s="40">
        <v>0</v>
      </c>
      <c r="O309" s="248">
        <f t="shared" si="41"/>
        <v>0</v>
      </c>
      <c r="P309" s="259"/>
      <c r="Q309" s="313">
        <f t="shared" si="42"/>
        <v>106205</v>
      </c>
      <c r="R309" s="89">
        <f t="shared" si="43"/>
        <v>1755</v>
      </c>
      <c r="S309" s="89">
        <f t="shared" si="44"/>
        <v>107960</v>
      </c>
      <c r="V309" s="85"/>
    </row>
    <row r="310" spans="2:22" x14ac:dyDescent="0.2">
      <c r="B310" s="88">
        <f t="shared" si="45"/>
        <v>8</v>
      </c>
      <c r="C310" s="10"/>
      <c r="D310" s="10"/>
      <c r="E310" s="10"/>
      <c r="F310" s="29" t="s">
        <v>199</v>
      </c>
      <c r="G310" s="10">
        <v>610</v>
      </c>
      <c r="H310" s="10" t="s">
        <v>143</v>
      </c>
      <c r="I310" s="27">
        <f>64000-2000</f>
        <v>62000</v>
      </c>
      <c r="J310" s="27"/>
      <c r="K310" s="250">
        <f t="shared" si="40"/>
        <v>62000</v>
      </c>
      <c r="L310" s="259"/>
      <c r="M310" s="315"/>
      <c r="N310" s="27"/>
      <c r="O310" s="250">
        <f t="shared" si="41"/>
        <v>0</v>
      </c>
      <c r="P310" s="259"/>
      <c r="Q310" s="309">
        <f t="shared" si="42"/>
        <v>62000</v>
      </c>
      <c r="R310" s="91">
        <f t="shared" si="43"/>
        <v>0</v>
      </c>
      <c r="S310" s="91">
        <f t="shared" si="44"/>
        <v>62000</v>
      </c>
    </row>
    <row r="311" spans="2:22" x14ac:dyDescent="0.2">
      <c r="B311" s="88">
        <f t="shared" si="45"/>
        <v>9</v>
      </c>
      <c r="C311" s="10"/>
      <c r="D311" s="10"/>
      <c r="E311" s="10"/>
      <c r="F311" s="29" t="s">
        <v>199</v>
      </c>
      <c r="G311" s="10">
        <v>620</v>
      </c>
      <c r="H311" s="10" t="s">
        <v>136</v>
      </c>
      <c r="I311" s="27">
        <f>23300-300</f>
        <v>23000</v>
      </c>
      <c r="J311" s="27"/>
      <c r="K311" s="250">
        <f t="shared" si="40"/>
        <v>23000</v>
      </c>
      <c r="L311" s="259"/>
      <c r="M311" s="315"/>
      <c r="N311" s="27"/>
      <c r="O311" s="250">
        <f t="shared" si="41"/>
        <v>0</v>
      </c>
      <c r="P311" s="259"/>
      <c r="Q311" s="309">
        <f t="shared" si="42"/>
        <v>23000</v>
      </c>
      <c r="R311" s="91">
        <f t="shared" si="43"/>
        <v>0</v>
      </c>
      <c r="S311" s="91">
        <f t="shared" si="44"/>
        <v>23000</v>
      </c>
    </row>
    <row r="312" spans="2:22" x14ac:dyDescent="0.2">
      <c r="B312" s="88">
        <f t="shared" si="45"/>
        <v>10</v>
      </c>
      <c r="C312" s="10"/>
      <c r="D312" s="10"/>
      <c r="E312" s="10"/>
      <c r="F312" s="29" t="s">
        <v>199</v>
      </c>
      <c r="G312" s="10">
        <v>630</v>
      </c>
      <c r="H312" s="10" t="s">
        <v>133</v>
      </c>
      <c r="I312" s="27">
        <f>I317+I316+I315+I314+I313</f>
        <v>13600</v>
      </c>
      <c r="J312" s="27">
        <f>J317+J316+J315+J314+J313</f>
        <v>1755</v>
      </c>
      <c r="K312" s="250">
        <f t="shared" si="40"/>
        <v>15355</v>
      </c>
      <c r="L312" s="259"/>
      <c r="M312" s="315"/>
      <c r="N312" s="27"/>
      <c r="O312" s="250">
        <f t="shared" si="41"/>
        <v>0</v>
      </c>
      <c r="P312" s="259"/>
      <c r="Q312" s="309">
        <f t="shared" si="42"/>
        <v>13600</v>
      </c>
      <c r="R312" s="91">
        <f t="shared" si="43"/>
        <v>1755</v>
      </c>
      <c r="S312" s="91">
        <f t="shared" si="44"/>
        <v>15355</v>
      </c>
    </row>
    <row r="313" spans="2:22" x14ac:dyDescent="0.2">
      <c r="B313" s="88">
        <f t="shared" si="45"/>
        <v>11</v>
      </c>
      <c r="C313" s="4"/>
      <c r="D313" s="4"/>
      <c r="E313" s="4"/>
      <c r="F313" s="30" t="s">
        <v>199</v>
      </c>
      <c r="G313" s="4">
        <v>631</v>
      </c>
      <c r="H313" s="4" t="s">
        <v>139</v>
      </c>
      <c r="I313" s="23">
        <v>500</v>
      </c>
      <c r="J313" s="23"/>
      <c r="K313" s="220">
        <f t="shared" si="40"/>
        <v>500</v>
      </c>
      <c r="L313" s="259"/>
      <c r="M313" s="227"/>
      <c r="N313" s="23"/>
      <c r="O313" s="220">
        <f t="shared" si="41"/>
        <v>0</v>
      </c>
      <c r="P313" s="259"/>
      <c r="Q313" s="308">
        <f t="shared" si="42"/>
        <v>500</v>
      </c>
      <c r="R313" s="92">
        <f t="shared" si="43"/>
        <v>0</v>
      </c>
      <c r="S313" s="92">
        <f t="shared" si="44"/>
        <v>500</v>
      </c>
    </row>
    <row r="314" spans="2:22" x14ac:dyDescent="0.2">
      <c r="B314" s="88">
        <f t="shared" si="45"/>
        <v>12</v>
      </c>
      <c r="C314" s="4"/>
      <c r="D314" s="4"/>
      <c r="E314" s="4"/>
      <c r="F314" s="30" t="s">
        <v>199</v>
      </c>
      <c r="G314" s="4">
        <v>632</v>
      </c>
      <c r="H314" s="4" t="s">
        <v>146</v>
      </c>
      <c r="I314" s="23">
        <v>1700</v>
      </c>
      <c r="J314" s="23"/>
      <c r="K314" s="220">
        <f t="shared" si="40"/>
        <v>1700</v>
      </c>
      <c r="L314" s="259"/>
      <c r="M314" s="227"/>
      <c r="N314" s="23"/>
      <c r="O314" s="220">
        <f t="shared" si="41"/>
        <v>0</v>
      </c>
      <c r="P314" s="259"/>
      <c r="Q314" s="308">
        <f t="shared" si="42"/>
        <v>1700</v>
      </c>
      <c r="R314" s="92">
        <f t="shared" si="43"/>
        <v>0</v>
      </c>
      <c r="S314" s="92">
        <f t="shared" si="44"/>
        <v>1700</v>
      </c>
    </row>
    <row r="315" spans="2:22" x14ac:dyDescent="0.2">
      <c r="B315" s="88">
        <f t="shared" si="45"/>
        <v>13</v>
      </c>
      <c r="C315" s="4"/>
      <c r="D315" s="4"/>
      <c r="E315" s="4"/>
      <c r="F315" s="30" t="s">
        <v>199</v>
      </c>
      <c r="G315" s="4">
        <v>633</v>
      </c>
      <c r="H315" s="4" t="s">
        <v>137</v>
      </c>
      <c r="I315" s="23">
        <f>1700+2000</f>
        <v>3700</v>
      </c>
      <c r="J315" s="23">
        <v>1255</v>
      </c>
      <c r="K315" s="220">
        <f t="shared" si="40"/>
        <v>4955</v>
      </c>
      <c r="L315" s="259"/>
      <c r="M315" s="227"/>
      <c r="N315" s="23"/>
      <c r="O315" s="220">
        <f t="shared" si="41"/>
        <v>0</v>
      </c>
      <c r="P315" s="259"/>
      <c r="Q315" s="308">
        <f t="shared" si="42"/>
        <v>3700</v>
      </c>
      <c r="R315" s="92">
        <f t="shared" si="43"/>
        <v>1255</v>
      </c>
      <c r="S315" s="92">
        <f t="shared" si="44"/>
        <v>4955</v>
      </c>
    </row>
    <row r="316" spans="2:22" x14ac:dyDescent="0.2">
      <c r="B316" s="88">
        <f t="shared" si="45"/>
        <v>14</v>
      </c>
      <c r="C316" s="4"/>
      <c r="D316" s="4"/>
      <c r="E316" s="4"/>
      <c r="F316" s="30" t="s">
        <v>199</v>
      </c>
      <c r="G316" s="4">
        <v>635</v>
      </c>
      <c r="H316" s="4" t="s">
        <v>145</v>
      </c>
      <c r="I316" s="23">
        <f>100+300</f>
        <v>400</v>
      </c>
      <c r="J316" s="23">
        <v>200</v>
      </c>
      <c r="K316" s="220">
        <f t="shared" si="40"/>
        <v>600</v>
      </c>
      <c r="L316" s="259"/>
      <c r="M316" s="227"/>
      <c r="N316" s="23"/>
      <c r="O316" s="220">
        <f t="shared" si="41"/>
        <v>0</v>
      </c>
      <c r="P316" s="259"/>
      <c r="Q316" s="308">
        <f t="shared" si="42"/>
        <v>400</v>
      </c>
      <c r="R316" s="92">
        <f t="shared" si="43"/>
        <v>200</v>
      </c>
      <c r="S316" s="92">
        <f t="shared" si="44"/>
        <v>600</v>
      </c>
    </row>
    <row r="317" spans="2:22" x14ac:dyDescent="0.2">
      <c r="B317" s="88">
        <f t="shared" si="45"/>
        <v>15</v>
      </c>
      <c r="C317" s="4"/>
      <c r="D317" s="4"/>
      <c r="E317" s="4"/>
      <c r="F317" s="30" t="s">
        <v>199</v>
      </c>
      <c r="G317" s="4">
        <v>637</v>
      </c>
      <c r="H317" s="4" t="s">
        <v>134</v>
      </c>
      <c r="I317" s="23">
        <v>7300</v>
      </c>
      <c r="J317" s="23">
        <v>300</v>
      </c>
      <c r="K317" s="220">
        <f t="shared" si="40"/>
        <v>7600</v>
      </c>
      <c r="L317" s="264"/>
      <c r="M317" s="227"/>
      <c r="N317" s="23"/>
      <c r="O317" s="220">
        <f t="shared" si="41"/>
        <v>0</v>
      </c>
      <c r="P317" s="264"/>
      <c r="Q317" s="308">
        <f t="shared" si="42"/>
        <v>7300</v>
      </c>
      <c r="R317" s="92">
        <f t="shared" si="43"/>
        <v>300</v>
      </c>
      <c r="S317" s="92">
        <f t="shared" si="44"/>
        <v>7600</v>
      </c>
    </row>
    <row r="318" spans="2:22" x14ac:dyDescent="0.2">
      <c r="B318" s="88">
        <f t="shared" si="45"/>
        <v>16</v>
      </c>
      <c r="C318" s="10"/>
      <c r="D318" s="10"/>
      <c r="E318" s="10"/>
      <c r="F318" s="29" t="s">
        <v>199</v>
      </c>
      <c r="G318" s="10">
        <v>640</v>
      </c>
      <c r="H318" s="10" t="s">
        <v>141</v>
      </c>
      <c r="I318" s="27">
        <v>400</v>
      </c>
      <c r="J318" s="27"/>
      <c r="K318" s="250">
        <f t="shared" si="40"/>
        <v>400</v>
      </c>
      <c r="L318" s="266"/>
      <c r="M318" s="315"/>
      <c r="N318" s="27"/>
      <c r="O318" s="250">
        <f t="shared" si="41"/>
        <v>0</v>
      </c>
      <c r="P318" s="260"/>
      <c r="Q318" s="309">
        <f t="shared" si="42"/>
        <v>400</v>
      </c>
      <c r="R318" s="91">
        <f t="shared" si="43"/>
        <v>0</v>
      </c>
      <c r="S318" s="91">
        <f t="shared" si="44"/>
        <v>400</v>
      </c>
    </row>
    <row r="319" spans="2:22" x14ac:dyDescent="0.2">
      <c r="B319" s="88">
        <f t="shared" si="45"/>
        <v>17</v>
      </c>
      <c r="C319" s="10"/>
      <c r="D319" s="10"/>
      <c r="E319" s="10"/>
      <c r="F319" s="30" t="s">
        <v>199</v>
      </c>
      <c r="G319" s="4">
        <v>637</v>
      </c>
      <c r="H319" s="4" t="s">
        <v>589</v>
      </c>
      <c r="I319" s="24">
        <v>7205</v>
      </c>
      <c r="J319" s="24"/>
      <c r="K319" s="257">
        <f t="shared" si="40"/>
        <v>7205</v>
      </c>
      <c r="L319" s="259"/>
      <c r="M319" s="315"/>
      <c r="N319" s="27"/>
      <c r="O319" s="250">
        <f t="shared" si="41"/>
        <v>0</v>
      </c>
      <c r="P319" s="259"/>
      <c r="Q319" s="309">
        <f t="shared" si="42"/>
        <v>7205</v>
      </c>
      <c r="R319" s="91">
        <f t="shared" si="43"/>
        <v>0</v>
      </c>
      <c r="S319" s="91">
        <f t="shared" si="44"/>
        <v>7205</v>
      </c>
    </row>
    <row r="320" spans="2:22" ht="15" x14ac:dyDescent="0.2">
      <c r="B320" s="88">
        <f t="shared" si="45"/>
        <v>18</v>
      </c>
      <c r="C320" s="242">
        <v>3</v>
      </c>
      <c r="D320" s="511" t="s">
        <v>184</v>
      </c>
      <c r="E320" s="509"/>
      <c r="F320" s="509"/>
      <c r="G320" s="509"/>
      <c r="H320" s="510"/>
      <c r="I320" s="40">
        <f>I321+I322+I323+I328</f>
        <v>196260</v>
      </c>
      <c r="J320" s="40">
        <f>J321+J322+J323+J328</f>
        <v>0</v>
      </c>
      <c r="K320" s="248">
        <f t="shared" si="40"/>
        <v>196260</v>
      </c>
      <c r="L320" s="259"/>
      <c r="M320" s="318">
        <v>0</v>
      </c>
      <c r="N320" s="40">
        <v>0</v>
      </c>
      <c r="O320" s="248">
        <f t="shared" si="41"/>
        <v>0</v>
      </c>
      <c r="P320" s="259"/>
      <c r="Q320" s="313">
        <f t="shared" si="42"/>
        <v>196260</v>
      </c>
      <c r="R320" s="89">
        <f t="shared" si="43"/>
        <v>0</v>
      </c>
      <c r="S320" s="89">
        <f t="shared" si="44"/>
        <v>196260</v>
      </c>
    </row>
    <row r="321" spans="2:19" x14ac:dyDescent="0.2">
      <c r="B321" s="88">
        <f t="shared" si="45"/>
        <v>19</v>
      </c>
      <c r="C321" s="10"/>
      <c r="D321" s="10"/>
      <c r="E321" s="10"/>
      <c r="F321" s="29" t="s">
        <v>81</v>
      </c>
      <c r="G321" s="10">
        <v>610</v>
      </c>
      <c r="H321" s="10" t="s">
        <v>143</v>
      </c>
      <c r="I321" s="27">
        <v>136400</v>
      </c>
      <c r="J321" s="27"/>
      <c r="K321" s="250">
        <f t="shared" si="40"/>
        <v>136400</v>
      </c>
      <c r="L321" s="259"/>
      <c r="M321" s="315"/>
      <c r="N321" s="27"/>
      <c r="O321" s="250">
        <f t="shared" si="41"/>
        <v>0</v>
      </c>
      <c r="P321" s="259"/>
      <c r="Q321" s="309">
        <f t="shared" si="42"/>
        <v>136400</v>
      </c>
      <c r="R321" s="91">
        <f t="shared" si="43"/>
        <v>0</v>
      </c>
      <c r="S321" s="91">
        <f t="shared" si="44"/>
        <v>136400</v>
      </c>
    </row>
    <row r="322" spans="2:19" x14ac:dyDescent="0.2">
      <c r="B322" s="88">
        <f t="shared" si="45"/>
        <v>20</v>
      </c>
      <c r="C322" s="10"/>
      <c r="D322" s="10"/>
      <c r="E322" s="10"/>
      <c r="F322" s="29" t="s">
        <v>81</v>
      </c>
      <c r="G322" s="10">
        <v>620</v>
      </c>
      <c r="H322" s="10" t="s">
        <v>136</v>
      </c>
      <c r="I322" s="27">
        <v>46000</v>
      </c>
      <c r="J322" s="27"/>
      <c r="K322" s="250">
        <f t="shared" si="40"/>
        <v>46000</v>
      </c>
      <c r="L322" s="259"/>
      <c r="M322" s="315"/>
      <c r="N322" s="27"/>
      <c r="O322" s="250">
        <f t="shared" si="41"/>
        <v>0</v>
      </c>
      <c r="P322" s="259"/>
      <c r="Q322" s="309">
        <f t="shared" si="42"/>
        <v>46000</v>
      </c>
      <c r="R322" s="91">
        <f t="shared" si="43"/>
        <v>0</v>
      </c>
      <c r="S322" s="91">
        <f t="shared" si="44"/>
        <v>46000</v>
      </c>
    </row>
    <row r="323" spans="2:19" x14ac:dyDescent="0.2">
      <c r="B323" s="88">
        <f t="shared" si="45"/>
        <v>21</v>
      </c>
      <c r="C323" s="10"/>
      <c r="D323" s="10"/>
      <c r="E323" s="10"/>
      <c r="F323" s="29" t="s">
        <v>81</v>
      </c>
      <c r="G323" s="10">
        <v>630</v>
      </c>
      <c r="H323" s="10" t="s">
        <v>133</v>
      </c>
      <c r="I323" s="27">
        <f>I327+I326+I325+I324</f>
        <v>13360</v>
      </c>
      <c r="J323" s="27">
        <f>J327+J326+J325+J324</f>
        <v>0</v>
      </c>
      <c r="K323" s="250">
        <f t="shared" si="40"/>
        <v>13360</v>
      </c>
      <c r="L323" s="259"/>
      <c r="M323" s="315"/>
      <c r="N323" s="27"/>
      <c r="O323" s="250">
        <f t="shared" si="41"/>
        <v>0</v>
      </c>
      <c r="P323" s="259"/>
      <c r="Q323" s="309">
        <f t="shared" si="42"/>
        <v>13360</v>
      </c>
      <c r="R323" s="91">
        <f t="shared" si="43"/>
        <v>0</v>
      </c>
      <c r="S323" s="91">
        <f t="shared" si="44"/>
        <v>13360</v>
      </c>
    </row>
    <row r="324" spans="2:19" x14ac:dyDescent="0.2">
      <c r="B324" s="88">
        <f t="shared" si="45"/>
        <v>22</v>
      </c>
      <c r="C324" s="4"/>
      <c r="D324" s="4"/>
      <c r="E324" s="4"/>
      <c r="F324" s="30" t="s">
        <v>81</v>
      </c>
      <c r="G324" s="4">
        <v>631</v>
      </c>
      <c r="H324" s="4" t="s">
        <v>139</v>
      </c>
      <c r="I324" s="23">
        <v>100</v>
      </c>
      <c r="J324" s="23"/>
      <c r="K324" s="220">
        <f t="shared" si="40"/>
        <v>100</v>
      </c>
      <c r="L324" s="259"/>
      <c r="M324" s="227"/>
      <c r="N324" s="23"/>
      <c r="O324" s="220">
        <f t="shared" si="41"/>
        <v>0</v>
      </c>
      <c r="P324" s="259"/>
      <c r="Q324" s="308">
        <f t="shared" si="42"/>
        <v>100</v>
      </c>
      <c r="R324" s="92">
        <f t="shared" si="43"/>
        <v>0</v>
      </c>
      <c r="S324" s="92">
        <f t="shared" si="44"/>
        <v>100</v>
      </c>
    </row>
    <row r="325" spans="2:19" x14ac:dyDescent="0.2">
      <c r="B325" s="88">
        <f t="shared" si="45"/>
        <v>23</v>
      </c>
      <c r="C325" s="4"/>
      <c r="D325" s="4"/>
      <c r="E325" s="4"/>
      <c r="F325" s="30" t="s">
        <v>81</v>
      </c>
      <c r="G325" s="4">
        <v>632</v>
      </c>
      <c r="H325" s="4" t="s">
        <v>146</v>
      </c>
      <c r="I325" s="23">
        <v>1800</v>
      </c>
      <c r="J325" s="23"/>
      <c r="K325" s="220">
        <f t="shared" si="40"/>
        <v>1800</v>
      </c>
      <c r="L325" s="259"/>
      <c r="M325" s="227"/>
      <c r="N325" s="23"/>
      <c r="O325" s="220">
        <f t="shared" si="41"/>
        <v>0</v>
      </c>
      <c r="P325" s="259"/>
      <c r="Q325" s="308">
        <f t="shared" si="42"/>
        <v>1800</v>
      </c>
      <c r="R325" s="92">
        <f t="shared" si="43"/>
        <v>0</v>
      </c>
      <c r="S325" s="92">
        <f t="shared" si="44"/>
        <v>1800</v>
      </c>
    </row>
    <row r="326" spans="2:19" x14ac:dyDescent="0.2">
      <c r="B326" s="88">
        <f t="shared" si="45"/>
        <v>24</v>
      </c>
      <c r="C326" s="4"/>
      <c r="D326" s="4"/>
      <c r="E326" s="4"/>
      <c r="F326" s="30" t="s">
        <v>81</v>
      </c>
      <c r="G326" s="4">
        <v>633</v>
      </c>
      <c r="H326" s="4" t="s">
        <v>137</v>
      </c>
      <c r="I326" s="23">
        <v>1200</v>
      </c>
      <c r="J326" s="23"/>
      <c r="K326" s="220">
        <f t="shared" si="40"/>
        <v>1200</v>
      </c>
      <c r="L326" s="259"/>
      <c r="M326" s="227"/>
      <c r="N326" s="23"/>
      <c r="O326" s="220">
        <f t="shared" si="41"/>
        <v>0</v>
      </c>
      <c r="P326" s="259"/>
      <c r="Q326" s="308">
        <f t="shared" si="42"/>
        <v>1200</v>
      </c>
      <c r="R326" s="92">
        <f t="shared" si="43"/>
        <v>0</v>
      </c>
      <c r="S326" s="92">
        <f t="shared" si="44"/>
        <v>1200</v>
      </c>
    </row>
    <row r="327" spans="2:19" x14ac:dyDescent="0.2">
      <c r="B327" s="88">
        <f t="shared" si="45"/>
        <v>25</v>
      </c>
      <c r="C327" s="4"/>
      <c r="D327" s="4"/>
      <c r="E327" s="4"/>
      <c r="F327" s="30" t="s">
        <v>81</v>
      </c>
      <c r="G327" s="4">
        <v>637</v>
      </c>
      <c r="H327" s="4" t="s">
        <v>134</v>
      </c>
      <c r="I327" s="23">
        <v>10260</v>
      </c>
      <c r="J327" s="23"/>
      <c r="K327" s="220">
        <f t="shared" si="40"/>
        <v>10260</v>
      </c>
      <c r="L327" s="259"/>
      <c r="M327" s="227"/>
      <c r="N327" s="23"/>
      <c r="O327" s="220">
        <f t="shared" si="41"/>
        <v>0</v>
      </c>
      <c r="P327" s="259"/>
      <c r="Q327" s="308">
        <f t="shared" si="42"/>
        <v>10260</v>
      </c>
      <c r="R327" s="92">
        <f t="shared" si="43"/>
        <v>0</v>
      </c>
      <c r="S327" s="92">
        <f t="shared" si="44"/>
        <v>10260</v>
      </c>
    </row>
    <row r="328" spans="2:19" x14ac:dyDescent="0.2">
      <c r="B328" s="88">
        <f t="shared" si="45"/>
        <v>26</v>
      </c>
      <c r="C328" s="10"/>
      <c r="D328" s="10"/>
      <c r="E328" s="10"/>
      <c r="F328" s="29" t="s">
        <v>81</v>
      </c>
      <c r="G328" s="10">
        <v>640</v>
      </c>
      <c r="H328" s="10" t="s">
        <v>141</v>
      </c>
      <c r="I328" s="27">
        <v>500</v>
      </c>
      <c r="J328" s="27"/>
      <c r="K328" s="250">
        <f t="shared" si="40"/>
        <v>500</v>
      </c>
      <c r="L328" s="259"/>
      <c r="M328" s="315"/>
      <c r="N328" s="27"/>
      <c r="O328" s="250">
        <f t="shared" si="41"/>
        <v>0</v>
      </c>
      <c r="P328" s="259"/>
      <c r="Q328" s="309">
        <f t="shared" si="42"/>
        <v>500</v>
      </c>
      <c r="R328" s="91">
        <f t="shared" si="43"/>
        <v>0</v>
      </c>
      <c r="S328" s="91">
        <f t="shared" si="44"/>
        <v>500</v>
      </c>
    </row>
    <row r="329" spans="2:19" ht="15" x14ac:dyDescent="0.2">
      <c r="B329" s="88">
        <f t="shared" si="45"/>
        <v>27</v>
      </c>
      <c r="C329" s="242">
        <v>4</v>
      </c>
      <c r="D329" s="511" t="s">
        <v>50</v>
      </c>
      <c r="E329" s="509"/>
      <c r="F329" s="509"/>
      <c r="G329" s="509"/>
      <c r="H329" s="510"/>
      <c r="I329" s="40">
        <f>I330</f>
        <v>48140</v>
      </c>
      <c r="J329" s="40">
        <f>J330</f>
        <v>0</v>
      </c>
      <c r="K329" s="248">
        <f t="shared" si="40"/>
        <v>48140</v>
      </c>
      <c r="L329" s="259"/>
      <c r="M329" s="318">
        <v>0</v>
      </c>
      <c r="N329" s="40">
        <v>0</v>
      </c>
      <c r="O329" s="248">
        <f t="shared" si="41"/>
        <v>0</v>
      </c>
      <c r="P329" s="259"/>
      <c r="Q329" s="313">
        <f t="shared" si="42"/>
        <v>48140</v>
      </c>
      <c r="R329" s="89">
        <f t="shared" si="43"/>
        <v>0</v>
      </c>
      <c r="S329" s="89">
        <f t="shared" si="44"/>
        <v>48140</v>
      </c>
    </row>
    <row r="330" spans="2:19" ht="15" x14ac:dyDescent="0.25">
      <c r="B330" s="88">
        <f t="shared" si="45"/>
        <v>28</v>
      </c>
      <c r="C330" s="13"/>
      <c r="D330" s="13"/>
      <c r="E330" s="13">
        <v>2</v>
      </c>
      <c r="F330" s="32"/>
      <c r="G330" s="13"/>
      <c r="H330" s="13" t="s">
        <v>402</v>
      </c>
      <c r="I330" s="42">
        <f>I331+I332+I333+I338</f>
        <v>48140</v>
      </c>
      <c r="J330" s="42">
        <f>J331+J332+J333+J338</f>
        <v>0</v>
      </c>
      <c r="K330" s="255">
        <f t="shared" si="40"/>
        <v>48140</v>
      </c>
      <c r="L330" s="259"/>
      <c r="M330" s="317"/>
      <c r="N330" s="42"/>
      <c r="O330" s="255">
        <f t="shared" si="41"/>
        <v>0</v>
      </c>
      <c r="P330" s="259"/>
      <c r="Q330" s="312">
        <f t="shared" si="42"/>
        <v>48140</v>
      </c>
      <c r="R330" s="99">
        <f t="shared" si="43"/>
        <v>0</v>
      </c>
      <c r="S330" s="99">
        <f t="shared" si="44"/>
        <v>48140</v>
      </c>
    </row>
    <row r="331" spans="2:19" x14ac:dyDescent="0.2">
      <c r="B331" s="88">
        <f>B329+1</f>
        <v>28</v>
      </c>
      <c r="C331" s="10"/>
      <c r="D331" s="10"/>
      <c r="E331" s="10"/>
      <c r="F331" s="29" t="s">
        <v>208</v>
      </c>
      <c r="G331" s="10">
        <v>610</v>
      </c>
      <c r="H331" s="10" t="s">
        <v>143</v>
      </c>
      <c r="I331" s="27">
        <v>24350</v>
      </c>
      <c r="J331" s="27"/>
      <c r="K331" s="250">
        <f t="shared" si="40"/>
        <v>24350</v>
      </c>
      <c r="L331" s="259"/>
      <c r="M331" s="315"/>
      <c r="N331" s="27"/>
      <c r="O331" s="250">
        <f t="shared" si="41"/>
        <v>0</v>
      </c>
      <c r="P331" s="259"/>
      <c r="Q331" s="309">
        <f t="shared" si="42"/>
        <v>24350</v>
      </c>
      <c r="R331" s="91">
        <f t="shared" si="43"/>
        <v>0</v>
      </c>
      <c r="S331" s="91">
        <f t="shared" si="44"/>
        <v>24350</v>
      </c>
    </row>
    <row r="332" spans="2:19" x14ac:dyDescent="0.2">
      <c r="B332" s="88">
        <f t="shared" si="45"/>
        <v>29</v>
      </c>
      <c r="C332" s="10"/>
      <c r="D332" s="10"/>
      <c r="E332" s="10"/>
      <c r="F332" s="29" t="s">
        <v>208</v>
      </c>
      <c r="G332" s="10">
        <v>620</v>
      </c>
      <c r="H332" s="10" t="s">
        <v>136</v>
      </c>
      <c r="I332" s="27">
        <v>9100</v>
      </c>
      <c r="J332" s="27"/>
      <c r="K332" s="250">
        <f t="shared" si="40"/>
        <v>9100</v>
      </c>
      <c r="L332" s="259"/>
      <c r="M332" s="315"/>
      <c r="N332" s="27"/>
      <c r="O332" s="250">
        <f t="shared" si="41"/>
        <v>0</v>
      </c>
      <c r="P332" s="259"/>
      <c r="Q332" s="309">
        <f t="shared" si="42"/>
        <v>9100</v>
      </c>
      <c r="R332" s="91">
        <f t="shared" si="43"/>
        <v>0</v>
      </c>
      <c r="S332" s="91">
        <f t="shared" si="44"/>
        <v>9100</v>
      </c>
    </row>
    <row r="333" spans="2:19" x14ac:dyDescent="0.2">
      <c r="B333" s="88">
        <f t="shared" si="45"/>
        <v>30</v>
      </c>
      <c r="C333" s="10"/>
      <c r="D333" s="10"/>
      <c r="E333" s="10"/>
      <c r="F333" s="29" t="s">
        <v>208</v>
      </c>
      <c r="G333" s="10">
        <v>630</v>
      </c>
      <c r="H333" s="10" t="s">
        <v>133</v>
      </c>
      <c r="I333" s="27">
        <f>SUM(I334:I337)</f>
        <v>13590</v>
      </c>
      <c r="J333" s="27">
        <f>SUM(J334:J337)</f>
        <v>0</v>
      </c>
      <c r="K333" s="250">
        <f t="shared" si="40"/>
        <v>13590</v>
      </c>
      <c r="L333" s="259"/>
      <c r="M333" s="315"/>
      <c r="N333" s="27"/>
      <c r="O333" s="250">
        <f t="shared" si="41"/>
        <v>0</v>
      </c>
      <c r="P333" s="259"/>
      <c r="Q333" s="309">
        <f t="shared" si="42"/>
        <v>13590</v>
      </c>
      <c r="R333" s="91">
        <f t="shared" si="43"/>
        <v>0</v>
      </c>
      <c r="S333" s="91">
        <f t="shared" si="44"/>
        <v>13590</v>
      </c>
    </row>
    <row r="334" spans="2:19" x14ac:dyDescent="0.2">
      <c r="B334" s="88">
        <f t="shared" si="45"/>
        <v>31</v>
      </c>
      <c r="C334" s="4"/>
      <c r="D334" s="4"/>
      <c r="E334" s="4"/>
      <c r="F334" s="30" t="s">
        <v>208</v>
      </c>
      <c r="G334" s="4">
        <v>632</v>
      </c>
      <c r="H334" s="4" t="s">
        <v>146</v>
      </c>
      <c r="I334" s="23">
        <v>7900</v>
      </c>
      <c r="J334" s="23"/>
      <c r="K334" s="220">
        <f t="shared" si="40"/>
        <v>7900</v>
      </c>
      <c r="L334" s="259"/>
      <c r="M334" s="227"/>
      <c r="N334" s="23"/>
      <c r="O334" s="220">
        <f t="shared" si="41"/>
        <v>0</v>
      </c>
      <c r="P334" s="259"/>
      <c r="Q334" s="308">
        <f t="shared" si="42"/>
        <v>7900</v>
      </c>
      <c r="R334" s="92">
        <f t="shared" si="43"/>
        <v>0</v>
      </c>
      <c r="S334" s="92">
        <f t="shared" si="44"/>
        <v>7900</v>
      </c>
    </row>
    <row r="335" spans="2:19" x14ac:dyDescent="0.2">
      <c r="B335" s="88">
        <f t="shared" si="45"/>
        <v>32</v>
      </c>
      <c r="C335" s="4"/>
      <c r="D335" s="4"/>
      <c r="E335" s="4"/>
      <c r="F335" s="30" t="s">
        <v>208</v>
      </c>
      <c r="G335" s="4">
        <v>633</v>
      </c>
      <c r="H335" s="4" t="s">
        <v>137</v>
      </c>
      <c r="I335" s="23">
        <v>2200</v>
      </c>
      <c r="J335" s="23"/>
      <c r="K335" s="220">
        <f t="shared" si="40"/>
        <v>2200</v>
      </c>
      <c r="L335" s="259"/>
      <c r="M335" s="227"/>
      <c r="N335" s="23"/>
      <c r="O335" s="220">
        <f t="shared" si="41"/>
        <v>0</v>
      </c>
      <c r="P335" s="259"/>
      <c r="Q335" s="308">
        <f t="shared" si="42"/>
        <v>2200</v>
      </c>
      <c r="R335" s="92">
        <f t="shared" si="43"/>
        <v>0</v>
      </c>
      <c r="S335" s="92">
        <f t="shared" si="44"/>
        <v>2200</v>
      </c>
    </row>
    <row r="336" spans="2:19" x14ac:dyDescent="0.2">
      <c r="B336" s="88">
        <f t="shared" si="45"/>
        <v>33</v>
      </c>
      <c r="C336" s="4"/>
      <c r="D336" s="4"/>
      <c r="E336" s="4"/>
      <c r="F336" s="30" t="s">
        <v>208</v>
      </c>
      <c r="G336" s="4">
        <v>635</v>
      </c>
      <c r="H336" s="4" t="s">
        <v>145</v>
      </c>
      <c r="I336" s="23">
        <v>400</v>
      </c>
      <c r="J336" s="23"/>
      <c r="K336" s="220">
        <f t="shared" si="40"/>
        <v>400</v>
      </c>
      <c r="L336" s="259"/>
      <c r="M336" s="227"/>
      <c r="N336" s="23"/>
      <c r="O336" s="220">
        <f t="shared" si="41"/>
        <v>0</v>
      </c>
      <c r="P336" s="259"/>
      <c r="Q336" s="308">
        <f t="shared" si="42"/>
        <v>400</v>
      </c>
      <c r="R336" s="92">
        <f t="shared" si="43"/>
        <v>0</v>
      </c>
      <c r="S336" s="92">
        <f t="shared" si="44"/>
        <v>400</v>
      </c>
    </row>
    <row r="337" spans="2:19" x14ac:dyDescent="0.2">
      <c r="B337" s="88">
        <f t="shared" si="45"/>
        <v>34</v>
      </c>
      <c r="C337" s="4"/>
      <c r="D337" s="4"/>
      <c r="E337" s="4"/>
      <c r="F337" s="30" t="s">
        <v>208</v>
      </c>
      <c r="G337" s="4">
        <v>637</v>
      </c>
      <c r="H337" s="4" t="s">
        <v>134</v>
      </c>
      <c r="I337" s="23">
        <v>3090</v>
      </c>
      <c r="J337" s="23"/>
      <c r="K337" s="220">
        <f t="shared" si="40"/>
        <v>3090</v>
      </c>
      <c r="L337" s="259"/>
      <c r="M337" s="227"/>
      <c r="N337" s="23"/>
      <c r="O337" s="220">
        <f t="shared" si="41"/>
        <v>0</v>
      </c>
      <c r="P337" s="259"/>
      <c r="Q337" s="308">
        <f t="shared" si="42"/>
        <v>3090</v>
      </c>
      <c r="R337" s="92">
        <f t="shared" si="43"/>
        <v>0</v>
      </c>
      <c r="S337" s="92">
        <f t="shared" si="44"/>
        <v>3090</v>
      </c>
    </row>
    <row r="338" spans="2:19" x14ac:dyDescent="0.2">
      <c r="B338" s="88">
        <f t="shared" si="45"/>
        <v>35</v>
      </c>
      <c r="C338" s="10"/>
      <c r="D338" s="10"/>
      <c r="E338" s="10"/>
      <c r="F338" s="29" t="s">
        <v>208</v>
      </c>
      <c r="G338" s="10">
        <v>640</v>
      </c>
      <c r="H338" s="10" t="s">
        <v>141</v>
      </c>
      <c r="I338" s="27">
        <v>1100</v>
      </c>
      <c r="J338" s="27"/>
      <c r="K338" s="250">
        <f t="shared" si="40"/>
        <v>1100</v>
      </c>
      <c r="L338" s="259"/>
      <c r="M338" s="315"/>
      <c r="N338" s="27"/>
      <c r="O338" s="250">
        <f t="shared" si="41"/>
        <v>0</v>
      </c>
      <c r="P338" s="259"/>
      <c r="Q338" s="309">
        <f t="shared" si="42"/>
        <v>1100</v>
      </c>
      <c r="R338" s="91">
        <f t="shared" si="43"/>
        <v>0</v>
      </c>
      <c r="S338" s="91">
        <f t="shared" si="44"/>
        <v>1100</v>
      </c>
    </row>
    <row r="339" spans="2:19" ht="15" x14ac:dyDescent="0.2">
      <c r="B339" s="88">
        <f t="shared" si="45"/>
        <v>36</v>
      </c>
      <c r="C339" s="242">
        <v>5</v>
      </c>
      <c r="D339" s="511" t="s">
        <v>233</v>
      </c>
      <c r="E339" s="509"/>
      <c r="F339" s="509"/>
      <c r="G339" s="509"/>
      <c r="H339" s="510"/>
      <c r="I339" s="40">
        <f>I340</f>
        <v>55610</v>
      </c>
      <c r="J339" s="40">
        <f>J340</f>
        <v>9850</v>
      </c>
      <c r="K339" s="248">
        <f t="shared" si="40"/>
        <v>65460</v>
      </c>
      <c r="L339" s="259"/>
      <c r="M339" s="318">
        <f>M340</f>
        <v>0</v>
      </c>
      <c r="N339" s="40">
        <f>N340</f>
        <v>0</v>
      </c>
      <c r="O339" s="248">
        <f t="shared" si="41"/>
        <v>0</v>
      </c>
      <c r="P339" s="259"/>
      <c r="Q339" s="313">
        <f t="shared" si="42"/>
        <v>55610</v>
      </c>
      <c r="R339" s="89">
        <f t="shared" si="43"/>
        <v>9850</v>
      </c>
      <c r="S339" s="89">
        <f t="shared" si="44"/>
        <v>65460</v>
      </c>
    </row>
    <row r="340" spans="2:19" ht="15" x14ac:dyDescent="0.25">
      <c r="B340" s="88">
        <f t="shared" si="45"/>
        <v>37</v>
      </c>
      <c r="C340" s="13"/>
      <c r="D340" s="13"/>
      <c r="E340" s="13">
        <v>2</v>
      </c>
      <c r="F340" s="32"/>
      <c r="G340" s="13"/>
      <c r="H340" s="13" t="s">
        <v>402</v>
      </c>
      <c r="I340" s="42">
        <f>I341+I342+I343+I349</f>
        <v>55610</v>
      </c>
      <c r="J340" s="42">
        <f>J341+J342+J343+J349</f>
        <v>9850</v>
      </c>
      <c r="K340" s="255">
        <f t="shared" si="40"/>
        <v>65460</v>
      </c>
      <c r="L340" s="259"/>
      <c r="M340" s="317"/>
      <c r="N340" s="42"/>
      <c r="O340" s="255">
        <f t="shared" si="41"/>
        <v>0</v>
      </c>
      <c r="P340" s="259"/>
      <c r="Q340" s="312">
        <f t="shared" si="42"/>
        <v>55610</v>
      </c>
      <c r="R340" s="99">
        <f t="shared" si="43"/>
        <v>9850</v>
      </c>
      <c r="S340" s="99">
        <f t="shared" si="44"/>
        <v>65460</v>
      </c>
    </row>
    <row r="341" spans="2:19" x14ac:dyDescent="0.2">
      <c r="B341" s="88">
        <f t="shared" si="45"/>
        <v>38</v>
      </c>
      <c r="C341" s="10"/>
      <c r="D341" s="10"/>
      <c r="E341" s="10"/>
      <c r="F341" s="29" t="s">
        <v>208</v>
      </c>
      <c r="G341" s="10">
        <v>610</v>
      </c>
      <c r="H341" s="10" t="s">
        <v>143</v>
      </c>
      <c r="I341" s="27">
        <v>22090</v>
      </c>
      <c r="J341" s="27"/>
      <c r="K341" s="250">
        <f t="shared" si="40"/>
        <v>22090</v>
      </c>
      <c r="L341" s="259"/>
      <c r="M341" s="315"/>
      <c r="N341" s="27"/>
      <c r="O341" s="250">
        <f t="shared" si="41"/>
        <v>0</v>
      </c>
      <c r="P341" s="259"/>
      <c r="Q341" s="309">
        <f t="shared" si="42"/>
        <v>22090</v>
      </c>
      <c r="R341" s="91">
        <f t="shared" si="43"/>
        <v>0</v>
      </c>
      <c r="S341" s="91">
        <f t="shared" si="44"/>
        <v>22090</v>
      </c>
    </row>
    <row r="342" spans="2:19" x14ac:dyDescent="0.2">
      <c r="B342" s="88">
        <f t="shared" si="45"/>
        <v>39</v>
      </c>
      <c r="C342" s="10"/>
      <c r="D342" s="10"/>
      <c r="E342" s="10"/>
      <c r="F342" s="29" t="s">
        <v>208</v>
      </c>
      <c r="G342" s="10">
        <v>620</v>
      </c>
      <c r="H342" s="10" t="s">
        <v>136</v>
      </c>
      <c r="I342" s="27">
        <v>9300</v>
      </c>
      <c r="J342" s="27"/>
      <c r="K342" s="250">
        <f t="shared" si="40"/>
        <v>9300</v>
      </c>
      <c r="L342" s="259"/>
      <c r="M342" s="315"/>
      <c r="N342" s="27"/>
      <c r="O342" s="250">
        <f t="shared" si="41"/>
        <v>0</v>
      </c>
      <c r="P342" s="259"/>
      <c r="Q342" s="309">
        <f t="shared" si="42"/>
        <v>9300</v>
      </c>
      <c r="R342" s="91">
        <f t="shared" si="43"/>
        <v>0</v>
      </c>
      <c r="S342" s="91">
        <f t="shared" si="44"/>
        <v>9300</v>
      </c>
    </row>
    <row r="343" spans="2:19" x14ac:dyDescent="0.2">
      <c r="B343" s="88">
        <f t="shared" si="45"/>
        <v>40</v>
      </c>
      <c r="C343" s="10"/>
      <c r="D343" s="10"/>
      <c r="E343" s="10"/>
      <c r="F343" s="29" t="s">
        <v>208</v>
      </c>
      <c r="G343" s="10">
        <v>630</v>
      </c>
      <c r="H343" s="10" t="s">
        <v>133</v>
      </c>
      <c r="I343" s="27">
        <f>SUM(I344:I348)</f>
        <v>22170</v>
      </c>
      <c r="J343" s="27">
        <f>SUM(J344:J348)</f>
        <v>9850</v>
      </c>
      <c r="K343" s="250">
        <f t="shared" si="40"/>
        <v>32020</v>
      </c>
      <c r="L343" s="259"/>
      <c r="M343" s="315"/>
      <c r="N343" s="27"/>
      <c r="O343" s="250">
        <f t="shared" si="41"/>
        <v>0</v>
      </c>
      <c r="P343" s="259"/>
      <c r="Q343" s="309">
        <f t="shared" si="42"/>
        <v>22170</v>
      </c>
      <c r="R343" s="91">
        <f t="shared" si="43"/>
        <v>9850</v>
      </c>
      <c r="S343" s="91">
        <f t="shared" si="44"/>
        <v>32020</v>
      </c>
    </row>
    <row r="344" spans="2:19" x14ac:dyDescent="0.2">
      <c r="B344" s="88">
        <f t="shared" si="45"/>
        <v>41</v>
      </c>
      <c r="C344" s="4"/>
      <c r="D344" s="4"/>
      <c r="E344" s="4"/>
      <c r="F344" s="30" t="s">
        <v>208</v>
      </c>
      <c r="G344" s="4">
        <v>632</v>
      </c>
      <c r="H344" s="4" t="s">
        <v>146</v>
      </c>
      <c r="I344" s="23">
        <v>6400</v>
      </c>
      <c r="J344" s="23"/>
      <c r="K344" s="220">
        <f t="shared" si="40"/>
        <v>6400</v>
      </c>
      <c r="L344" s="259"/>
      <c r="M344" s="227"/>
      <c r="N344" s="23"/>
      <c r="O344" s="220">
        <f t="shared" si="41"/>
        <v>0</v>
      </c>
      <c r="P344" s="259"/>
      <c r="Q344" s="308">
        <f t="shared" si="42"/>
        <v>6400</v>
      </c>
      <c r="R344" s="92">
        <f t="shared" si="43"/>
        <v>0</v>
      </c>
      <c r="S344" s="92">
        <f t="shared" si="44"/>
        <v>6400</v>
      </c>
    </row>
    <row r="345" spans="2:19" x14ac:dyDescent="0.2">
      <c r="B345" s="88">
        <f t="shared" si="45"/>
        <v>42</v>
      </c>
      <c r="C345" s="4"/>
      <c r="D345" s="4"/>
      <c r="E345" s="4"/>
      <c r="F345" s="30" t="s">
        <v>208</v>
      </c>
      <c r="G345" s="4">
        <v>633</v>
      </c>
      <c r="H345" s="4" t="s">
        <v>137</v>
      </c>
      <c r="I345" s="23">
        <v>1000</v>
      </c>
      <c r="J345" s="23"/>
      <c r="K345" s="220">
        <f t="shared" si="40"/>
        <v>1000</v>
      </c>
      <c r="L345" s="319"/>
      <c r="M345" s="227"/>
      <c r="N345" s="23"/>
      <c r="O345" s="220">
        <f t="shared" si="41"/>
        <v>0</v>
      </c>
      <c r="P345" s="319"/>
      <c r="Q345" s="308">
        <f t="shared" si="42"/>
        <v>1000</v>
      </c>
      <c r="R345" s="92">
        <f t="shared" si="43"/>
        <v>0</v>
      </c>
      <c r="S345" s="92">
        <f t="shared" si="44"/>
        <v>1000</v>
      </c>
    </row>
    <row r="346" spans="2:19" x14ac:dyDescent="0.2">
      <c r="B346" s="88">
        <f t="shared" si="45"/>
        <v>43</v>
      </c>
      <c r="C346" s="4"/>
      <c r="D346" s="4"/>
      <c r="E346" s="4"/>
      <c r="F346" s="30" t="s">
        <v>208</v>
      </c>
      <c r="G346" s="4">
        <v>635</v>
      </c>
      <c r="H346" s="4" t="s">
        <v>145</v>
      </c>
      <c r="I346" s="23">
        <v>200</v>
      </c>
      <c r="J346" s="23"/>
      <c r="K346" s="220">
        <f t="shared" si="40"/>
        <v>200</v>
      </c>
      <c r="L346" s="319"/>
      <c r="M346" s="227"/>
      <c r="N346" s="23"/>
      <c r="O346" s="220">
        <f t="shared" si="41"/>
        <v>0</v>
      </c>
      <c r="P346" s="260"/>
      <c r="Q346" s="308">
        <f t="shared" si="42"/>
        <v>200</v>
      </c>
      <c r="R346" s="92">
        <f t="shared" si="43"/>
        <v>0</v>
      </c>
      <c r="S346" s="92">
        <f t="shared" si="44"/>
        <v>200</v>
      </c>
    </row>
    <row r="347" spans="2:19" x14ac:dyDescent="0.2">
      <c r="B347" s="88">
        <f t="shared" si="45"/>
        <v>44</v>
      </c>
      <c r="C347" s="4"/>
      <c r="D347" s="4"/>
      <c r="E347" s="4"/>
      <c r="F347" s="30" t="s">
        <v>208</v>
      </c>
      <c r="G347" s="4">
        <v>636</v>
      </c>
      <c r="H347" s="4" t="s">
        <v>138</v>
      </c>
      <c r="I347" s="23">
        <v>1650</v>
      </c>
      <c r="J347" s="23">
        <v>9850</v>
      </c>
      <c r="K347" s="220">
        <f t="shared" si="40"/>
        <v>11500</v>
      </c>
      <c r="L347" s="259"/>
      <c r="M347" s="227"/>
      <c r="N347" s="23"/>
      <c r="O347" s="220">
        <f t="shared" si="41"/>
        <v>0</v>
      </c>
      <c r="P347" s="259"/>
      <c r="Q347" s="308">
        <f t="shared" si="42"/>
        <v>1650</v>
      </c>
      <c r="R347" s="92">
        <f t="shared" si="43"/>
        <v>9850</v>
      </c>
      <c r="S347" s="92">
        <f t="shared" si="44"/>
        <v>11500</v>
      </c>
    </row>
    <row r="348" spans="2:19" x14ac:dyDescent="0.2">
      <c r="B348" s="88">
        <f t="shared" si="45"/>
        <v>45</v>
      </c>
      <c r="C348" s="4"/>
      <c r="D348" s="4"/>
      <c r="E348" s="4"/>
      <c r="F348" s="30" t="s">
        <v>208</v>
      </c>
      <c r="G348" s="4">
        <v>637</v>
      </c>
      <c r="H348" s="4" t="s">
        <v>134</v>
      </c>
      <c r="I348" s="23">
        <v>12920</v>
      </c>
      <c r="J348" s="23"/>
      <c r="K348" s="220">
        <f t="shared" si="40"/>
        <v>12920</v>
      </c>
      <c r="L348" s="259"/>
      <c r="M348" s="227"/>
      <c r="N348" s="23"/>
      <c r="O348" s="220">
        <f t="shared" si="41"/>
        <v>0</v>
      </c>
      <c r="P348" s="259"/>
      <c r="Q348" s="308">
        <f t="shared" si="42"/>
        <v>12920</v>
      </c>
      <c r="R348" s="92">
        <f t="shared" si="43"/>
        <v>0</v>
      </c>
      <c r="S348" s="92">
        <f t="shared" si="44"/>
        <v>12920</v>
      </c>
    </row>
    <row r="349" spans="2:19" x14ac:dyDescent="0.2">
      <c r="B349" s="88">
        <f t="shared" si="45"/>
        <v>46</v>
      </c>
      <c r="C349" s="10"/>
      <c r="D349" s="10"/>
      <c r="E349" s="10"/>
      <c r="F349" s="29" t="s">
        <v>208</v>
      </c>
      <c r="G349" s="10">
        <v>640</v>
      </c>
      <c r="H349" s="10" t="s">
        <v>141</v>
      </c>
      <c r="I349" s="27">
        <v>2050</v>
      </c>
      <c r="J349" s="27"/>
      <c r="K349" s="250">
        <f t="shared" si="40"/>
        <v>2050</v>
      </c>
      <c r="L349" s="259"/>
      <c r="M349" s="315"/>
      <c r="N349" s="27"/>
      <c r="O349" s="250">
        <f t="shared" si="41"/>
        <v>0</v>
      </c>
      <c r="P349" s="259"/>
      <c r="Q349" s="309">
        <f t="shared" si="42"/>
        <v>2050</v>
      </c>
      <c r="R349" s="91">
        <f t="shared" si="43"/>
        <v>0</v>
      </c>
      <c r="S349" s="91">
        <f t="shared" si="44"/>
        <v>2050</v>
      </c>
    </row>
    <row r="350" spans="2:19" ht="15" x14ac:dyDescent="0.2">
      <c r="B350" s="88">
        <f t="shared" si="45"/>
        <v>47</v>
      </c>
      <c r="C350" s="242">
        <v>6</v>
      </c>
      <c r="D350" s="511" t="s">
        <v>157</v>
      </c>
      <c r="E350" s="509"/>
      <c r="F350" s="509"/>
      <c r="G350" s="509"/>
      <c r="H350" s="510"/>
      <c r="I350" s="40">
        <f>I351+I358</f>
        <v>197736</v>
      </c>
      <c r="J350" s="40">
        <f>J351+J358</f>
        <v>-6502</v>
      </c>
      <c r="K350" s="248">
        <f t="shared" si="40"/>
        <v>191234</v>
      </c>
      <c r="L350" s="259"/>
      <c r="M350" s="318">
        <f>M358</f>
        <v>18000</v>
      </c>
      <c r="N350" s="40">
        <f>N358</f>
        <v>0</v>
      </c>
      <c r="O350" s="248">
        <f t="shared" si="41"/>
        <v>18000</v>
      </c>
      <c r="P350" s="259"/>
      <c r="Q350" s="313">
        <f t="shared" si="42"/>
        <v>215736</v>
      </c>
      <c r="R350" s="89">
        <f t="shared" si="43"/>
        <v>-6502</v>
      </c>
      <c r="S350" s="89">
        <f t="shared" si="44"/>
        <v>209234</v>
      </c>
    </row>
    <row r="351" spans="2:19" x14ac:dyDescent="0.2">
      <c r="B351" s="88">
        <f t="shared" si="45"/>
        <v>48</v>
      </c>
      <c r="C351" s="10"/>
      <c r="D351" s="10"/>
      <c r="E351" s="10"/>
      <c r="F351" s="29" t="s">
        <v>156</v>
      </c>
      <c r="G351" s="10">
        <v>630</v>
      </c>
      <c r="H351" s="10" t="s">
        <v>133</v>
      </c>
      <c r="I351" s="27">
        <f>SUM(I352:I357)</f>
        <v>197736</v>
      </c>
      <c r="J351" s="27">
        <f>SUM(J352:J357)</f>
        <v>-6502</v>
      </c>
      <c r="K351" s="250">
        <f t="shared" si="40"/>
        <v>191234</v>
      </c>
      <c r="L351" s="259"/>
      <c r="M351" s="315"/>
      <c r="N351" s="27"/>
      <c r="O351" s="250">
        <f t="shared" si="41"/>
        <v>0</v>
      </c>
      <c r="P351" s="259"/>
      <c r="Q351" s="309">
        <f t="shared" si="42"/>
        <v>197736</v>
      </c>
      <c r="R351" s="91">
        <f t="shared" si="43"/>
        <v>-6502</v>
      </c>
      <c r="S351" s="91">
        <f t="shared" si="44"/>
        <v>191234</v>
      </c>
    </row>
    <row r="352" spans="2:19" x14ac:dyDescent="0.2">
      <c r="B352" s="88">
        <f t="shared" si="45"/>
        <v>49</v>
      </c>
      <c r="C352" s="4"/>
      <c r="D352" s="4"/>
      <c r="E352" s="4"/>
      <c r="F352" s="30" t="s">
        <v>156</v>
      </c>
      <c r="G352" s="4">
        <v>632</v>
      </c>
      <c r="H352" s="4" t="s">
        <v>146</v>
      </c>
      <c r="I352" s="23">
        <v>25000</v>
      </c>
      <c r="J352" s="23"/>
      <c r="K352" s="220">
        <f t="shared" si="40"/>
        <v>25000</v>
      </c>
      <c r="L352" s="259"/>
      <c r="M352" s="227"/>
      <c r="N352" s="23"/>
      <c r="O352" s="220">
        <f t="shared" si="41"/>
        <v>0</v>
      </c>
      <c r="P352" s="259"/>
      <c r="Q352" s="308">
        <f t="shared" si="42"/>
        <v>25000</v>
      </c>
      <c r="R352" s="92">
        <f t="shared" si="43"/>
        <v>0</v>
      </c>
      <c r="S352" s="92">
        <f t="shared" si="44"/>
        <v>25000</v>
      </c>
    </row>
    <row r="353" spans="2:19" x14ac:dyDescent="0.2">
      <c r="B353" s="88">
        <f t="shared" si="45"/>
        <v>50</v>
      </c>
      <c r="C353" s="4"/>
      <c r="D353" s="4"/>
      <c r="E353" s="4"/>
      <c r="F353" s="30" t="s">
        <v>156</v>
      </c>
      <c r="G353" s="4">
        <v>633</v>
      </c>
      <c r="H353" s="4" t="s">
        <v>137</v>
      </c>
      <c r="I353" s="23">
        <v>1700</v>
      </c>
      <c r="J353" s="23"/>
      <c r="K353" s="220">
        <f t="shared" si="40"/>
        <v>1700</v>
      </c>
      <c r="L353" s="259"/>
      <c r="M353" s="227"/>
      <c r="N353" s="23"/>
      <c r="O353" s="220">
        <f t="shared" si="41"/>
        <v>0</v>
      </c>
      <c r="P353" s="259"/>
      <c r="Q353" s="308">
        <f t="shared" si="42"/>
        <v>1700</v>
      </c>
      <c r="R353" s="92">
        <f t="shared" si="43"/>
        <v>0</v>
      </c>
      <c r="S353" s="92">
        <f t="shared" si="44"/>
        <v>1700</v>
      </c>
    </row>
    <row r="354" spans="2:19" x14ac:dyDescent="0.2">
      <c r="B354" s="88">
        <f t="shared" si="45"/>
        <v>51</v>
      </c>
      <c r="C354" s="4"/>
      <c r="D354" s="4"/>
      <c r="E354" s="4"/>
      <c r="F354" s="30" t="s">
        <v>156</v>
      </c>
      <c r="G354" s="4">
        <v>635</v>
      </c>
      <c r="H354" s="4" t="s">
        <v>145</v>
      </c>
      <c r="I354" s="23">
        <v>12600</v>
      </c>
      <c r="J354" s="23"/>
      <c r="K354" s="220">
        <f t="shared" si="40"/>
        <v>12600</v>
      </c>
      <c r="L354" s="259"/>
      <c r="M354" s="227"/>
      <c r="N354" s="23"/>
      <c r="O354" s="220">
        <f t="shared" si="41"/>
        <v>0</v>
      </c>
      <c r="P354" s="259"/>
      <c r="Q354" s="308">
        <f t="shared" si="42"/>
        <v>12600</v>
      </c>
      <c r="R354" s="92">
        <f t="shared" si="43"/>
        <v>0</v>
      </c>
      <c r="S354" s="92">
        <f t="shared" si="44"/>
        <v>12600</v>
      </c>
    </row>
    <row r="355" spans="2:19" x14ac:dyDescent="0.2">
      <c r="B355" s="88">
        <f t="shared" si="45"/>
        <v>52</v>
      </c>
      <c r="C355" s="4"/>
      <c r="D355" s="4"/>
      <c r="E355" s="4"/>
      <c r="F355" s="30" t="s">
        <v>156</v>
      </c>
      <c r="G355" s="4">
        <v>635</v>
      </c>
      <c r="H355" s="4" t="s">
        <v>447</v>
      </c>
      <c r="I355" s="23">
        <f>15000+17000</f>
        <v>32000</v>
      </c>
      <c r="J355" s="23">
        <v>-6502</v>
      </c>
      <c r="K355" s="220">
        <f t="shared" si="40"/>
        <v>25498</v>
      </c>
      <c r="L355" s="259"/>
      <c r="M355" s="227"/>
      <c r="N355" s="23"/>
      <c r="O355" s="220">
        <f t="shared" si="41"/>
        <v>0</v>
      </c>
      <c r="P355" s="259"/>
      <c r="Q355" s="308">
        <f t="shared" si="42"/>
        <v>32000</v>
      </c>
      <c r="R355" s="92">
        <f t="shared" si="43"/>
        <v>-6502</v>
      </c>
      <c r="S355" s="92">
        <f t="shared" si="44"/>
        <v>25498</v>
      </c>
    </row>
    <row r="356" spans="2:19" x14ac:dyDescent="0.2">
      <c r="B356" s="88">
        <f t="shared" si="45"/>
        <v>53</v>
      </c>
      <c r="C356" s="4"/>
      <c r="D356" s="4"/>
      <c r="E356" s="4"/>
      <c r="F356" s="30" t="s">
        <v>156</v>
      </c>
      <c r="G356" s="4">
        <v>637</v>
      </c>
      <c r="H356" s="4" t="s">
        <v>134</v>
      </c>
      <c r="I356" s="23">
        <v>117910</v>
      </c>
      <c r="J356" s="23"/>
      <c r="K356" s="220">
        <f t="shared" si="40"/>
        <v>117910</v>
      </c>
      <c r="L356" s="259"/>
      <c r="M356" s="227"/>
      <c r="N356" s="23"/>
      <c r="O356" s="220">
        <f t="shared" si="41"/>
        <v>0</v>
      </c>
      <c r="P356" s="259"/>
      <c r="Q356" s="308">
        <f t="shared" si="42"/>
        <v>117910</v>
      </c>
      <c r="R356" s="92">
        <f t="shared" si="43"/>
        <v>0</v>
      </c>
      <c r="S356" s="92">
        <f t="shared" si="44"/>
        <v>117910</v>
      </c>
    </row>
    <row r="357" spans="2:19" x14ac:dyDescent="0.2">
      <c r="B357" s="88">
        <f t="shared" si="45"/>
        <v>54</v>
      </c>
      <c r="C357" s="4"/>
      <c r="D357" s="4"/>
      <c r="E357" s="4"/>
      <c r="F357" s="30" t="s">
        <v>156</v>
      </c>
      <c r="G357" s="4">
        <v>637</v>
      </c>
      <c r="H357" s="4" t="s">
        <v>289</v>
      </c>
      <c r="I357" s="23">
        <v>8526</v>
      </c>
      <c r="J357" s="23"/>
      <c r="K357" s="220">
        <f t="shared" si="40"/>
        <v>8526</v>
      </c>
      <c r="L357" s="259"/>
      <c r="M357" s="227"/>
      <c r="N357" s="23"/>
      <c r="O357" s="220">
        <f t="shared" si="41"/>
        <v>0</v>
      </c>
      <c r="P357" s="259"/>
      <c r="Q357" s="308">
        <f t="shared" si="42"/>
        <v>8526</v>
      </c>
      <c r="R357" s="92">
        <f t="shared" si="43"/>
        <v>0</v>
      </c>
      <c r="S357" s="92">
        <f t="shared" si="44"/>
        <v>8526</v>
      </c>
    </row>
    <row r="358" spans="2:19" x14ac:dyDescent="0.2">
      <c r="B358" s="88">
        <f t="shared" si="45"/>
        <v>55</v>
      </c>
      <c r="C358" s="10"/>
      <c r="D358" s="10"/>
      <c r="E358" s="10"/>
      <c r="F358" s="29" t="s">
        <v>156</v>
      </c>
      <c r="G358" s="10">
        <v>710</v>
      </c>
      <c r="H358" s="10" t="s">
        <v>188</v>
      </c>
      <c r="I358" s="27"/>
      <c r="J358" s="27"/>
      <c r="K358" s="250">
        <f t="shared" si="40"/>
        <v>0</v>
      </c>
      <c r="L358" s="259"/>
      <c r="M358" s="315">
        <f>M362+M359</f>
        <v>18000</v>
      </c>
      <c r="N358" s="27">
        <f>N362+N359</f>
        <v>0</v>
      </c>
      <c r="O358" s="250">
        <f t="shared" si="41"/>
        <v>18000</v>
      </c>
      <c r="P358" s="259"/>
      <c r="Q358" s="309">
        <f t="shared" si="42"/>
        <v>18000</v>
      </c>
      <c r="R358" s="91">
        <f t="shared" si="43"/>
        <v>0</v>
      </c>
      <c r="S358" s="91">
        <f t="shared" si="44"/>
        <v>18000</v>
      </c>
    </row>
    <row r="359" spans="2:19" x14ac:dyDescent="0.2">
      <c r="B359" s="88">
        <f t="shared" si="45"/>
        <v>56</v>
      </c>
      <c r="C359" s="4"/>
      <c r="D359" s="4"/>
      <c r="E359" s="4"/>
      <c r="F359" s="30" t="s">
        <v>156</v>
      </c>
      <c r="G359" s="4">
        <v>716</v>
      </c>
      <c r="H359" s="4" t="s">
        <v>232</v>
      </c>
      <c r="I359" s="23"/>
      <c r="J359" s="23"/>
      <c r="K359" s="220">
        <f t="shared" si="40"/>
        <v>0</v>
      </c>
      <c r="L359" s="259"/>
      <c r="M359" s="227">
        <f>M360+M361</f>
        <v>9600</v>
      </c>
      <c r="N359" s="23">
        <f>N360+N361</f>
        <v>0</v>
      </c>
      <c r="O359" s="220">
        <f t="shared" si="41"/>
        <v>9600</v>
      </c>
      <c r="P359" s="259"/>
      <c r="Q359" s="308">
        <f t="shared" si="42"/>
        <v>9600</v>
      </c>
      <c r="R359" s="92">
        <f t="shared" si="43"/>
        <v>0</v>
      </c>
      <c r="S359" s="92">
        <f t="shared" si="44"/>
        <v>9600</v>
      </c>
    </row>
    <row r="360" spans="2:19" x14ac:dyDescent="0.2">
      <c r="B360" s="88">
        <f t="shared" si="45"/>
        <v>57</v>
      </c>
      <c r="C360" s="5"/>
      <c r="D360" s="5"/>
      <c r="E360" s="5"/>
      <c r="F360" s="31"/>
      <c r="G360" s="5"/>
      <c r="H360" s="5" t="s">
        <v>362</v>
      </c>
      <c r="I360" s="25"/>
      <c r="J360" s="25"/>
      <c r="K360" s="251">
        <f t="shared" si="40"/>
        <v>0</v>
      </c>
      <c r="L360" s="259"/>
      <c r="M360" s="337">
        <v>9000</v>
      </c>
      <c r="N360" s="25"/>
      <c r="O360" s="251">
        <f t="shared" si="41"/>
        <v>9000</v>
      </c>
      <c r="P360" s="259"/>
      <c r="Q360" s="332">
        <f t="shared" si="42"/>
        <v>9000</v>
      </c>
      <c r="R360" s="93">
        <f t="shared" si="43"/>
        <v>0</v>
      </c>
      <c r="S360" s="93">
        <f t="shared" si="44"/>
        <v>9000</v>
      </c>
    </row>
    <row r="361" spans="2:19" x14ac:dyDescent="0.2">
      <c r="B361" s="88">
        <f t="shared" si="45"/>
        <v>58</v>
      </c>
      <c r="C361" s="5"/>
      <c r="D361" s="5"/>
      <c r="E361" s="5"/>
      <c r="F361" s="31"/>
      <c r="G361" s="5"/>
      <c r="H361" s="5" t="s">
        <v>590</v>
      </c>
      <c r="I361" s="25"/>
      <c r="J361" s="25"/>
      <c r="K361" s="251">
        <f t="shared" si="40"/>
        <v>0</v>
      </c>
      <c r="L361" s="259"/>
      <c r="M361" s="337">
        <v>600</v>
      </c>
      <c r="N361" s="25"/>
      <c r="O361" s="251">
        <f t="shared" si="41"/>
        <v>600</v>
      </c>
      <c r="P361" s="259"/>
      <c r="Q361" s="332">
        <f t="shared" si="42"/>
        <v>600</v>
      </c>
      <c r="R361" s="93">
        <f t="shared" si="43"/>
        <v>0</v>
      </c>
      <c r="S361" s="93">
        <f t="shared" si="44"/>
        <v>600</v>
      </c>
    </row>
    <row r="362" spans="2:19" x14ac:dyDescent="0.2">
      <c r="B362" s="88">
        <f t="shared" si="45"/>
        <v>59</v>
      </c>
      <c r="C362" s="4"/>
      <c r="D362" s="4"/>
      <c r="E362" s="4"/>
      <c r="F362" s="30" t="s">
        <v>156</v>
      </c>
      <c r="G362" s="4">
        <v>717</v>
      </c>
      <c r="H362" s="4" t="s">
        <v>198</v>
      </c>
      <c r="I362" s="23"/>
      <c r="J362" s="23"/>
      <c r="K362" s="220">
        <f t="shared" si="40"/>
        <v>0</v>
      </c>
      <c r="L362" s="259"/>
      <c r="M362" s="227">
        <f>SUM(M363:M364)</f>
        <v>8400</v>
      </c>
      <c r="N362" s="23">
        <f>SUM(N363:N364)</f>
        <v>0</v>
      </c>
      <c r="O362" s="220">
        <f t="shared" si="41"/>
        <v>8400</v>
      </c>
      <c r="P362" s="259"/>
      <c r="Q362" s="308">
        <f t="shared" si="42"/>
        <v>8400</v>
      </c>
      <c r="R362" s="92">
        <f t="shared" si="43"/>
        <v>0</v>
      </c>
      <c r="S362" s="92">
        <f t="shared" si="44"/>
        <v>8400</v>
      </c>
    </row>
    <row r="363" spans="2:19" x14ac:dyDescent="0.2">
      <c r="B363" s="88">
        <f t="shared" si="45"/>
        <v>60</v>
      </c>
      <c r="C363" s="5"/>
      <c r="D363" s="5"/>
      <c r="E363" s="5"/>
      <c r="F363" s="31"/>
      <c r="G363" s="5"/>
      <c r="H363" s="16" t="s">
        <v>446</v>
      </c>
      <c r="I363" s="25"/>
      <c r="J363" s="25"/>
      <c r="K363" s="251">
        <f t="shared" si="40"/>
        <v>0</v>
      </c>
      <c r="L363" s="259"/>
      <c r="M363" s="337">
        <v>6000</v>
      </c>
      <c r="N363" s="25"/>
      <c r="O363" s="251">
        <f t="shared" si="41"/>
        <v>6000</v>
      </c>
      <c r="P363" s="259"/>
      <c r="Q363" s="332">
        <f t="shared" si="42"/>
        <v>6000</v>
      </c>
      <c r="R363" s="93">
        <f t="shared" si="43"/>
        <v>0</v>
      </c>
      <c r="S363" s="93">
        <f t="shared" si="44"/>
        <v>6000</v>
      </c>
    </row>
    <row r="364" spans="2:19" x14ac:dyDescent="0.2">
      <c r="B364" s="88">
        <f t="shared" si="45"/>
        <v>61</v>
      </c>
      <c r="C364" s="5"/>
      <c r="D364" s="5"/>
      <c r="E364" s="5"/>
      <c r="F364" s="31"/>
      <c r="G364" s="5"/>
      <c r="H364" s="16" t="s">
        <v>484</v>
      </c>
      <c r="I364" s="25"/>
      <c r="J364" s="25"/>
      <c r="K364" s="251">
        <f t="shared" si="40"/>
        <v>0</v>
      </c>
      <c r="L364" s="259"/>
      <c r="M364" s="337">
        <f>3000-600</f>
        <v>2400</v>
      </c>
      <c r="N364" s="25"/>
      <c r="O364" s="251">
        <f t="shared" si="41"/>
        <v>2400</v>
      </c>
      <c r="P364" s="259"/>
      <c r="Q364" s="332">
        <f t="shared" si="42"/>
        <v>2400</v>
      </c>
      <c r="R364" s="93">
        <f t="shared" si="43"/>
        <v>0</v>
      </c>
      <c r="S364" s="93">
        <f t="shared" si="44"/>
        <v>2400</v>
      </c>
    </row>
    <row r="365" spans="2:19" ht="15" x14ac:dyDescent="0.2">
      <c r="B365" s="88">
        <f t="shared" si="45"/>
        <v>62</v>
      </c>
      <c r="C365" s="242">
        <v>7</v>
      </c>
      <c r="D365" s="511" t="s">
        <v>48</v>
      </c>
      <c r="E365" s="509"/>
      <c r="F365" s="509"/>
      <c r="G365" s="509"/>
      <c r="H365" s="510"/>
      <c r="I365" s="40">
        <f>I366</f>
        <v>2300</v>
      </c>
      <c r="J365" s="40">
        <f>J366</f>
        <v>0</v>
      </c>
      <c r="K365" s="248">
        <f t="shared" si="40"/>
        <v>2300</v>
      </c>
      <c r="L365" s="259"/>
      <c r="M365" s="318">
        <v>0</v>
      </c>
      <c r="N365" s="40"/>
      <c r="O365" s="248">
        <f t="shared" si="41"/>
        <v>0</v>
      </c>
      <c r="P365" s="259"/>
      <c r="Q365" s="313">
        <f t="shared" si="42"/>
        <v>2300</v>
      </c>
      <c r="R365" s="89">
        <f t="shared" si="43"/>
        <v>0</v>
      </c>
      <c r="S365" s="89">
        <f t="shared" si="44"/>
        <v>2300</v>
      </c>
    </row>
    <row r="366" spans="2:19" ht="15" x14ac:dyDescent="0.25">
      <c r="B366" s="88">
        <f t="shared" si="45"/>
        <v>63</v>
      </c>
      <c r="C366" s="13"/>
      <c r="D366" s="13"/>
      <c r="E366" s="13">
        <v>2</v>
      </c>
      <c r="F366" s="32"/>
      <c r="G366" s="13"/>
      <c r="H366" s="13" t="s">
        <v>402</v>
      </c>
      <c r="I366" s="42">
        <f>I367</f>
        <v>2300</v>
      </c>
      <c r="J366" s="42">
        <f>J367</f>
        <v>0</v>
      </c>
      <c r="K366" s="255">
        <f t="shared" ref="K366:K371" si="46">I366+J366</f>
        <v>2300</v>
      </c>
      <c r="L366" s="259"/>
      <c r="M366" s="317"/>
      <c r="N366" s="42"/>
      <c r="O366" s="255">
        <f t="shared" ref="O366:O371" si="47">M366+N366</f>
        <v>0</v>
      </c>
      <c r="P366" s="259"/>
      <c r="Q366" s="312">
        <f t="shared" ref="Q366:Q368" si="48">I366+M366</f>
        <v>2300</v>
      </c>
      <c r="R366" s="99">
        <f t="shared" ref="R366:R371" si="49">J366+N366</f>
        <v>0</v>
      </c>
      <c r="S366" s="99">
        <f t="shared" ref="S366:S371" si="50">K366+O366</f>
        <v>2300</v>
      </c>
    </row>
    <row r="367" spans="2:19" x14ac:dyDescent="0.2">
      <c r="B367" s="88">
        <f t="shared" si="45"/>
        <v>64</v>
      </c>
      <c r="C367" s="10"/>
      <c r="D367" s="10"/>
      <c r="E367" s="10"/>
      <c r="F367" s="29" t="s">
        <v>234</v>
      </c>
      <c r="G367" s="10">
        <v>630</v>
      </c>
      <c r="H367" s="10" t="s">
        <v>133</v>
      </c>
      <c r="I367" s="27">
        <f>SUM(I368:I371)</f>
        <v>2300</v>
      </c>
      <c r="J367" s="27">
        <f>SUM(J368:J371)</f>
        <v>0</v>
      </c>
      <c r="K367" s="250">
        <f t="shared" si="46"/>
        <v>2300</v>
      </c>
      <c r="L367" s="264"/>
      <c r="M367" s="315"/>
      <c r="N367" s="27"/>
      <c r="O367" s="250">
        <f t="shared" si="47"/>
        <v>0</v>
      </c>
      <c r="P367" s="264"/>
      <c r="Q367" s="309">
        <f t="shared" si="48"/>
        <v>2300</v>
      </c>
      <c r="R367" s="91">
        <f t="shared" si="49"/>
        <v>0</v>
      </c>
      <c r="S367" s="91">
        <f t="shared" si="50"/>
        <v>2300</v>
      </c>
    </row>
    <row r="368" spans="2:19" x14ac:dyDescent="0.2">
      <c r="B368" s="88">
        <f t="shared" si="45"/>
        <v>65</v>
      </c>
      <c r="C368" s="4"/>
      <c r="D368" s="4"/>
      <c r="E368" s="4"/>
      <c r="F368" s="30" t="s">
        <v>234</v>
      </c>
      <c r="G368" s="4">
        <v>633</v>
      </c>
      <c r="H368" s="4" t="s">
        <v>137</v>
      </c>
      <c r="I368" s="23">
        <v>700</v>
      </c>
      <c r="J368" s="23"/>
      <c r="K368" s="220">
        <f t="shared" si="46"/>
        <v>700</v>
      </c>
      <c r="L368" s="264"/>
      <c r="M368" s="227"/>
      <c r="N368" s="23"/>
      <c r="O368" s="220">
        <f t="shared" si="47"/>
        <v>0</v>
      </c>
      <c r="P368" s="264"/>
      <c r="Q368" s="308">
        <f t="shared" si="48"/>
        <v>700</v>
      </c>
      <c r="R368" s="92">
        <f t="shared" si="49"/>
        <v>0</v>
      </c>
      <c r="S368" s="92">
        <f t="shared" si="50"/>
        <v>700</v>
      </c>
    </row>
    <row r="369" spans="2:19" x14ac:dyDescent="0.2">
      <c r="B369" s="88">
        <f t="shared" si="45"/>
        <v>66</v>
      </c>
      <c r="C369" s="4"/>
      <c r="D369" s="4"/>
      <c r="E369" s="4"/>
      <c r="F369" s="30" t="s">
        <v>234</v>
      </c>
      <c r="G369" s="4">
        <v>634</v>
      </c>
      <c r="H369" s="4" t="s">
        <v>144</v>
      </c>
      <c r="I369" s="23">
        <v>400</v>
      </c>
      <c r="J369" s="23"/>
      <c r="K369" s="220">
        <f t="shared" si="46"/>
        <v>400</v>
      </c>
      <c r="L369" s="259"/>
      <c r="M369" s="227"/>
      <c r="N369" s="23"/>
      <c r="O369" s="220">
        <f t="shared" si="47"/>
        <v>0</v>
      </c>
      <c r="P369" s="259"/>
      <c r="Q369" s="308">
        <f>I369+M369</f>
        <v>400</v>
      </c>
      <c r="R369" s="92">
        <f t="shared" si="49"/>
        <v>0</v>
      </c>
      <c r="S369" s="92">
        <f t="shared" si="50"/>
        <v>400</v>
      </c>
    </row>
    <row r="370" spans="2:19" x14ac:dyDescent="0.2">
      <c r="B370" s="88">
        <f t="shared" ref="B370:B371" si="51">B369+1</f>
        <v>67</v>
      </c>
      <c r="C370" s="4"/>
      <c r="D370" s="4"/>
      <c r="E370" s="4"/>
      <c r="F370" s="30" t="s">
        <v>234</v>
      </c>
      <c r="G370" s="4">
        <v>635</v>
      </c>
      <c r="H370" s="4" t="s">
        <v>145</v>
      </c>
      <c r="I370" s="23">
        <v>1000</v>
      </c>
      <c r="J370" s="23"/>
      <c r="K370" s="220">
        <f t="shared" si="46"/>
        <v>1000</v>
      </c>
      <c r="L370" s="259"/>
      <c r="M370" s="227"/>
      <c r="N370" s="23"/>
      <c r="O370" s="220">
        <f t="shared" si="47"/>
        <v>0</v>
      </c>
      <c r="P370" s="259"/>
      <c r="Q370" s="308">
        <f>I370+M370</f>
        <v>1000</v>
      </c>
      <c r="R370" s="92">
        <f t="shared" si="49"/>
        <v>0</v>
      </c>
      <c r="S370" s="92">
        <f t="shared" si="50"/>
        <v>1000</v>
      </c>
    </row>
    <row r="371" spans="2:19" ht="13.5" thickBot="1" x14ac:dyDescent="0.25">
      <c r="B371" s="94">
        <f t="shared" si="51"/>
        <v>68</v>
      </c>
      <c r="C371" s="17"/>
      <c r="D371" s="17"/>
      <c r="E371" s="17"/>
      <c r="F371" s="95" t="s">
        <v>234</v>
      </c>
      <c r="G371" s="17">
        <v>637</v>
      </c>
      <c r="H371" s="17" t="s">
        <v>134</v>
      </c>
      <c r="I371" s="28">
        <v>200</v>
      </c>
      <c r="J371" s="28"/>
      <c r="K371" s="385">
        <f t="shared" si="46"/>
        <v>200</v>
      </c>
      <c r="L371" s="259"/>
      <c r="M371" s="386"/>
      <c r="N371" s="28"/>
      <c r="O371" s="385">
        <f t="shared" si="47"/>
        <v>0</v>
      </c>
      <c r="P371" s="259"/>
      <c r="Q371" s="387">
        <f>I371+M371</f>
        <v>200</v>
      </c>
      <c r="R371" s="96">
        <f t="shared" si="49"/>
        <v>0</v>
      </c>
      <c r="S371" s="96">
        <f t="shared" si="50"/>
        <v>200</v>
      </c>
    </row>
    <row r="372" spans="2:19" x14ac:dyDescent="0.2">
      <c r="M372" s="49"/>
      <c r="N372" s="49"/>
      <c r="O372" s="49"/>
      <c r="Q372" s="49"/>
    </row>
    <row r="373" spans="2:19" x14ac:dyDescent="0.2">
      <c r="M373" s="49"/>
      <c r="N373" s="49"/>
      <c r="O373" s="49"/>
      <c r="Q373" s="49"/>
    </row>
    <row r="374" spans="2:19" x14ac:dyDescent="0.2">
      <c r="M374" s="49"/>
      <c r="N374" s="49"/>
      <c r="O374" s="49"/>
      <c r="Q374" s="49"/>
    </row>
    <row r="375" spans="2:19" x14ac:dyDescent="0.2">
      <c r="M375" s="49"/>
      <c r="N375" s="49"/>
      <c r="O375" s="49"/>
      <c r="Q375" s="49"/>
    </row>
    <row r="376" spans="2:19" x14ac:dyDescent="0.2">
      <c r="M376" s="49"/>
      <c r="N376" s="49"/>
      <c r="O376" s="49"/>
      <c r="Q376" s="49"/>
    </row>
    <row r="377" spans="2:19" x14ac:dyDescent="0.2">
      <c r="M377" s="49"/>
      <c r="N377" s="49"/>
      <c r="O377" s="49"/>
      <c r="Q377" s="49"/>
    </row>
    <row r="378" spans="2:19" x14ac:dyDescent="0.2">
      <c r="M378" s="49"/>
      <c r="N378" s="49"/>
      <c r="O378" s="49"/>
      <c r="Q378" s="49"/>
    </row>
    <row r="379" spans="2:19" x14ac:dyDescent="0.2">
      <c r="M379" s="49"/>
      <c r="N379" s="49"/>
      <c r="O379" s="49"/>
      <c r="Q379" s="49"/>
    </row>
    <row r="380" spans="2:19" x14ac:dyDescent="0.2">
      <c r="M380" s="49"/>
      <c r="N380" s="49"/>
      <c r="O380" s="49"/>
      <c r="Q380" s="49"/>
    </row>
    <row r="381" spans="2:19" x14ac:dyDescent="0.2">
      <c r="M381" s="49"/>
      <c r="N381" s="49"/>
      <c r="O381" s="49"/>
      <c r="Q381" s="49"/>
    </row>
    <row r="382" spans="2:19" x14ac:dyDescent="0.2">
      <c r="M382" s="49"/>
      <c r="N382" s="49"/>
      <c r="O382" s="49"/>
      <c r="Q382" s="49"/>
    </row>
    <row r="383" spans="2:19" x14ac:dyDescent="0.2">
      <c r="M383" s="49"/>
      <c r="N383" s="49"/>
      <c r="O383" s="49"/>
      <c r="Q383" s="49"/>
    </row>
    <row r="384" spans="2:19" x14ac:dyDescent="0.2">
      <c r="M384" s="49"/>
      <c r="N384" s="49"/>
      <c r="O384" s="49"/>
      <c r="Q384" s="49"/>
    </row>
    <row r="385" spans="13:17" x14ac:dyDescent="0.2">
      <c r="M385" s="49"/>
      <c r="N385" s="49"/>
      <c r="O385" s="49"/>
      <c r="Q385" s="49"/>
    </row>
    <row r="386" spans="13:17" x14ac:dyDescent="0.2">
      <c r="M386" s="49"/>
      <c r="N386" s="49"/>
      <c r="O386" s="49"/>
      <c r="Q386" s="49"/>
    </row>
    <row r="387" spans="13:17" x14ac:dyDescent="0.2">
      <c r="M387" s="49"/>
      <c r="N387" s="49"/>
      <c r="O387" s="49"/>
      <c r="Q387" s="49"/>
    </row>
    <row r="388" spans="13:17" x14ac:dyDescent="0.2">
      <c r="M388" s="49"/>
      <c r="N388" s="49"/>
      <c r="O388" s="49"/>
      <c r="Q388" s="49"/>
    </row>
    <row r="389" spans="13:17" x14ac:dyDescent="0.2">
      <c r="M389" s="49"/>
      <c r="N389" s="49"/>
      <c r="O389" s="49"/>
      <c r="Q389" s="49"/>
    </row>
    <row r="390" spans="13:17" x14ac:dyDescent="0.2">
      <c r="M390" s="49"/>
      <c r="N390" s="49"/>
      <c r="O390" s="49"/>
      <c r="Q390" s="49"/>
    </row>
    <row r="391" spans="13:17" x14ac:dyDescent="0.2">
      <c r="M391" s="49"/>
      <c r="N391" s="49"/>
      <c r="O391" s="49"/>
      <c r="Q391" s="49"/>
    </row>
    <row r="392" spans="13:17" x14ac:dyDescent="0.2">
      <c r="M392" s="49"/>
      <c r="N392" s="49"/>
      <c r="O392" s="49"/>
      <c r="Q392" s="49"/>
    </row>
    <row r="393" spans="13:17" x14ac:dyDescent="0.2">
      <c r="M393" s="49"/>
      <c r="N393" s="49"/>
      <c r="O393" s="49"/>
      <c r="Q393" s="49"/>
    </row>
    <row r="394" spans="13:17" x14ac:dyDescent="0.2">
      <c r="M394" s="49"/>
      <c r="N394" s="49"/>
      <c r="O394" s="49"/>
      <c r="Q394" s="49"/>
    </row>
    <row r="395" spans="13:17" x14ac:dyDescent="0.2">
      <c r="M395" s="49"/>
      <c r="N395" s="49"/>
      <c r="O395" s="49"/>
      <c r="Q395" s="49"/>
    </row>
    <row r="396" spans="13:17" x14ac:dyDescent="0.2">
      <c r="M396" s="49"/>
      <c r="N396" s="49"/>
      <c r="O396" s="49"/>
      <c r="Q396" s="49"/>
    </row>
    <row r="397" spans="13:17" x14ac:dyDescent="0.2">
      <c r="M397" s="49"/>
      <c r="N397" s="49"/>
      <c r="O397" s="49"/>
      <c r="Q397" s="49"/>
    </row>
    <row r="398" spans="13:17" x14ac:dyDescent="0.2">
      <c r="M398" s="49"/>
      <c r="N398" s="49"/>
      <c r="O398" s="49"/>
      <c r="Q398" s="49"/>
    </row>
    <row r="399" spans="13:17" x14ac:dyDescent="0.2">
      <c r="M399" s="49"/>
      <c r="N399" s="49"/>
      <c r="O399" s="49"/>
      <c r="Q399" s="49"/>
    </row>
    <row r="400" spans="13:17" x14ac:dyDescent="0.2">
      <c r="M400" s="49"/>
      <c r="N400" s="49"/>
      <c r="O400" s="49"/>
      <c r="Q400" s="49"/>
    </row>
    <row r="401" spans="2:19" x14ac:dyDescent="0.2">
      <c r="M401" s="49"/>
      <c r="N401" s="49"/>
      <c r="O401" s="49"/>
      <c r="Q401" s="49"/>
    </row>
    <row r="402" spans="2:19" x14ac:dyDescent="0.2">
      <c r="M402" s="49"/>
      <c r="N402" s="49"/>
      <c r="O402" s="49"/>
      <c r="Q402" s="49"/>
    </row>
    <row r="403" spans="2:19" x14ac:dyDescent="0.2">
      <c r="M403" s="49"/>
      <c r="N403" s="49"/>
      <c r="O403" s="49"/>
      <c r="Q403" s="49"/>
    </row>
    <row r="404" spans="2:19" x14ac:dyDescent="0.2">
      <c r="M404" s="49"/>
      <c r="N404" s="49"/>
      <c r="O404" s="49"/>
      <c r="Q404" s="49"/>
    </row>
    <row r="405" spans="2:19" x14ac:dyDescent="0.2">
      <c r="M405" s="49"/>
      <c r="N405" s="49"/>
      <c r="O405" s="49"/>
      <c r="Q405" s="49"/>
    </row>
    <row r="406" spans="2:19" x14ac:dyDescent="0.2">
      <c r="M406" s="49"/>
      <c r="N406" s="49"/>
      <c r="O406" s="49"/>
      <c r="Q406" s="49"/>
    </row>
    <row r="407" spans="2:19" x14ac:dyDescent="0.2">
      <c r="M407" s="49"/>
      <c r="N407" s="49"/>
      <c r="O407" s="49"/>
      <c r="Q407" s="49"/>
    </row>
    <row r="408" spans="2:19" x14ac:dyDescent="0.2">
      <c r="M408" s="49"/>
      <c r="N408" s="49"/>
      <c r="O408" s="49"/>
      <c r="Q408" s="49"/>
    </row>
    <row r="409" spans="2:19" x14ac:dyDescent="0.2">
      <c r="M409" s="49"/>
      <c r="N409" s="49"/>
      <c r="O409" s="49"/>
      <c r="Q409" s="49"/>
    </row>
    <row r="410" spans="2:19" x14ac:dyDescent="0.2">
      <c r="M410" s="49"/>
      <c r="N410" s="49"/>
      <c r="O410" s="49"/>
      <c r="Q410" s="49"/>
    </row>
    <row r="411" spans="2:19" x14ac:dyDescent="0.2">
      <c r="M411" s="49"/>
      <c r="N411" s="49"/>
      <c r="O411" s="49"/>
      <c r="Q411" s="49"/>
    </row>
    <row r="412" spans="2:19" x14ac:dyDescent="0.2">
      <c r="M412" s="49"/>
      <c r="N412" s="49"/>
      <c r="O412" s="49"/>
      <c r="Q412" s="49"/>
    </row>
    <row r="413" spans="2:19" x14ac:dyDescent="0.2">
      <c r="M413" s="49"/>
      <c r="N413" s="49"/>
      <c r="O413" s="49"/>
      <c r="Q413" s="49"/>
    </row>
    <row r="414" spans="2:19" x14ac:dyDescent="0.2">
      <c r="M414" s="49"/>
      <c r="N414" s="49"/>
      <c r="O414" s="49"/>
      <c r="Q414" s="49"/>
    </row>
    <row r="415" spans="2:19" ht="27.75" thickBot="1" x14ac:dyDescent="0.4">
      <c r="B415" s="480" t="s">
        <v>26</v>
      </c>
      <c r="C415" s="481"/>
      <c r="D415" s="481"/>
      <c r="E415" s="481"/>
      <c r="F415" s="481"/>
      <c r="G415" s="481"/>
      <c r="H415" s="481"/>
      <c r="I415" s="481"/>
      <c r="J415" s="481"/>
      <c r="K415" s="481"/>
      <c r="L415" s="481"/>
      <c r="M415" s="481"/>
      <c r="N415" s="481"/>
      <c r="O415" s="481"/>
      <c r="P415" s="481"/>
      <c r="Q415" s="481"/>
    </row>
    <row r="416" spans="2:19" ht="13.5" customHeight="1" thickBot="1" x14ac:dyDescent="0.25">
      <c r="B416" s="482" t="s">
        <v>353</v>
      </c>
      <c r="C416" s="483"/>
      <c r="D416" s="483"/>
      <c r="E416" s="483"/>
      <c r="F416" s="483"/>
      <c r="G416" s="483"/>
      <c r="H416" s="483"/>
      <c r="I416" s="484"/>
      <c r="J416" s="484"/>
      <c r="K416" s="484"/>
      <c r="L416" s="484"/>
      <c r="M416" s="484"/>
      <c r="N416" s="244"/>
      <c r="O416" s="244"/>
      <c r="P416" s="259"/>
      <c r="Q416" s="485" t="s">
        <v>651</v>
      </c>
      <c r="R416" s="471" t="s">
        <v>648</v>
      </c>
      <c r="S416" s="474" t="s">
        <v>652</v>
      </c>
    </row>
    <row r="417" spans="2:19" ht="13.5" customHeight="1" thickBot="1" x14ac:dyDescent="0.25">
      <c r="B417" s="488"/>
      <c r="C417" s="489" t="s">
        <v>126</v>
      </c>
      <c r="D417" s="489" t="s">
        <v>127</v>
      </c>
      <c r="E417" s="489"/>
      <c r="F417" s="489" t="s">
        <v>128</v>
      </c>
      <c r="G417" s="492" t="s">
        <v>129</v>
      </c>
      <c r="H417" s="495" t="s">
        <v>130</v>
      </c>
      <c r="I417" s="516" t="s">
        <v>647</v>
      </c>
      <c r="J417" s="504" t="s">
        <v>648</v>
      </c>
      <c r="K417" s="477" t="s">
        <v>649</v>
      </c>
      <c r="L417" s="269"/>
      <c r="M417" s="517" t="s">
        <v>650</v>
      </c>
      <c r="N417" s="471" t="s">
        <v>648</v>
      </c>
      <c r="O417" s="477" t="s">
        <v>649</v>
      </c>
      <c r="P417" s="259"/>
      <c r="Q417" s="486"/>
      <c r="R417" s="472"/>
      <c r="S417" s="475"/>
    </row>
    <row r="418" spans="2:19" ht="13.5" thickBot="1" x14ac:dyDescent="0.25">
      <c r="B418" s="488"/>
      <c r="C418" s="490"/>
      <c r="D418" s="490"/>
      <c r="E418" s="490"/>
      <c r="F418" s="490"/>
      <c r="G418" s="493"/>
      <c r="H418" s="495"/>
      <c r="I418" s="496"/>
      <c r="J418" s="502"/>
      <c r="K418" s="478"/>
      <c r="L418" s="259"/>
      <c r="M418" s="500"/>
      <c r="N418" s="472"/>
      <c r="O418" s="478"/>
      <c r="P418" s="259"/>
      <c r="Q418" s="486"/>
      <c r="R418" s="472"/>
      <c r="S418" s="475"/>
    </row>
    <row r="419" spans="2:19" ht="13.5" thickBot="1" x14ac:dyDescent="0.25">
      <c r="B419" s="488"/>
      <c r="C419" s="490"/>
      <c r="D419" s="490"/>
      <c r="E419" s="490"/>
      <c r="F419" s="490"/>
      <c r="G419" s="493"/>
      <c r="H419" s="495"/>
      <c r="I419" s="496"/>
      <c r="J419" s="502"/>
      <c r="K419" s="478"/>
      <c r="L419" s="259"/>
      <c r="M419" s="500"/>
      <c r="N419" s="472"/>
      <c r="O419" s="478"/>
      <c r="P419" s="259"/>
      <c r="Q419" s="486"/>
      <c r="R419" s="472"/>
      <c r="S419" s="475"/>
    </row>
    <row r="420" spans="2:19" ht="13.5" thickBot="1" x14ac:dyDescent="0.25">
      <c r="B420" s="488"/>
      <c r="C420" s="491"/>
      <c r="D420" s="491"/>
      <c r="E420" s="491"/>
      <c r="F420" s="491"/>
      <c r="G420" s="494"/>
      <c r="H420" s="495"/>
      <c r="I420" s="497"/>
      <c r="J420" s="503"/>
      <c r="K420" s="479"/>
      <c r="L420" s="259"/>
      <c r="M420" s="501"/>
      <c r="N420" s="473"/>
      <c r="O420" s="479"/>
      <c r="P420" s="259"/>
      <c r="Q420" s="487"/>
      <c r="R420" s="473"/>
      <c r="S420" s="476"/>
    </row>
    <row r="421" spans="2:19" ht="16.5" thickTop="1" x14ac:dyDescent="0.2">
      <c r="B421" s="88">
        <v>1</v>
      </c>
      <c r="C421" s="505" t="s">
        <v>26</v>
      </c>
      <c r="D421" s="506"/>
      <c r="E421" s="506"/>
      <c r="F421" s="506"/>
      <c r="G421" s="506"/>
      <c r="H421" s="507"/>
      <c r="I421" s="39">
        <f>I474+I471+I465+I443+I422</f>
        <v>1831905</v>
      </c>
      <c r="J421" s="39">
        <f>J474+J471+J465+J443+J422</f>
        <v>0</v>
      </c>
      <c r="K421" s="253">
        <f t="shared" ref="K421:K484" si="52">I421+J421</f>
        <v>1831905</v>
      </c>
      <c r="L421" s="259"/>
      <c r="M421" s="336">
        <f>M422+M443+M465+M471+M474</f>
        <v>110433</v>
      </c>
      <c r="N421" s="39">
        <f>N422+N443+N465+N471+N474</f>
        <v>0</v>
      </c>
      <c r="O421" s="253">
        <f t="shared" ref="O421:O484" si="53">M421+N421</f>
        <v>110433</v>
      </c>
      <c r="P421" s="259"/>
      <c r="Q421" s="331">
        <f t="shared" ref="Q421:Q484" si="54">I421+M421</f>
        <v>1942338</v>
      </c>
      <c r="R421" s="98">
        <f t="shared" ref="R421:R484" si="55">J421+N421</f>
        <v>0</v>
      </c>
      <c r="S421" s="98">
        <f t="shared" ref="S421:S484" si="56">K421+O421</f>
        <v>1942338</v>
      </c>
    </row>
    <row r="422" spans="2:19" ht="15" x14ac:dyDescent="0.2">
      <c r="B422" s="88">
        <f>B421+1</f>
        <v>2</v>
      </c>
      <c r="C422" s="242">
        <v>1</v>
      </c>
      <c r="D422" s="511" t="s">
        <v>163</v>
      </c>
      <c r="E422" s="509"/>
      <c r="F422" s="509"/>
      <c r="G422" s="509"/>
      <c r="H422" s="510"/>
      <c r="I422" s="40">
        <f>I423+I424+I425+I433+I435+I436</f>
        <v>1223820</v>
      </c>
      <c r="J422" s="40">
        <f>J423+J424+J425+J433+J435+J436</f>
        <v>0</v>
      </c>
      <c r="K422" s="248">
        <f t="shared" si="52"/>
        <v>1223820</v>
      </c>
      <c r="L422" s="259"/>
      <c r="M422" s="318">
        <f>M436</f>
        <v>80883</v>
      </c>
      <c r="N422" s="40">
        <f>N436</f>
        <v>0</v>
      </c>
      <c r="O422" s="248">
        <f t="shared" si="53"/>
        <v>80883</v>
      </c>
      <c r="P422" s="259"/>
      <c r="Q422" s="313">
        <f t="shared" si="54"/>
        <v>1304703</v>
      </c>
      <c r="R422" s="89">
        <f t="shared" si="55"/>
        <v>0</v>
      </c>
      <c r="S422" s="89">
        <f t="shared" si="56"/>
        <v>1304703</v>
      </c>
    </row>
    <row r="423" spans="2:19" x14ac:dyDescent="0.2">
      <c r="B423" s="88">
        <f t="shared" ref="B423:B484" si="57">B422+1</f>
        <v>3</v>
      </c>
      <c r="C423" s="10"/>
      <c r="D423" s="10"/>
      <c r="E423" s="10"/>
      <c r="F423" s="29" t="s">
        <v>162</v>
      </c>
      <c r="G423" s="10">
        <v>610</v>
      </c>
      <c r="H423" s="10" t="s">
        <v>143</v>
      </c>
      <c r="I423" s="27">
        <v>750000</v>
      </c>
      <c r="J423" s="27">
        <v>-5000</v>
      </c>
      <c r="K423" s="250">
        <f t="shared" si="52"/>
        <v>745000</v>
      </c>
      <c r="L423" s="259"/>
      <c r="M423" s="315"/>
      <c r="N423" s="27"/>
      <c r="O423" s="250">
        <f t="shared" si="53"/>
        <v>0</v>
      </c>
      <c r="P423" s="259"/>
      <c r="Q423" s="309">
        <f t="shared" si="54"/>
        <v>750000</v>
      </c>
      <c r="R423" s="91">
        <f t="shared" si="55"/>
        <v>-5000</v>
      </c>
      <c r="S423" s="91">
        <f t="shared" si="56"/>
        <v>745000</v>
      </c>
    </row>
    <row r="424" spans="2:19" x14ac:dyDescent="0.2">
      <c r="B424" s="88">
        <f t="shared" si="57"/>
        <v>4</v>
      </c>
      <c r="C424" s="10"/>
      <c r="D424" s="10"/>
      <c r="E424" s="10"/>
      <c r="F424" s="29" t="s">
        <v>162</v>
      </c>
      <c r="G424" s="10">
        <v>620</v>
      </c>
      <c r="H424" s="10" t="s">
        <v>136</v>
      </c>
      <c r="I424" s="27">
        <v>261000</v>
      </c>
      <c r="J424" s="27"/>
      <c r="K424" s="250">
        <f t="shared" si="52"/>
        <v>261000</v>
      </c>
      <c r="L424" s="259"/>
      <c r="M424" s="315"/>
      <c r="N424" s="27"/>
      <c r="O424" s="250">
        <f t="shared" si="53"/>
        <v>0</v>
      </c>
      <c r="P424" s="259"/>
      <c r="Q424" s="309">
        <f t="shared" si="54"/>
        <v>261000</v>
      </c>
      <c r="R424" s="91">
        <f t="shared" si="55"/>
        <v>0</v>
      </c>
      <c r="S424" s="91">
        <f t="shared" si="56"/>
        <v>261000</v>
      </c>
    </row>
    <row r="425" spans="2:19" x14ac:dyDescent="0.2">
      <c r="B425" s="88">
        <f t="shared" si="57"/>
        <v>5</v>
      </c>
      <c r="C425" s="10"/>
      <c r="D425" s="10"/>
      <c r="E425" s="10"/>
      <c r="F425" s="29" t="s">
        <v>162</v>
      </c>
      <c r="G425" s="10">
        <v>630</v>
      </c>
      <c r="H425" s="10" t="s">
        <v>133</v>
      </c>
      <c r="I425" s="27">
        <f>I432+I431+I430+I429+I428+I427+I426</f>
        <v>211650</v>
      </c>
      <c r="J425" s="27">
        <f>J432+J431+J430+J429+J428+J427+J426</f>
        <v>0</v>
      </c>
      <c r="K425" s="250">
        <f t="shared" si="52"/>
        <v>211650</v>
      </c>
      <c r="L425" s="259"/>
      <c r="M425" s="315"/>
      <c r="N425" s="27"/>
      <c r="O425" s="250">
        <f t="shared" si="53"/>
        <v>0</v>
      </c>
      <c r="P425" s="259"/>
      <c r="Q425" s="309">
        <f t="shared" si="54"/>
        <v>211650</v>
      </c>
      <c r="R425" s="91">
        <f t="shared" si="55"/>
        <v>0</v>
      </c>
      <c r="S425" s="91">
        <f t="shared" si="56"/>
        <v>211650</v>
      </c>
    </row>
    <row r="426" spans="2:19" x14ac:dyDescent="0.2">
      <c r="B426" s="88">
        <f t="shared" si="57"/>
        <v>6</v>
      </c>
      <c r="C426" s="4"/>
      <c r="D426" s="4"/>
      <c r="E426" s="4"/>
      <c r="F426" s="30" t="s">
        <v>162</v>
      </c>
      <c r="G426" s="4">
        <v>631</v>
      </c>
      <c r="H426" s="4" t="s">
        <v>139</v>
      </c>
      <c r="I426" s="23">
        <v>8000</v>
      </c>
      <c r="J426" s="23"/>
      <c r="K426" s="220">
        <f t="shared" si="52"/>
        <v>8000</v>
      </c>
      <c r="L426" s="259"/>
      <c r="M426" s="227"/>
      <c r="N426" s="23"/>
      <c r="O426" s="220">
        <f t="shared" si="53"/>
        <v>0</v>
      </c>
      <c r="P426" s="259"/>
      <c r="Q426" s="308">
        <f t="shared" si="54"/>
        <v>8000</v>
      </c>
      <c r="R426" s="92">
        <f t="shared" si="55"/>
        <v>0</v>
      </c>
      <c r="S426" s="92">
        <f t="shared" si="56"/>
        <v>8000</v>
      </c>
    </row>
    <row r="427" spans="2:19" x14ac:dyDescent="0.2">
      <c r="B427" s="88">
        <f t="shared" si="57"/>
        <v>7</v>
      </c>
      <c r="C427" s="4"/>
      <c r="D427" s="4"/>
      <c r="E427" s="4"/>
      <c r="F427" s="30" t="s">
        <v>162</v>
      </c>
      <c r="G427" s="4">
        <v>632</v>
      </c>
      <c r="H427" s="4" t="s">
        <v>146</v>
      </c>
      <c r="I427" s="23">
        <v>26000</v>
      </c>
      <c r="J427" s="23"/>
      <c r="K427" s="220">
        <f t="shared" si="52"/>
        <v>26000</v>
      </c>
      <c r="L427" s="259"/>
      <c r="M427" s="227"/>
      <c r="N427" s="23"/>
      <c r="O427" s="220">
        <f t="shared" si="53"/>
        <v>0</v>
      </c>
      <c r="P427" s="259"/>
      <c r="Q427" s="308">
        <f t="shared" si="54"/>
        <v>26000</v>
      </c>
      <c r="R427" s="92">
        <f t="shared" si="55"/>
        <v>0</v>
      </c>
      <c r="S427" s="92">
        <f t="shared" si="56"/>
        <v>26000</v>
      </c>
    </row>
    <row r="428" spans="2:19" x14ac:dyDescent="0.2">
      <c r="B428" s="88">
        <f t="shared" si="57"/>
        <v>8</v>
      </c>
      <c r="C428" s="4"/>
      <c r="D428" s="4"/>
      <c r="E428" s="4"/>
      <c r="F428" s="30" t="s">
        <v>162</v>
      </c>
      <c r="G428" s="4">
        <v>633</v>
      </c>
      <c r="H428" s="4" t="s">
        <v>137</v>
      </c>
      <c r="I428" s="23">
        <f>75250-1100</f>
        <v>74150</v>
      </c>
      <c r="J428" s="23"/>
      <c r="K428" s="220">
        <f t="shared" si="52"/>
        <v>74150</v>
      </c>
      <c r="L428" s="259"/>
      <c r="M428" s="227"/>
      <c r="N428" s="23"/>
      <c r="O428" s="220">
        <f t="shared" si="53"/>
        <v>0</v>
      </c>
      <c r="P428" s="259"/>
      <c r="Q428" s="308">
        <f t="shared" si="54"/>
        <v>74150</v>
      </c>
      <c r="R428" s="92">
        <f t="shared" si="55"/>
        <v>0</v>
      </c>
      <c r="S428" s="92">
        <f t="shared" si="56"/>
        <v>74150</v>
      </c>
    </row>
    <row r="429" spans="2:19" x14ac:dyDescent="0.2">
      <c r="B429" s="88">
        <f t="shared" si="57"/>
        <v>9</v>
      </c>
      <c r="C429" s="4"/>
      <c r="D429" s="4"/>
      <c r="E429" s="4"/>
      <c r="F429" s="30" t="s">
        <v>162</v>
      </c>
      <c r="G429" s="4">
        <v>634</v>
      </c>
      <c r="H429" s="4" t="s">
        <v>144</v>
      </c>
      <c r="I429" s="23">
        <v>34530</v>
      </c>
      <c r="J429" s="23"/>
      <c r="K429" s="220">
        <f t="shared" si="52"/>
        <v>34530</v>
      </c>
      <c r="L429" s="259"/>
      <c r="M429" s="227"/>
      <c r="N429" s="23"/>
      <c r="O429" s="220">
        <f t="shared" si="53"/>
        <v>0</v>
      </c>
      <c r="P429" s="259"/>
      <c r="Q429" s="308">
        <f t="shared" si="54"/>
        <v>34530</v>
      </c>
      <c r="R429" s="92">
        <f t="shared" si="55"/>
        <v>0</v>
      </c>
      <c r="S429" s="92">
        <f t="shared" si="56"/>
        <v>34530</v>
      </c>
    </row>
    <row r="430" spans="2:19" x14ac:dyDescent="0.2">
      <c r="B430" s="88">
        <f t="shared" si="57"/>
        <v>10</v>
      </c>
      <c r="C430" s="4"/>
      <c r="D430" s="4"/>
      <c r="E430" s="4"/>
      <c r="F430" s="30" t="s">
        <v>162</v>
      </c>
      <c r="G430" s="4">
        <v>635</v>
      </c>
      <c r="H430" s="4" t="s">
        <v>145</v>
      </c>
      <c r="I430" s="23">
        <f>7000+8500</f>
        <v>15500</v>
      </c>
      <c r="J430" s="23"/>
      <c r="K430" s="220">
        <f t="shared" si="52"/>
        <v>15500</v>
      </c>
      <c r="L430" s="259"/>
      <c r="M430" s="227"/>
      <c r="N430" s="23"/>
      <c r="O430" s="220">
        <f t="shared" si="53"/>
        <v>0</v>
      </c>
      <c r="P430" s="259"/>
      <c r="Q430" s="308">
        <f t="shared" si="54"/>
        <v>15500</v>
      </c>
      <c r="R430" s="92">
        <f t="shared" si="55"/>
        <v>0</v>
      </c>
      <c r="S430" s="92">
        <f t="shared" si="56"/>
        <v>15500</v>
      </c>
    </row>
    <row r="431" spans="2:19" x14ac:dyDescent="0.2">
      <c r="B431" s="88">
        <f t="shared" si="57"/>
        <v>11</v>
      </c>
      <c r="C431" s="4"/>
      <c r="D431" s="4"/>
      <c r="E431" s="4"/>
      <c r="F431" s="30" t="s">
        <v>162</v>
      </c>
      <c r="G431" s="4">
        <v>636</v>
      </c>
      <c r="H431" s="4" t="s">
        <v>138</v>
      </c>
      <c r="I431" s="23">
        <f>900+1100</f>
        <v>2000</v>
      </c>
      <c r="J431" s="23"/>
      <c r="K431" s="220">
        <f t="shared" si="52"/>
        <v>2000</v>
      </c>
      <c r="L431" s="259"/>
      <c r="M431" s="227"/>
      <c r="N431" s="23"/>
      <c r="O431" s="220">
        <f t="shared" si="53"/>
        <v>0</v>
      </c>
      <c r="P431" s="259"/>
      <c r="Q431" s="308">
        <f t="shared" si="54"/>
        <v>2000</v>
      </c>
      <c r="R431" s="92">
        <f t="shared" si="55"/>
        <v>0</v>
      </c>
      <c r="S431" s="92">
        <f t="shared" si="56"/>
        <v>2000</v>
      </c>
    </row>
    <row r="432" spans="2:19" x14ac:dyDescent="0.2">
      <c r="B432" s="88">
        <f t="shared" si="57"/>
        <v>12</v>
      </c>
      <c r="C432" s="4"/>
      <c r="D432" s="4"/>
      <c r="E432" s="4"/>
      <c r="F432" s="30" t="s">
        <v>162</v>
      </c>
      <c r="G432" s="4">
        <v>637</v>
      </c>
      <c r="H432" s="4" t="s">
        <v>134</v>
      </c>
      <c r="I432" s="23">
        <v>51470</v>
      </c>
      <c r="J432" s="23"/>
      <c r="K432" s="220">
        <f t="shared" si="52"/>
        <v>51470</v>
      </c>
      <c r="L432" s="259"/>
      <c r="M432" s="227"/>
      <c r="N432" s="23"/>
      <c r="O432" s="220">
        <f t="shared" si="53"/>
        <v>0</v>
      </c>
      <c r="P432" s="259"/>
      <c r="Q432" s="308">
        <f t="shared" si="54"/>
        <v>51470</v>
      </c>
      <c r="R432" s="92">
        <f t="shared" si="55"/>
        <v>0</v>
      </c>
      <c r="S432" s="92">
        <f t="shared" si="56"/>
        <v>51470</v>
      </c>
    </row>
    <row r="433" spans="2:19" x14ac:dyDescent="0.2">
      <c r="B433" s="88">
        <f t="shared" si="57"/>
        <v>13</v>
      </c>
      <c r="C433" s="10"/>
      <c r="D433" s="10"/>
      <c r="E433" s="10"/>
      <c r="F433" s="29" t="s">
        <v>170</v>
      </c>
      <c r="G433" s="10">
        <v>630</v>
      </c>
      <c r="H433" s="10" t="s">
        <v>133</v>
      </c>
      <c r="I433" s="27">
        <f>I434</f>
        <v>500</v>
      </c>
      <c r="J433" s="27">
        <f>J434</f>
        <v>0</v>
      </c>
      <c r="K433" s="250">
        <f t="shared" si="52"/>
        <v>500</v>
      </c>
      <c r="L433" s="259"/>
      <c r="M433" s="315"/>
      <c r="N433" s="27"/>
      <c r="O433" s="250">
        <f t="shared" si="53"/>
        <v>0</v>
      </c>
      <c r="P433" s="259"/>
      <c r="Q433" s="309">
        <f t="shared" si="54"/>
        <v>500</v>
      </c>
      <c r="R433" s="91">
        <f t="shared" si="55"/>
        <v>0</v>
      </c>
      <c r="S433" s="91">
        <f t="shared" si="56"/>
        <v>500</v>
      </c>
    </row>
    <row r="434" spans="2:19" x14ac:dyDescent="0.2">
      <c r="B434" s="88">
        <f t="shared" si="57"/>
        <v>14</v>
      </c>
      <c r="C434" s="4"/>
      <c r="D434" s="4"/>
      <c r="E434" s="4"/>
      <c r="F434" s="30" t="s">
        <v>170</v>
      </c>
      <c r="G434" s="4">
        <v>637</v>
      </c>
      <c r="H434" s="4" t="s">
        <v>134</v>
      </c>
      <c r="I434" s="23">
        <v>500</v>
      </c>
      <c r="J434" s="23"/>
      <c r="K434" s="220">
        <f t="shared" si="52"/>
        <v>500</v>
      </c>
      <c r="L434" s="259"/>
      <c r="M434" s="227"/>
      <c r="N434" s="23"/>
      <c r="O434" s="220">
        <f t="shared" si="53"/>
        <v>0</v>
      </c>
      <c r="P434" s="259"/>
      <c r="Q434" s="308">
        <f t="shared" si="54"/>
        <v>500</v>
      </c>
      <c r="R434" s="92">
        <f t="shared" si="55"/>
        <v>0</v>
      </c>
      <c r="S434" s="92">
        <f t="shared" si="56"/>
        <v>500</v>
      </c>
    </row>
    <row r="435" spans="2:19" x14ac:dyDescent="0.2">
      <c r="B435" s="88">
        <f t="shared" si="57"/>
        <v>15</v>
      </c>
      <c r="C435" s="10"/>
      <c r="D435" s="10"/>
      <c r="E435" s="10"/>
      <c r="F435" s="29" t="s">
        <v>162</v>
      </c>
      <c r="G435" s="10">
        <v>640</v>
      </c>
      <c r="H435" s="10" t="s">
        <v>141</v>
      </c>
      <c r="I435" s="27">
        <v>670</v>
      </c>
      <c r="J435" s="27">
        <v>5000</v>
      </c>
      <c r="K435" s="250">
        <f t="shared" si="52"/>
        <v>5670</v>
      </c>
      <c r="L435" s="259"/>
      <c r="M435" s="315"/>
      <c r="N435" s="27"/>
      <c r="O435" s="250">
        <f t="shared" si="53"/>
        <v>0</v>
      </c>
      <c r="P435" s="259"/>
      <c r="Q435" s="309">
        <f t="shared" si="54"/>
        <v>670</v>
      </c>
      <c r="R435" s="91">
        <f t="shared" si="55"/>
        <v>5000</v>
      </c>
      <c r="S435" s="91">
        <f t="shared" si="56"/>
        <v>5670</v>
      </c>
    </row>
    <row r="436" spans="2:19" x14ac:dyDescent="0.2">
      <c r="B436" s="88">
        <f t="shared" si="57"/>
        <v>16</v>
      </c>
      <c r="C436" s="10"/>
      <c r="D436" s="10"/>
      <c r="E436" s="10"/>
      <c r="F436" s="29" t="s">
        <v>162</v>
      </c>
      <c r="G436" s="10">
        <v>710</v>
      </c>
      <c r="H436" s="10" t="s">
        <v>188</v>
      </c>
      <c r="I436" s="27"/>
      <c r="J436" s="27"/>
      <c r="K436" s="250">
        <f t="shared" si="52"/>
        <v>0</v>
      </c>
      <c r="L436" s="259"/>
      <c r="M436" s="315">
        <f>M437+M439+M441</f>
        <v>80883</v>
      </c>
      <c r="N436" s="27">
        <f>N437+N439+N441</f>
        <v>0</v>
      </c>
      <c r="O436" s="250">
        <f t="shared" si="53"/>
        <v>80883</v>
      </c>
      <c r="P436" s="259"/>
      <c r="Q436" s="309">
        <f t="shared" si="54"/>
        <v>80883</v>
      </c>
      <c r="R436" s="91">
        <f t="shared" si="55"/>
        <v>0</v>
      </c>
      <c r="S436" s="91">
        <f t="shared" si="56"/>
        <v>80883</v>
      </c>
    </row>
    <row r="437" spans="2:19" x14ac:dyDescent="0.2">
      <c r="B437" s="88">
        <f t="shared" si="57"/>
        <v>17</v>
      </c>
      <c r="C437" s="4"/>
      <c r="D437" s="4"/>
      <c r="E437" s="4"/>
      <c r="F437" s="30" t="s">
        <v>162</v>
      </c>
      <c r="G437" s="4">
        <v>713</v>
      </c>
      <c r="H437" s="4" t="s">
        <v>235</v>
      </c>
      <c r="I437" s="23"/>
      <c r="J437" s="23"/>
      <c r="K437" s="220">
        <f t="shared" si="52"/>
        <v>0</v>
      </c>
      <c r="L437" s="259"/>
      <c r="M437" s="227">
        <f>M438</f>
        <v>2500</v>
      </c>
      <c r="N437" s="23">
        <f>N438</f>
        <v>0</v>
      </c>
      <c r="O437" s="220">
        <f t="shared" si="53"/>
        <v>2500</v>
      </c>
      <c r="P437" s="259"/>
      <c r="Q437" s="308">
        <f t="shared" si="54"/>
        <v>2500</v>
      </c>
      <c r="R437" s="92">
        <f t="shared" si="55"/>
        <v>0</v>
      </c>
      <c r="S437" s="92">
        <f t="shared" si="56"/>
        <v>2500</v>
      </c>
    </row>
    <row r="438" spans="2:19" x14ac:dyDescent="0.2">
      <c r="B438" s="88">
        <f t="shared" si="57"/>
        <v>18</v>
      </c>
      <c r="C438" s="5"/>
      <c r="D438" s="5"/>
      <c r="E438" s="5"/>
      <c r="F438" s="35"/>
      <c r="G438" s="5"/>
      <c r="H438" s="5" t="s">
        <v>363</v>
      </c>
      <c r="I438" s="25"/>
      <c r="J438" s="25"/>
      <c r="K438" s="251">
        <f t="shared" si="52"/>
        <v>0</v>
      </c>
      <c r="L438" s="259"/>
      <c r="M438" s="337">
        <v>2500</v>
      </c>
      <c r="N438" s="25"/>
      <c r="O438" s="251">
        <f t="shared" si="53"/>
        <v>2500</v>
      </c>
      <c r="P438" s="259"/>
      <c r="Q438" s="332">
        <f t="shared" si="54"/>
        <v>2500</v>
      </c>
      <c r="R438" s="93">
        <f t="shared" si="55"/>
        <v>0</v>
      </c>
      <c r="S438" s="93">
        <f t="shared" si="56"/>
        <v>2500</v>
      </c>
    </row>
    <row r="439" spans="2:19" x14ac:dyDescent="0.2">
      <c r="B439" s="88">
        <f t="shared" si="57"/>
        <v>19</v>
      </c>
      <c r="C439" s="4"/>
      <c r="D439" s="4"/>
      <c r="E439" s="4"/>
      <c r="F439" s="30" t="s">
        <v>162</v>
      </c>
      <c r="G439" s="4">
        <v>714</v>
      </c>
      <c r="H439" s="4" t="s">
        <v>189</v>
      </c>
      <c r="I439" s="23"/>
      <c r="J439" s="23"/>
      <c r="K439" s="220">
        <f t="shared" si="52"/>
        <v>0</v>
      </c>
      <c r="L439" s="259"/>
      <c r="M439" s="227">
        <f>SUM(M440:M440)</f>
        <v>75000</v>
      </c>
      <c r="N439" s="23">
        <f>SUM(N440:N440)</f>
        <v>0</v>
      </c>
      <c r="O439" s="220">
        <f t="shared" si="53"/>
        <v>75000</v>
      </c>
      <c r="P439" s="259"/>
      <c r="Q439" s="308">
        <f t="shared" si="54"/>
        <v>75000</v>
      </c>
      <c r="R439" s="92">
        <f t="shared" si="55"/>
        <v>0</v>
      </c>
      <c r="S439" s="92">
        <f t="shared" si="56"/>
        <v>75000</v>
      </c>
    </row>
    <row r="440" spans="2:19" x14ac:dyDescent="0.2">
      <c r="B440" s="88">
        <f t="shared" si="57"/>
        <v>20</v>
      </c>
      <c r="C440" s="5"/>
      <c r="D440" s="5"/>
      <c r="E440" s="5"/>
      <c r="F440" s="35"/>
      <c r="G440" s="5"/>
      <c r="H440" s="16" t="s">
        <v>493</v>
      </c>
      <c r="I440" s="25"/>
      <c r="J440" s="25"/>
      <c r="K440" s="251">
        <f t="shared" si="52"/>
        <v>0</v>
      </c>
      <c r="L440" s="259"/>
      <c r="M440" s="337">
        <v>75000</v>
      </c>
      <c r="N440" s="25"/>
      <c r="O440" s="251">
        <f t="shared" si="53"/>
        <v>75000</v>
      </c>
      <c r="P440" s="259"/>
      <c r="Q440" s="332">
        <f t="shared" si="54"/>
        <v>75000</v>
      </c>
      <c r="R440" s="93">
        <f t="shared" si="55"/>
        <v>0</v>
      </c>
      <c r="S440" s="93">
        <f t="shared" si="56"/>
        <v>75000</v>
      </c>
    </row>
    <row r="441" spans="2:19" x14ac:dyDescent="0.2">
      <c r="B441" s="88">
        <f t="shared" si="57"/>
        <v>21</v>
      </c>
      <c r="C441" s="5"/>
      <c r="D441" s="5"/>
      <c r="E441" s="5"/>
      <c r="F441" s="35"/>
      <c r="G441" s="4">
        <v>717</v>
      </c>
      <c r="H441" s="4" t="s">
        <v>198</v>
      </c>
      <c r="I441" s="25"/>
      <c r="J441" s="25"/>
      <c r="K441" s="251">
        <f t="shared" si="52"/>
        <v>0</v>
      </c>
      <c r="L441" s="259"/>
      <c r="M441" s="227">
        <f>M442</f>
        <v>3383</v>
      </c>
      <c r="N441" s="23">
        <f>N442</f>
        <v>0</v>
      </c>
      <c r="O441" s="220">
        <f t="shared" si="53"/>
        <v>3383</v>
      </c>
      <c r="P441" s="259"/>
      <c r="Q441" s="308">
        <f t="shared" si="54"/>
        <v>3383</v>
      </c>
      <c r="R441" s="92">
        <f t="shared" si="55"/>
        <v>0</v>
      </c>
      <c r="S441" s="92">
        <f t="shared" si="56"/>
        <v>3383</v>
      </c>
    </row>
    <row r="442" spans="2:19" x14ac:dyDescent="0.2">
      <c r="B442" s="88">
        <f t="shared" si="57"/>
        <v>22</v>
      </c>
      <c r="C442" s="5"/>
      <c r="D442" s="5"/>
      <c r="E442" s="5"/>
      <c r="F442" s="35"/>
      <c r="G442" s="5"/>
      <c r="H442" s="16" t="s">
        <v>567</v>
      </c>
      <c r="I442" s="25"/>
      <c r="J442" s="25"/>
      <c r="K442" s="251">
        <f t="shared" si="52"/>
        <v>0</v>
      </c>
      <c r="L442" s="259"/>
      <c r="M442" s="337">
        <v>3383</v>
      </c>
      <c r="N442" s="25"/>
      <c r="O442" s="251">
        <f t="shared" si="53"/>
        <v>3383</v>
      </c>
      <c r="P442" s="259"/>
      <c r="Q442" s="332">
        <f t="shared" si="54"/>
        <v>3383</v>
      </c>
      <c r="R442" s="93">
        <f t="shared" si="55"/>
        <v>0</v>
      </c>
      <c r="S442" s="93">
        <f t="shared" si="56"/>
        <v>3383</v>
      </c>
    </row>
    <row r="443" spans="2:19" ht="15" x14ac:dyDescent="0.2">
      <c r="B443" s="88">
        <f t="shared" si="57"/>
        <v>23</v>
      </c>
      <c r="C443" s="242">
        <v>2</v>
      </c>
      <c r="D443" s="511" t="s">
        <v>222</v>
      </c>
      <c r="E443" s="509"/>
      <c r="F443" s="509"/>
      <c r="G443" s="509"/>
      <c r="H443" s="510"/>
      <c r="I443" s="40">
        <f>I444+I451</f>
        <v>569915</v>
      </c>
      <c r="J443" s="40">
        <f>J444+J451</f>
        <v>0</v>
      </c>
      <c r="K443" s="248">
        <f t="shared" si="52"/>
        <v>569915</v>
      </c>
      <c r="L443" s="259"/>
      <c r="M443" s="318">
        <f>M451+M446</f>
        <v>26550</v>
      </c>
      <c r="N443" s="40">
        <f>N451+N446</f>
        <v>0</v>
      </c>
      <c r="O443" s="248">
        <f t="shared" si="53"/>
        <v>26550</v>
      </c>
      <c r="P443" s="259"/>
      <c r="Q443" s="313">
        <f t="shared" si="54"/>
        <v>596465</v>
      </c>
      <c r="R443" s="89">
        <f t="shared" si="55"/>
        <v>0</v>
      </c>
      <c r="S443" s="89">
        <f t="shared" si="56"/>
        <v>596465</v>
      </c>
    </row>
    <row r="444" spans="2:19" x14ac:dyDescent="0.2">
      <c r="B444" s="88">
        <f t="shared" si="57"/>
        <v>24</v>
      </c>
      <c r="C444" s="10"/>
      <c r="D444" s="10"/>
      <c r="E444" s="10"/>
      <c r="F444" s="29" t="s">
        <v>221</v>
      </c>
      <c r="G444" s="10">
        <v>630</v>
      </c>
      <c r="H444" s="10" t="s">
        <v>133</v>
      </c>
      <c r="I444" s="27">
        <f>I445</f>
        <v>300</v>
      </c>
      <c r="J444" s="27">
        <f>J445</f>
        <v>0</v>
      </c>
      <c r="K444" s="250">
        <f t="shared" si="52"/>
        <v>300</v>
      </c>
      <c r="L444" s="259"/>
      <c r="M444" s="315"/>
      <c r="N444" s="27"/>
      <c r="O444" s="250">
        <f t="shared" si="53"/>
        <v>0</v>
      </c>
      <c r="P444" s="259"/>
      <c r="Q444" s="309">
        <f t="shared" si="54"/>
        <v>300</v>
      </c>
      <c r="R444" s="91">
        <f t="shared" si="55"/>
        <v>0</v>
      </c>
      <c r="S444" s="91">
        <f t="shared" si="56"/>
        <v>300</v>
      </c>
    </row>
    <row r="445" spans="2:19" x14ac:dyDescent="0.2">
      <c r="B445" s="88">
        <f t="shared" si="57"/>
        <v>25</v>
      </c>
      <c r="C445" s="4"/>
      <c r="D445" s="4"/>
      <c r="E445" s="4"/>
      <c r="F445" s="30" t="s">
        <v>221</v>
      </c>
      <c r="G445" s="4">
        <v>632</v>
      </c>
      <c r="H445" s="4" t="s">
        <v>146</v>
      </c>
      <c r="I445" s="23">
        <v>300</v>
      </c>
      <c r="J445" s="23"/>
      <c r="K445" s="220">
        <f t="shared" si="52"/>
        <v>300</v>
      </c>
      <c r="L445" s="259"/>
      <c r="M445" s="227"/>
      <c r="N445" s="23"/>
      <c r="O445" s="220">
        <f t="shared" si="53"/>
        <v>0</v>
      </c>
      <c r="P445" s="259"/>
      <c r="Q445" s="308">
        <f t="shared" si="54"/>
        <v>300</v>
      </c>
      <c r="R445" s="92">
        <f t="shared" si="55"/>
        <v>0</v>
      </c>
      <c r="S445" s="92">
        <f t="shared" si="56"/>
        <v>300</v>
      </c>
    </row>
    <row r="446" spans="2:19" x14ac:dyDescent="0.2">
      <c r="B446" s="88">
        <f t="shared" si="57"/>
        <v>26</v>
      </c>
      <c r="C446" s="4"/>
      <c r="D446" s="4"/>
      <c r="E446" s="4"/>
      <c r="F446" s="29" t="s">
        <v>221</v>
      </c>
      <c r="G446" s="10">
        <v>710</v>
      </c>
      <c r="H446" s="10" t="s">
        <v>188</v>
      </c>
      <c r="I446" s="27"/>
      <c r="J446" s="27"/>
      <c r="K446" s="250">
        <f t="shared" si="52"/>
        <v>0</v>
      </c>
      <c r="L446" s="259"/>
      <c r="M446" s="315">
        <f>M449+M447</f>
        <v>19000</v>
      </c>
      <c r="N446" s="27">
        <f>N449+N447</f>
        <v>0</v>
      </c>
      <c r="O446" s="250">
        <f t="shared" si="53"/>
        <v>19000</v>
      </c>
      <c r="P446" s="259"/>
      <c r="Q446" s="309">
        <f t="shared" si="54"/>
        <v>19000</v>
      </c>
      <c r="R446" s="91">
        <f t="shared" si="55"/>
        <v>0</v>
      </c>
      <c r="S446" s="91">
        <f t="shared" si="56"/>
        <v>19000</v>
      </c>
    </row>
    <row r="447" spans="2:19" x14ac:dyDescent="0.2">
      <c r="B447" s="88">
        <f t="shared" si="57"/>
        <v>27</v>
      </c>
      <c r="C447" s="4"/>
      <c r="D447" s="4"/>
      <c r="E447" s="4"/>
      <c r="F447" s="30" t="s">
        <v>221</v>
      </c>
      <c r="G447" s="4">
        <v>716</v>
      </c>
      <c r="H447" s="4" t="s">
        <v>232</v>
      </c>
      <c r="I447" s="27"/>
      <c r="J447" s="27"/>
      <c r="K447" s="250">
        <f t="shared" si="52"/>
        <v>0</v>
      </c>
      <c r="L447" s="259"/>
      <c r="M447" s="315">
        <f>M448</f>
        <v>11000</v>
      </c>
      <c r="N447" s="27">
        <f>N448</f>
        <v>0</v>
      </c>
      <c r="O447" s="250">
        <f t="shared" si="53"/>
        <v>11000</v>
      </c>
      <c r="P447" s="259"/>
      <c r="Q447" s="309">
        <f t="shared" si="54"/>
        <v>11000</v>
      </c>
      <c r="R447" s="91">
        <f t="shared" si="55"/>
        <v>0</v>
      </c>
      <c r="S447" s="91">
        <f t="shared" si="56"/>
        <v>11000</v>
      </c>
    </row>
    <row r="448" spans="2:19" x14ac:dyDescent="0.2">
      <c r="B448" s="88">
        <f t="shared" si="57"/>
        <v>28</v>
      </c>
      <c r="C448" s="4"/>
      <c r="D448" s="4"/>
      <c r="E448" s="4"/>
      <c r="F448" s="31"/>
      <c r="G448" s="5"/>
      <c r="H448" s="5" t="s">
        <v>591</v>
      </c>
      <c r="I448" s="27"/>
      <c r="J448" s="27"/>
      <c r="K448" s="250">
        <f t="shared" si="52"/>
        <v>0</v>
      </c>
      <c r="L448" s="259"/>
      <c r="M448" s="383">
        <v>11000</v>
      </c>
      <c r="N448" s="172"/>
      <c r="O448" s="378">
        <f t="shared" si="53"/>
        <v>11000</v>
      </c>
      <c r="P448" s="259"/>
      <c r="Q448" s="384">
        <f t="shared" si="54"/>
        <v>11000</v>
      </c>
      <c r="R448" s="221">
        <f t="shared" si="55"/>
        <v>0</v>
      </c>
      <c r="S448" s="221">
        <f t="shared" si="56"/>
        <v>11000</v>
      </c>
    </row>
    <row r="449" spans="2:19" x14ac:dyDescent="0.2">
      <c r="B449" s="88">
        <f t="shared" si="57"/>
        <v>29</v>
      </c>
      <c r="C449" s="4"/>
      <c r="D449" s="4"/>
      <c r="E449" s="4"/>
      <c r="F449" s="30"/>
      <c r="G449" s="4">
        <v>717</v>
      </c>
      <c r="H449" s="4" t="s">
        <v>198</v>
      </c>
      <c r="I449" s="23"/>
      <c r="J449" s="23"/>
      <c r="K449" s="220">
        <f t="shared" si="52"/>
        <v>0</v>
      </c>
      <c r="L449" s="259"/>
      <c r="M449" s="227">
        <f>M450</f>
        <v>8000</v>
      </c>
      <c r="N449" s="23">
        <f>N450</f>
        <v>0</v>
      </c>
      <c r="O449" s="220">
        <f t="shared" si="53"/>
        <v>8000</v>
      </c>
      <c r="P449" s="259"/>
      <c r="Q449" s="308">
        <f t="shared" si="54"/>
        <v>8000</v>
      </c>
      <c r="R449" s="92">
        <f t="shared" si="55"/>
        <v>0</v>
      </c>
      <c r="S449" s="92">
        <f t="shared" si="56"/>
        <v>8000</v>
      </c>
    </row>
    <row r="450" spans="2:19" x14ac:dyDescent="0.2">
      <c r="B450" s="88">
        <f t="shared" si="57"/>
        <v>30</v>
      </c>
      <c r="C450" s="4"/>
      <c r="D450" s="4"/>
      <c r="E450" s="4"/>
      <c r="F450" s="30"/>
      <c r="G450" s="4"/>
      <c r="H450" s="5" t="s">
        <v>538</v>
      </c>
      <c r="I450" s="25"/>
      <c r="J450" s="25"/>
      <c r="K450" s="251">
        <f t="shared" si="52"/>
        <v>0</v>
      </c>
      <c r="L450" s="259"/>
      <c r="M450" s="337">
        <v>8000</v>
      </c>
      <c r="N450" s="25"/>
      <c r="O450" s="251">
        <f t="shared" si="53"/>
        <v>8000</v>
      </c>
      <c r="P450" s="259"/>
      <c r="Q450" s="332">
        <f t="shared" si="54"/>
        <v>8000</v>
      </c>
      <c r="R450" s="93">
        <f t="shared" si="55"/>
        <v>0</v>
      </c>
      <c r="S450" s="93">
        <f t="shared" si="56"/>
        <v>8000</v>
      </c>
    </row>
    <row r="451" spans="2:19" ht="15" x14ac:dyDescent="0.25">
      <c r="B451" s="88">
        <f t="shared" si="57"/>
        <v>31</v>
      </c>
      <c r="C451" s="13"/>
      <c r="D451" s="13"/>
      <c r="E451" s="13">
        <v>2</v>
      </c>
      <c r="F451" s="32"/>
      <c r="G451" s="13"/>
      <c r="H451" s="13" t="s">
        <v>402</v>
      </c>
      <c r="I451" s="42">
        <f>I452+I453+I454+I461+I462</f>
        <v>569615</v>
      </c>
      <c r="J451" s="42">
        <f>J452+J453+J454+J461+J462</f>
        <v>0</v>
      </c>
      <c r="K451" s="255">
        <f t="shared" si="52"/>
        <v>569615</v>
      </c>
      <c r="L451" s="259"/>
      <c r="M451" s="317">
        <f>M462</f>
        <v>7550</v>
      </c>
      <c r="N451" s="42">
        <f>N462</f>
        <v>0</v>
      </c>
      <c r="O451" s="255">
        <f t="shared" si="53"/>
        <v>7550</v>
      </c>
      <c r="P451" s="259"/>
      <c r="Q451" s="312">
        <f t="shared" si="54"/>
        <v>577165</v>
      </c>
      <c r="R451" s="99">
        <f t="shared" si="55"/>
        <v>0</v>
      </c>
      <c r="S451" s="99">
        <f t="shared" si="56"/>
        <v>577165</v>
      </c>
    </row>
    <row r="452" spans="2:19" x14ac:dyDescent="0.2">
      <c r="B452" s="88">
        <f t="shared" si="57"/>
        <v>32</v>
      </c>
      <c r="C452" s="10"/>
      <c r="D452" s="10"/>
      <c r="E452" s="10"/>
      <c r="F452" s="29" t="s">
        <v>221</v>
      </c>
      <c r="G452" s="10">
        <v>610</v>
      </c>
      <c r="H452" s="10" t="s">
        <v>143</v>
      </c>
      <c r="I452" s="27">
        <v>41315</v>
      </c>
      <c r="J452" s="27"/>
      <c r="K452" s="250">
        <f t="shared" si="52"/>
        <v>41315</v>
      </c>
      <c r="L452" s="259"/>
      <c r="M452" s="315"/>
      <c r="N452" s="27"/>
      <c r="O452" s="250">
        <f t="shared" si="53"/>
        <v>0</v>
      </c>
      <c r="P452" s="259"/>
      <c r="Q452" s="309">
        <f t="shared" si="54"/>
        <v>41315</v>
      </c>
      <c r="R452" s="91">
        <f t="shared" si="55"/>
        <v>0</v>
      </c>
      <c r="S452" s="91">
        <f t="shared" si="56"/>
        <v>41315</v>
      </c>
    </row>
    <row r="453" spans="2:19" x14ac:dyDescent="0.2">
      <c r="B453" s="88">
        <f t="shared" si="57"/>
        <v>33</v>
      </c>
      <c r="C453" s="10"/>
      <c r="D453" s="10"/>
      <c r="E453" s="10"/>
      <c r="F453" s="29" t="s">
        <v>221</v>
      </c>
      <c r="G453" s="10">
        <v>620</v>
      </c>
      <c r="H453" s="10" t="s">
        <v>136</v>
      </c>
      <c r="I453" s="27">
        <v>18700</v>
      </c>
      <c r="J453" s="27"/>
      <c r="K453" s="250">
        <f t="shared" si="52"/>
        <v>18700</v>
      </c>
      <c r="L453" s="259"/>
      <c r="M453" s="315"/>
      <c r="N453" s="27"/>
      <c r="O453" s="250">
        <f t="shared" si="53"/>
        <v>0</v>
      </c>
      <c r="P453" s="259"/>
      <c r="Q453" s="309">
        <f t="shared" si="54"/>
        <v>18700</v>
      </c>
      <c r="R453" s="91">
        <f t="shared" si="55"/>
        <v>0</v>
      </c>
      <c r="S453" s="91">
        <f t="shared" si="56"/>
        <v>18700</v>
      </c>
    </row>
    <row r="454" spans="2:19" x14ac:dyDescent="0.2">
      <c r="B454" s="88">
        <f t="shared" si="57"/>
        <v>34</v>
      </c>
      <c r="C454" s="10"/>
      <c r="D454" s="10"/>
      <c r="E454" s="10"/>
      <c r="F454" s="29" t="s">
        <v>221</v>
      </c>
      <c r="G454" s="10">
        <v>630</v>
      </c>
      <c r="H454" s="10" t="s">
        <v>133</v>
      </c>
      <c r="I454" s="27">
        <f>SUM(I455:I460)</f>
        <v>507550</v>
      </c>
      <c r="J454" s="27">
        <f>SUM(J455:J460)</f>
        <v>0</v>
      </c>
      <c r="K454" s="250">
        <f t="shared" si="52"/>
        <v>507550</v>
      </c>
      <c r="L454" s="259"/>
      <c r="M454" s="315"/>
      <c r="N454" s="27"/>
      <c r="O454" s="250">
        <f t="shared" si="53"/>
        <v>0</v>
      </c>
      <c r="P454" s="259"/>
      <c r="Q454" s="309">
        <f t="shared" si="54"/>
        <v>507550</v>
      </c>
      <c r="R454" s="91">
        <f t="shared" si="55"/>
        <v>0</v>
      </c>
      <c r="S454" s="91">
        <f t="shared" si="56"/>
        <v>507550</v>
      </c>
    </row>
    <row r="455" spans="2:19" x14ac:dyDescent="0.2">
      <c r="B455" s="88">
        <f t="shared" si="57"/>
        <v>35</v>
      </c>
      <c r="C455" s="4"/>
      <c r="D455" s="4"/>
      <c r="E455" s="4"/>
      <c r="F455" s="30" t="s">
        <v>221</v>
      </c>
      <c r="G455" s="4">
        <v>632</v>
      </c>
      <c r="H455" s="4" t="s">
        <v>146</v>
      </c>
      <c r="I455" s="23">
        <v>415000</v>
      </c>
      <c r="J455" s="23"/>
      <c r="K455" s="220">
        <f t="shared" si="52"/>
        <v>415000</v>
      </c>
      <c r="L455" s="259"/>
      <c r="M455" s="227"/>
      <c r="N455" s="23"/>
      <c r="O455" s="220">
        <f t="shared" si="53"/>
        <v>0</v>
      </c>
      <c r="P455" s="259"/>
      <c r="Q455" s="308">
        <f t="shared" si="54"/>
        <v>415000</v>
      </c>
      <c r="R455" s="92">
        <f t="shared" si="55"/>
        <v>0</v>
      </c>
      <c r="S455" s="92">
        <f t="shared" si="56"/>
        <v>415000</v>
      </c>
    </row>
    <row r="456" spans="2:19" x14ac:dyDescent="0.2">
      <c r="B456" s="88">
        <f t="shared" si="57"/>
        <v>36</v>
      </c>
      <c r="C456" s="4"/>
      <c r="D456" s="4"/>
      <c r="E456" s="4"/>
      <c r="F456" s="30" t="s">
        <v>221</v>
      </c>
      <c r="G456" s="4">
        <v>633</v>
      </c>
      <c r="H456" s="4" t="s">
        <v>137</v>
      </c>
      <c r="I456" s="23">
        <v>26100</v>
      </c>
      <c r="J456" s="23"/>
      <c r="K456" s="220">
        <f t="shared" si="52"/>
        <v>26100</v>
      </c>
      <c r="L456" s="264"/>
      <c r="M456" s="227"/>
      <c r="N456" s="23"/>
      <c r="O456" s="220">
        <f t="shared" si="53"/>
        <v>0</v>
      </c>
      <c r="P456" s="264"/>
      <c r="Q456" s="308">
        <f t="shared" si="54"/>
        <v>26100</v>
      </c>
      <c r="R456" s="92">
        <f t="shared" si="55"/>
        <v>0</v>
      </c>
      <c r="S456" s="92">
        <f t="shared" si="56"/>
        <v>26100</v>
      </c>
    </row>
    <row r="457" spans="2:19" x14ac:dyDescent="0.2">
      <c r="B457" s="88">
        <f t="shared" si="57"/>
        <v>37</v>
      </c>
      <c r="C457" s="4"/>
      <c r="D457" s="4"/>
      <c r="E457" s="4"/>
      <c r="F457" s="30" t="s">
        <v>221</v>
      </c>
      <c r="G457" s="4">
        <v>634</v>
      </c>
      <c r="H457" s="4" t="s">
        <v>144</v>
      </c>
      <c r="I457" s="23">
        <v>6000</v>
      </c>
      <c r="J457" s="23"/>
      <c r="K457" s="220">
        <f t="shared" si="52"/>
        <v>6000</v>
      </c>
      <c r="L457" s="264"/>
      <c r="M457" s="227"/>
      <c r="N457" s="23"/>
      <c r="O457" s="220">
        <f t="shared" si="53"/>
        <v>0</v>
      </c>
      <c r="P457" s="260"/>
      <c r="Q457" s="308">
        <f t="shared" si="54"/>
        <v>6000</v>
      </c>
      <c r="R457" s="92">
        <f t="shared" si="55"/>
        <v>0</v>
      </c>
      <c r="S457" s="92">
        <f t="shared" si="56"/>
        <v>6000</v>
      </c>
    </row>
    <row r="458" spans="2:19" x14ac:dyDescent="0.2">
      <c r="B458" s="88">
        <f t="shared" si="57"/>
        <v>38</v>
      </c>
      <c r="C458" s="4"/>
      <c r="D458" s="4"/>
      <c r="E458" s="4"/>
      <c r="F458" s="30" t="s">
        <v>221</v>
      </c>
      <c r="G458" s="4">
        <v>635</v>
      </c>
      <c r="H458" s="4" t="s">
        <v>145</v>
      </c>
      <c r="I458" s="23">
        <v>9000</v>
      </c>
      <c r="J458" s="23"/>
      <c r="K458" s="220">
        <f t="shared" si="52"/>
        <v>9000</v>
      </c>
      <c r="L458" s="259"/>
      <c r="M458" s="227"/>
      <c r="N458" s="23"/>
      <c r="O458" s="220">
        <f t="shared" si="53"/>
        <v>0</v>
      </c>
      <c r="P458" s="259"/>
      <c r="Q458" s="308">
        <f t="shared" si="54"/>
        <v>9000</v>
      </c>
      <c r="R458" s="92">
        <f t="shared" si="55"/>
        <v>0</v>
      </c>
      <c r="S458" s="92">
        <f t="shared" si="56"/>
        <v>9000</v>
      </c>
    </row>
    <row r="459" spans="2:19" x14ac:dyDescent="0.2">
      <c r="B459" s="88">
        <f t="shared" si="57"/>
        <v>39</v>
      </c>
      <c r="C459" s="4"/>
      <c r="D459" s="4"/>
      <c r="E459" s="4"/>
      <c r="F459" s="30" t="s">
        <v>221</v>
      </c>
      <c r="G459" s="4">
        <v>637</v>
      </c>
      <c r="H459" s="4" t="s">
        <v>134</v>
      </c>
      <c r="I459" s="23">
        <v>27450</v>
      </c>
      <c r="J459" s="23"/>
      <c r="K459" s="220">
        <f t="shared" si="52"/>
        <v>27450</v>
      </c>
      <c r="L459" s="259"/>
      <c r="M459" s="227"/>
      <c r="N459" s="23"/>
      <c r="O459" s="220">
        <f t="shared" si="53"/>
        <v>0</v>
      </c>
      <c r="P459" s="259"/>
      <c r="Q459" s="308">
        <f t="shared" si="54"/>
        <v>27450</v>
      </c>
      <c r="R459" s="92">
        <f t="shared" si="55"/>
        <v>0</v>
      </c>
      <c r="S459" s="92">
        <f t="shared" si="56"/>
        <v>27450</v>
      </c>
    </row>
    <row r="460" spans="2:19" ht="24" x14ac:dyDescent="0.2">
      <c r="B460" s="88">
        <f t="shared" si="57"/>
        <v>40</v>
      </c>
      <c r="C460" s="52"/>
      <c r="D460" s="52"/>
      <c r="E460" s="52"/>
      <c r="F460" s="53" t="s">
        <v>221</v>
      </c>
      <c r="G460" s="52">
        <v>637</v>
      </c>
      <c r="H460" s="54" t="s">
        <v>376</v>
      </c>
      <c r="I460" s="97">
        <v>24000</v>
      </c>
      <c r="J460" s="97"/>
      <c r="K460" s="382">
        <f t="shared" si="52"/>
        <v>24000</v>
      </c>
      <c r="L460" s="259"/>
      <c r="M460" s="350"/>
      <c r="N460" s="55"/>
      <c r="O460" s="346">
        <f t="shared" si="53"/>
        <v>0</v>
      </c>
      <c r="P460" s="259"/>
      <c r="Q460" s="357">
        <f t="shared" si="54"/>
        <v>24000</v>
      </c>
      <c r="R460" s="115">
        <f t="shared" si="55"/>
        <v>0</v>
      </c>
      <c r="S460" s="115">
        <f t="shared" si="56"/>
        <v>24000</v>
      </c>
    </row>
    <row r="461" spans="2:19" x14ac:dyDescent="0.2">
      <c r="B461" s="88">
        <f t="shared" si="57"/>
        <v>41</v>
      </c>
      <c r="C461" s="10"/>
      <c r="D461" s="10"/>
      <c r="E461" s="10"/>
      <c r="F461" s="29" t="s">
        <v>221</v>
      </c>
      <c r="G461" s="10">
        <v>640</v>
      </c>
      <c r="H461" s="10" t="s">
        <v>141</v>
      </c>
      <c r="I461" s="27">
        <v>2050</v>
      </c>
      <c r="J461" s="27"/>
      <c r="K461" s="250">
        <f t="shared" si="52"/>
        <v>2050</v>
      </c>
      <c r="L461" s="259"/>
      <c r="M461" s="315"/>
      <c r="N461" s="27"/>
      <c r="O461" s="250">
        <f t="shared" si="53"/>
        <v>0</v>
      </c>
      <c r="P461" s="259"/>
      <c r="Q461" s="309">
        <f t="shared" si="54"/>
        <v>2050</v>
      </c>
      <c r="R461" s="91">
        <f t="shared" si="55"/>
        <v>0</v>
      </c>
      <c r="S461" s="91">
        <f t="shared" si="56"/>
        <v>2050</v>
      </c>
    </row>
    <row r="462" spans="2:19" x14ac:dyDescent="0.2">
      <c r="B462" s="88">
        <f t="shared" si="57"/>
        <v>42</v>
      </c>
      <c r="C462" s="10"/>
      <c r="D462" s="10"/>
      <c r="E462" s="10"/>
      <c r="F462" s="29" t="s">
        <v>221</v>
      </c>
      <c r="G462" s="10">
        <v>710</v>
      </c>
      <c r="H462" s="10" t="s">
        <v>188</v>
      </c>
      <c r="I462" s="27"/>
      <c r="J462" s="27"/>
      <c r="K462" s="250">
        <f t="shared" si="52"/>
        <v>0</v>
      </c>
      <c r="L462" s="259"/>
      <c r="M462" s="315">
        <f>M463</f>
        <v>7550</v>
      </c>
      <c r="N462" s="27">
        <f>N463</f>
        <v>0</v>
      </c>
      <c r="O462" s="250">
        <f t="shared" si="53"/>
        <v>7550</v>
      </c>
      <c r="P462" s="259"/>
      <c r="Q462" s="309">
        <f t="shared" si="54"/>
        <v>7550</v>
      </c>
      <c r="R462" s="91">
        <f t="shared" si="55"/>
        <v>0</v>
      </c>
      <c r="S462" s="91">
        <f t="shared" si="56"/>
        <v>7550</v>
      </c>
    </row>
    <row r="463" spans="2:19" x14ac:dyDescent="0.2">
      <c r="B463" s="88">
        <f t="shared" si="57"/>
        <v>43</v>
      </c>
      <c r="C463" s="4"/>
      <c r="D463" s="4"/>
      <c r="E463" s="4"/>
      <c r="F463" s="30" t="s">
        <v>221</v>
      </c>
      <c r="G463" s="4">
        <v>713</v>
      </c>
      <c r="H463" s="4" t="s">
        <v>235</v>
      </c>
      <c r="I463" s="23"/>
      <c r="J463" s="23"/>
      <c r="K463" s="220">
        <f t="shared" si="52"/>
        <v>0</v>
      </c>
      <c r="L463" s="259"/>
      <c r="M463" s="227">
        <f>M464</f>
        <v>7550</v>
      </c>
      <c r="N463" s="23">
        <f>N464</f>
        <v>0</v>
      </c>
      <c r="O463" s="220">
        <f t="shared" si="53"/>
        <v>7550</v>
      </c>
      <c r="P463" s="259"/>
      <c r="Q463" s="308">
        <f t="shared" si="54"/>
        <v>7550</v>
      </c>
      <c r="R463" s="92">
        <f t="shared" si="55"/>
        <v>0</v>
      </c>
      <c r="S463" s="92">
        <f t="shared" si="56"/>
        <v>7550</v>
      </c>
    </row>
    <row r="464" spans="2:19" x14ac:dyDescent="0.2">
      <c r="B464" s="88">
        <f t="shared" si="57"/>
        <v>44</v>
      </c>
      <c r="C464" s="5"/>
      <c r="D464" s="5"/>
      <c r="E464" s="5"/>
      <c r="F464" s="35"/>
      <c r="G464" s="5"/>
      <c r="H464" s="5" t="s">
        <v>464</v>
      </c>
      <c r="I464" s="25"/>
      <c r="J464" s="25"/>
      <c r="K464" s="251">
        <f t="shared" si="52"/>
        <v>0</v>
      </c>
      <c r="L464" s="259"/>
      <c r="M464" s="337">
        <v>7550</v>
      </c>
      <c r="N464" s="25"/>
      <c r="O464" s="251">
        <f t="shared" si="53"/>
        <v>7550</v>
      </c>
      <c r="P464" s="259"/>
      <c r="Q464" s="332">
        <f t="shared" si="54"/>
        <v>7550</v>
      </c>
      <c r="R464" s="93">
        <f t="shared" si="55"/>
        <v>0</v>
      </c>
      <c r="S464" s="93">
        <f t="shared" si="56"/>
        <v>7550</v>
      </c>
    </row>
    <row r="465" spans="2:19" ht="15" x14ac:dyDescent="0.2">
      <c r="B465" s="88">
        <f t="shared" si="57"/>
        <v>45</v>
      </c>
      <c r="C465" s="242">
        <v>3</v>
      </c>
      <c r="D465" s="511" t="s">
        <v>245</v>
      </c>
      <c r="E465" s="509"/>
      <c r="F465" s="509"/>
      <c r="G465" s="509"/>
      <c r="H465" s="510"/>
      <c r="I465" s="40">
        <f>I466</f>
        <v>7000</v>
      </c>
      <c r="J465" s="40">
        <f>J466</f>
        <v>0</v>
      </c>
      <c r="K465" s="248">
        <f t="shared" si="52"/>
        <v>7000</v>
      </c>
      <c r="L465" s="259"/>
      <c r="M465" s="318">
        <f>M468</f>
        <v>3000</v>
      </c>
      <c r="N465" s="40">
        <f>N468</f>
        <v>0</v>
      </c>
      <c r="O465" s="248">
        <f t="shared" si="53"/>
        <v>3000</v>
      </c>
      <c r="P465" s="259"/>
      <c r="Q465" s="313">
        <f t="shared" si="54"/>
        <v>10000</v>
      </c>
      <c r="R465" s="89">
        <f t="shared" si="55"/>
        <v>0</v>
      </c>
      <c r="S465" s="89">
        <f t="shared" si="56"/>
        <v>10000</v>
      </c>
    </row>
    <row r="466" spans="2:19" x14ac:dyDescent="0.2">
      <c r="B466" s="88">
        <f t="shared" si="57"/>
        <v>46</v>
      </c>
      <c r="C466" s="10"/>
      <c r="D466" s="10"/>
      <c r="E466" s="10"/>
      <c r="F466" s="29" t="s">
        <v>208</v>
      </c>
      <c r="G466" s="10">
        <v>630</v>
      </c>
      <c r="H466" s="10" t="s">
        <v>133</v>
      </c>
      <c r="I466" s="27">
        <f>I467</f>
        <v>7000</v>
      </c>
      <c r="J466" s="27">
        <f>J467</f>
        <v>0</v>
      </c>
      <c r="K466" s="250">
        <f t="shared" si="52"/>
        <v>7000</v>
      </c>
      <c r="L466" s="259"/>
      <c r="M466" s="315"/>
      <c r="N466" s="27"/>
      <c r="O466" s="250">
        <f t="shared" si="53"/>
        <v>0</v>
      </c>
      <c r="P466" s="259"/>
      <c r="Q466" s="309">
        <f t="shared" si="54"/>
        <v>7000</v>
      </c>
      <c r="R466" s="91">
        <f t="shared" si="55"/>
        <v>0</v>
      </c>
      <c r="S466" s="91">
        <f t="shared" si="56"/>
        <v>7000</v>
      </c>
    </row>
    <row r="467" spans="2:19" x14ac:dyDescent="0.2">
      <c r="B467" s="88">
        <f t="shared" si="57"/>
        <v>47</v>
      </c>
      <c r="C467" s="4"/>
      <c r="D467" s="4"/>
      <c r="E467" s="4"/>
      <c r="F467" s="30" t="s">
        <v>208</v>
      </c>
      <c r="G467" s="4">
        <v>635</v>
      </c>
      <c r="H467" s="4" t="s">
        <v>145</v>
      </c>
      <c r="I467" s="23">
        <v>7000</v>
      </c>
      <c r="J467" s="23"/>
      <c r="K467" s="220">
        <f t="shared" si="52"/>
        <v>7000</v>
      </c>
      <c r="L467" s="259"/>
      <c r="M467" s="227"/>
      <c r="N467" s="23"/>
      <c r="O467" s="220">
        <f t="shared" si="53"/>
        <v>0</v>
      </c>
      <c r="P467" s="259"/>
      <c r="Q467" s="308">
        <f t="shared" si="54"/>
        <v>7000</v>
      </c>
      <c r="R467" s="92">
        <f t="shared" si="55"/>
        <v>0</v>
      </c>
      <c r="S467" s="92">
        <f t="shared" si="56"/>
        <v>7000</v>
      </c>
    </row>
    <row r="468" spans="2:19" x14ac:dyDescent="0.2">
      <c r="B468" s="88">
        <f t="shared" si="57"/>
        <v>48</v>
      </c>
      <c r="C468" s="10"/>
      <c r="D468" s="10"/>
      <c r="E468" s="10"/>
      <c r="F468" s="29" t="s">
        <v>208</v>
      </c>
      <c r="G468" s="10">
        <v>710</v>
      </c>
      <c r="H468" s="10" t="s">
        <v>188</v>
      </c>
      <c r="I468" s="27"/>
      <c r="J468" s="27"/>
      <c r="K468" s="250">
        <f t="shared" si="52"/>
        <v>0</v>
      </c>
      <c r="L468" s="259"/>
      <c r="M468" s="315">
        <f>M469</f>
        <v>3000</v>
      </c>
      <c r="N468" s="27">
        <f>N469</f>
        <v>0</v>
      </c>
      <c r="O468" s="250">
        <f t="shared" si="53"/>
        <v>3000</v>
      </c>
      <c r="P468" s="259"/>
      <c r="Q468" s="309">
        <f t="shared" si="54"/>
        <v>3000</v>
      </c>
      <c r="R468" s="91">
        <f t="shared" si="55"/>
        <v>0</v>
      </c>
      <c r="S468" s="91">
        <f t="shared" si="56"/>
        <v>3000</v>
      </c>
    </row>
    <row r="469" spans="2:19" x14ac:dyDescent="0.2">
      <c r="B469" s="88">
        <f t="shared" si="57"/>
        <v>49</v>
      </c>
      <c r="C469" s="4"/>
      <c r="D469" s="4"/>
      <c r="E469" s="4"/>
      <c r="F469" s="30" t="s">
        <v>208</v>
      </c>
      <c r="G469" s="4">
        <v>713</v>
      </c>
      <c r="H469" s="4" t="s">
        <v>235</v>
      </c>
      <c r="I469" s="23"/>
      <c r="J469" s="23"/>
      <c r="K469" s="220">
        <f t="shared" si="52"/>
        <v>0</v>
      </c>
      <c r="L469" s="259"/>
      <c r="M469" s="227">
        <f>M470</f>
        <v>3000</v>
      </c>
      <c r="N469" s="23">
        <f>N470</f>
        <v>0</v>
      </c>
      <c r="O469" s="220">
        <f t="shared" si="53"/>
        <v>3000</v>
      </c>
      <c r="P469" s="259"/>
      <c r="Q469" s="308">
        <f t="shared" si="54"/>
        <v>3000</v>
      </c>
      <c r="R469" s="92">
        <f t="shared" si="55"/>
        <v>0</v>
      </c>
      <c r="S469" s="92">
        <f t="shared" si="56"/>
        <v>3000</v>
      </c>
    </row>
    <row r="470" spans="2:19" x14ac:dyDescent="0.2">
      <c r="B470" s="88">
        <f t="shared" si="57"/>
        <v>50</v>
      </c>
      <c r="C470" s="5"/>
      <c r="D470" s="5"/>
      <c r="E470" s="5"/>
      <c r="F470" s="35"/>
      <c r="G470" s="5"/>
      <c r="H470" s="5" t="s">
        <v>364</v>
      </c>
      <c r="I470" s="25"/>
      <c r="J470" s="25"/>
      <c r="K470" s="251">
        <f t="shared" si="52"/>
        <v>0</v>
      </c>
      <c r="L470" s="259"/>
      <c r="M470" s="337">
        <v>3000</v>
      </c>
      <c r="N470" s="25"/>
      <c r="O470" s="251">
        <f t="shared" si="53"/>
        <v>3000</v>
      </c>
      <c r="P470" s="259"/>
      <c r="Q470" s="332">
        <f t="shared" si="54"/>
        <v>3000</v>
      </c>
      <c r="R470" s="93">
        <f t="shared" si="55"/>
        <v>0</v>
      </c>
      <c r="S470" s="93">
        <f t="shared" si="56"/>
        <v>3000</v>
      </c>
    </row>
    <row r="471" spans="2:19" ht="15" x14ac:dyDescent="0.2">
      <c r="B471" s="88">
        <f t="shared" si="57"/>
        <v>51</v>
      </c>
      <c r="C471" s="242">
        <v>4</v>
      </c>
      <c r="D471" s="511" t="s">
        <v>169</v>
      </c>
      <c r="E471" s="509"/>
      <c r="F471" s="509"/>
      <c r="G471" s="509"/>
      <c r="H471" s="510"/>
      <c r="I471" s="40">
        <f>I472</f>
        <v>8300</v>
      </c>
      <c r="J471" s="40">
        <f>J472</f>
        <v>0</v>
      </c>
      <c r="K471" s="248">
        <f t="shared" si="52"/>
        <v>8300</v>
      </c>
      <c r="L471" s="259"/>
      <c r="M471" s="318">
        <v>0</v>
      </c>
      <c r="N471" s="40">
        <v>0</v>
      </c>
      <c r="O471" s="248">
        <f t="shared" si="53"/>
        <v>0</v>
      </c>
      <c r="P471" s="259"/>
      <c r="Q471" s="313">
        <f t="shared" si="54"/>
        <v>8300</v>
      </c>
      <c r="R471" s="89">
        <f t="shared" si="55"/>
        <v>0</v>
      </c>
      <c r="S471" s="89">
        <f t="shared" si="56"/>
        <v>8300</v>
      </c>
    </row>
    <row r="472" spans="2:19" x14ac:dyDescent="0.2">
      <c r="B472" s="88">
        <f t="shared" si="57"/>
        <v>52</v>
      </c>
      <c r="C472" s="10"/>
      <c r="D472" s="10"/>
      <c r="E472" s="10"/>
      <c r="F472" s="29" t="s">
        <v>168</v>
      </c>
      <c r="G472" s="10">
        <v>630</v>
      </c>
      <c r="H472" s="10" t="s">
        <v>133</v>
      </c>
      <c r="I472" s="27">
        <f>I473</f>
        <v>8300</v>
      </c>
      <c r="J472" s="27">
        <f>J473</f>
        <v>0</v>
      </c>
      <c r="K472" s="250">
        <f t="shared" si="52"/>
        <v>8300</v>
      </c>
      <c r="L472" s="259"/>
      <c r="M472" s="315"/>
      <c r="N472" s="27"/>
      <c r="O472" s="250">
        <f t="shared" si="53"/>
        <v>0</v>
      </c>
      <c r="P472" s="259"/>
      <c r="Q472" s="309">
        <f t="shared" si="54"/>
        <v>8300</v>
      </c>
      <c r="R472" s="91">
        <f t="shared" si="55"/>
        <v>0</v>
      </c>
      <c r="S472" s="91">
        <f t="shared" si="56"/>
        <v>8300</v>
      </c>
    </row>
    <row r="473" spans="2:19" x14ac:dyDescent="0.2">
      <c r="B473" s="88">
        <f t="shared" si="57"/>
        <v>53</v>
      </c>
      <c r="C473" s="4"/>
      <c r="D473" s="4"/>
      <c r="E473" s="4"/>
      <c r="F473" s="30" t="s">
        <v>168</v>
      </c>
      <c r="G473" s="4">
        <v>637</v>
      </c>
      <c r="H473" s="4" t="s">
        <v>134</v>
      </c>
      <c r="I473" s="23">
        <v>8300</v>
      </c>
      <c r="J473" s="23"/>
      <c r="K473" s="220">
        <f t="shared" si="52"/>
        <v>8300</v>
      </c>
      <c r="L473" s="259"/>
      <c r="M473" s="227"/>
      <c r="N473" s="23"/>
      <c r="O473" s="220">
        <f t="shared" si="53"/>
        <v>0</v>
      </c>
      <c r="P473" s="259"/>
      <c r="Q473" s="308">
        <f t="shared" si="54"/>
        <v>8300</v>
      </c>
      <c r="R473" s="92">
        <f t="shared" si="55"/>
        <v>0</v>
      </c>
      <c r="S473" s="92">
        <f t="shared" si="56"/>
        <v>8300</v>
      </c>
    </row>
    <row r="474" spans="2:19" ht="15" x14ac:dyDescent="0.2">
      <c r="B474" s="88">
        <f t="shared" si="57"/>
        <v>54</v>
      </c>
      <c r="C474" s="242">
        <v>5</v>
      </c>
      <c r="D474" s="511" t="s">
        <v>159</v>
      </c>
      <c r="E474" s="509"/>
      <c r="F474" s="509"/>
      <c r="G474" s="509"/>
      <c r="H474" s="510"/>
      <c r="I474" s="40">
        <f>I475+I480</f>
        <v>22870</v>
      </c>
      <c r="J474" s="40">
        <f>J475+J480</f>
        <v>0</v>
      </c>
      <c r="K474" s="248">
        <f t="shared" si="52"/>
        <v>22870</v>
      </c>
      <c r="L474" s="259"/>
      <c r="M474" s="318">
        <v>0</v>
      </c>
      <c r="N474" s="40">
        <v>0</v>
      </c>
      <c r="O474" s="248">
        <f t="shared" si="53"/>
        <v>0</v>
      </c>
      <c r="P474" s="259"/>
      <c r="Q474" s="313">
        <f t="shared" si="54"/>
        <v>22870</v>
      </c>
      <c r="R474" s="89">
        <f t="shared" si="55"/>
        <v>0</v>
      </c>
      <c r="S474" s="89">
        <f t="shared" si="56"/>
        <v>22870</v>
      </c>
    </row>
    <row r="475" spans="2:19" x14ac:dyDescent="0.2">
      <c r="B475" s="88">
        <f t="shared" si="57"/>
        <v>55</v>
      </c>
      <c r="C475" s="10"/>
      <c r="D475" s="10"/>
      <c r="E475" s="10"/>
      <c r="F475" s="29" t="s">
        <v>158</v>
      </c>
      <c r="G475" s="10">
        <v>630</v>
      </c>
      <c r="H475" s="10" t="s">
        <v>133</v>
      </c>
      <c r="I475" s="27">
        <f>I479+I477+I476+I478</f>
        <v>13870</v>
      </c>
      <c r="J475" s="27">
        <f>J479+J477+J476+J478</f>
        <v>0</v>
      </c>
      <c r="K475" s="250">
        <f t="shared" si="52"/>
        <v>13870</v>
      </c>
      <c r="L475" s="259"/>
      <c r="M475" s="315"/>
      <c r="N475" s="27"/>
      <c r="O475" s="250">
        <f t="shared" si="53"/>
        <v>0</v>
      </c>
      <c r="P475" s="259"/>
      <c r="Q475" s="309">
        <f t="shared" si="54"/>
        <v>13870</v>
      </c>
      <c r="R475" s="91">
        <f t="shared" si="55"/>
        <v>0</v>
      </c>
      <c r="S475" s="91">
        <f t="shared" si="56"/>
        <v>13870</v>
      </c>
    </row>
    <row r="476" spans="2:19" x14ac:dyDescent="0.2">
      <c r="B476" s="88">
        <f t="shared" si="57"/>
        <v>56</v>
      </c>
      <c r="C476" s="10"/>
      <c r="D476" s="10"/>
      <c r="E476" s="10"/>
      <c r="F476" s="30" t="s">
        <v>158</v>
      </c>
      <c r="G476" s="4">
        <v>633</v>
      </c>
      <c r="H476" s="4" t="s">
        <v>636</v>
      </c>
      <c r="I476" s="23">
        <v>3000</v>
      </c>
      <c r="J476" s="23"/>
      <c r="K476" s="220">
        <f t="shared" si="52"/>
        <v>3000</v>
      </c>
      <c r="L476" s="259"/>
      <c r="M476" s="227"/>
      <c r="N476" s="23"/>
      <c r="O476" s="220">
        <f t="shared" si="53"/>
        <v>0</v>
      </c>
      <c r="P476" s="259"/>
      <c r="Q476" s="308">
        <f t="shared" si="54"/>
        <v>3000</v>
      </c>
      <c r="R476" s="92">
        <f t="shared" si="55"/>
        <v>0</v>
      </c>
      <c r="S476" s="92">
        <f t="shared" si="56"/>
        <v>3000</v>
      </c>
    </row>
    <row r="477" spans="2:19" x14ac:dyDescent="0.2">
      <c r="B477" s="88">
        <f t="shared" si="57"/>
        <v>57</v>
      </c>
      <c r="C477" s="4"/>
      <c r="D477" s="4"/>
      <c r="E477" s="4"/>
      <c r="F477" s="30" t="s">
        <v>158</v>
      </c>
      <c r="G477" s="4">
        <v>634</v>
      </c>
      <c r="H477" s="4" t="s">
        <v>144</v>
      </c>
      <c r="I477" s="23">
        <v>2300</v>
      </c>
      <c r="J477" s="23"/>
      <c r="K477" s="220">
        <f t="shared" si="52"/>
        <v>2300</v>
      </c>
      <c r="L477" s="259"/>
      <c r="M477" s="227"/>
      <c r="N477" s="23"/>
      <c r="O477" s="220">
        <f t="shared" si="53"/>
        <v>0</v>
      </c>
      <c r="P477" s="259"/>
      <c r="Q477" s="308">
        <f t="shared" si="54"/>
        <v>2300</v>
      </c>
      <c r="R477" s="92">
        <f t="shared" si="55"/>
        <v>0</v>
      </c>
      <c r="S477" s="92">
        <f t="shared" si="56"/>
        <v>2300</v>
      </c>
    </row>
    <row r="478" spans="2:19" x14ac:dyDescent="0.2">
      <c r="B478" s="88">
        <f t="shared" si="57"/>
        <v>58</v>
      </c>
      <c r="C478" s="4"/>
      <c r="D478" s="4"/>
      <c r="E478" s="4"/>
      <c r="F478" s="30" t="s">
        <v>158</v>
      </c>
      <c r="G478" s="4">
        <v>635</v>
      </c>
      <c r="H478" s="4" t="s">
        <v>637</v>
      </c>
      <c r="I478" s="23">
        <v>1400</v>
      </c>
      <c r="J478" s="23"/>
      <c r="K478" s="220">
        <f t="shared" si="52"/>
        <v>1400</v>
      </c>
      <c r="L478" s="259"/>
      <c r="M478" s="227"/>
      <c r="N478" s="23"/>
      <c r="O478" s="220">
        <f t="shared" si="53"/>
        <v>0</v>
      </c>
      <c r="P478" s="259"/>
      <c r="Q478" s="308">
        <f t="shared" si="54"/>
        <v>1400</v>
      </c>
      <c r="R478" s="92">
        <f t="shared" si="55"/>
        <v>0</v>
      </c>
      <c r="S478" s="92">
        <f t="shared" si="56"/>
        <v>1400</v>
      </c>
    </row>
    <row r="479" spans="2:19" x14ac:dyDescent="0.2">
      <c r="B479" s="88">
        <f t="shared" si="57"/>
        <v>59</v>
      </c>
      <c r="C479" s="4"/>
      <c r="D479" s="4"/>
      <c r="E479" s="4"/>
      <c r="F479" s="30" t="s">
        <v>158</v>
      </c>
      <c r="G479" s="4">
        <v>637</v>
      </c>
      <c r="H479" s="4" t="s">
        <v>134</v>
      </c>
      <c r="I479" s="23">
        <v>7170</v>
      </c>
      <c r="J479" s="23"/>
      <c r="K479" s="220">
        <f t="shared" si="52"/>
        <v>7170</v>
      </c>
      <c r="L479" s="259"/>
      <c r="M479" s="227"/>
      <c r="N479" s="23"/>
      <c r="O479" s="220">
        <f t="shared" si="53"/>
        <v>0</v>
      </c>
      <c r="P479" s="259"/>
      <c r="Q479" s="308">
        <f t="shared" si="54"/>
        <v>7170</v>
      </c>
      <c r="R479" s="92">
        <f t="shared" si="55"/>
        <v>0</v>
      </c>
      <c r="S479" s="92">
        <f t="shared" si="56"/>
        <v>7170</v>
      </c>
    </row>
    <row r="480" spans="2:19" x14ac:dyDescent="0.2">
      <c r="B480" s="88">
        <f t="shared" si="57"/>
        <v>60</v>
      </c>
      <c r="C480" s="10"/>
      <c r="D480" s="10"/>
      <c r="E480" s="10"/>
      <c r="F480" s="29" t="s">
        <v>158</v>
      </c>
      <c r="G480" s="10">
        <v>640</v>
      </c>
      <c r="H480" s="10" t="s">
        <v>141</v>
      </c>
      <c r="I480" s="27">
        <f>I481</f>
        <v>9000</v>
      </c>
      <c r="J480" s="27">
        <f>J481</f>
        <v>0</v>
      </c>
      <c r="K480" s="250">
        <f t="shared" si="52"/>
        <v>9000</v>
      </c>
      <c r="L480" s="259"/>
      <c r="M480" s="315"/>
      <c r="N480" s="27"/>
      <c r="O480" s="250">
        <f t="shared" si="53"/>
        <v>0</v>
      </c>
      <c r="P480" s="259"/>
      <c r="Q480" s="309">
        <f t="shared" si="54"/>
        <v>9000</v>
      </c>
      <c r="R480" s="91">
        <f t="shared" si="55"/>
        <v>0</v>
      </c>
      <c r="S480" s="91">
        <f t="shared" si="56"/>
        <v>9000</v>
      </c>
    </row>
    <row r="481" spans="2:19" x14ac:dyDescent="0.2">
      <c r="B481" s="88">
        <f t="shared" si="57"/>
        <v>61</v>
      </c>
      <c r="C481" s="4"/>
      <c r="D481" s="4"/>
      <c r="E481" s="4"/>
      <c r="F481" s="30" t="s">
        <v>158</v>
      </c>
      <c r="G481" s="4">
        <v>642</v>
      </c>
      <c r="H481" s="4" t="s">
        <v>142</v>
      </c>
      <c r="I481" s="23">
        <f>SUM(I482:I484)</f>
        <v>9000</v>
      </c>
      <c r="J481" s="23">
        <f>SUM(J482:J484)</f>
        <v>0</v>
      </c>
      <c r="K481" s="220">
        <f t="shared" si="52"/>
        <v>9000</v>
      </c>
      <c r="L481" s="259"/>
      <c r="M481" s="227"/>
      <c r="N481" s="23"/>
      <c r="O481" s="220">
        <f t="shared" si="53"/>
        <v>0</v>
      </c>
      <c r="P481" s="259"/>
      <c r="Q481" s="308">
        <f t="shared" si="54"/>
        <v>9000</v>
      </c>
      <c r="R481" s="92">
        <f t="shared" si="55"/>
        <v>0</v>
      </c>
      <c r="S481" s="92">
        <f t="shared" si="56"/>
        <v>9000</v>
      </c>
    </row>
    <row r="482" spans="2:19" x14ac:dyDescent="0.2">
      <c r="B482" s="88">
        <f t="shared" si="57"/>
        <v>62</v>
      </c>
      <c r="C482" s="5"/>
      <c r="D482" s="5"/>
      <c r="E482" s="5"/>
      <c r="F482" s="31"/>
      <c r="G482" s="5"/>
      <c r="H482" s="5" t="s">
        <v>15</v>
      </c>
      <c r="I482" s="25">
        <v>4000</v>
      </c>
      <c r="J482" s="25"/>
      <c r="K482" s="251">
        <f t="shared" si="52"/>
        <v>4000</v>
      </c>
      <c r="L482" s="259"/>
      <c r="M482" s="337"/>
      <c r="N482" s="25"/>
      <c r="O482" s="251">
        <f t="shared" si="53"/>
        <v>0</v>
      </c>
      <c r="P482" s="259"/>
      <c r="Q482" s="332">
        <f t="shared" si="54"/>
        <v>4000</v>
      </c>
      <c r="R482" s="93">
        <f t="shared" si="55"/>
        <v>0</v>
      </c>
      <c r="S482" s="93">
        <f t="shared" si="56"/>
        <v>4000</v>
      </c>
    </row>
    <row r="483" spans="2:19" x14ac:dyDescent="0.2">
      <c r="B483" s="88">
        <f t="shared" si="57"/>
        <v>63</v>
      </c>
      <c r="C483" s="5"/>
      <c r="D483" s="5"/>
      <c r="E483" s="5"/>
      <c r="F483" s="31"/>
      <c r="G483" s="5"/>
      <c r="H483" s="5" t="s">
        <v>16</v>
      </c>
      <c r="I483" s="25">
        <v>4000</v>
      </c>
      <c r="J483" s="25"/>
      <c r="K483" s="251">
        <f t="shared" si="52"/>
        <v>4000</v>
      </c>
      <c r="L483" s="259"/>
      <c r="M483" s="337"/>
      <c r="N483" s="25"/>
      <c r="O483" s="251">
        <f t="shared" si="53"/>
        <v>0</v>
      </c>
      <c r="P483" s="259"/>
      <c r="Q483" s="332">
        <f t="shared" si="54"/>
        <v>4000</v>
      </c>
      <c r="R483" s="93">
        <f t="shared" si="55"/>
        <v>0</v>
      </c>
      <c r="S483" s="93">
        <f t="shared" si="56"/>
        <v>4000</v>
      </c>
    </row>
    <row r="484" spans="2:19" ht="13.5" thickBot="1" x14ac:dyDescent="0.25">
      <c r="B484" s="94">
        <f t="shared" si="57"/>
        <v>64</v>
      </c>
      <c r="C484" s="100"/>
      <c r="D484" s="100"/>
      <c r="E484" s="100"/>
      <c r="F484" s="101"/>
      <c r="G484" s="100"/>
      <c r="H484" s="100" t="s">
        <v>17</v>
      </c>
      <c r="I484" s="103">
        <v>1000</v>
      </c>
      <c r="J484" s="103"/>
      <c r="K484" s="254">
        <f t="shared" si="52"/>
        <v>1000</v>
      </c>
      <c r="L484" s="259"/>
      <c r="M484" s="351"/>
      <c r="N484" s="103"/>
      <c r="O484" s="254">
        <f t="shared" si="53"/>
        <v>0</v>
      </c>
      <c r="P484" s="259"/>
      <c r="Q484" s="334">
        <f t="shared" si="54"/>
        <v>1000</v>
      </c>
      <c r="R484" s="104">
        <f t="shared" si="55"/>
        <v>0</v>
      </c>
      <c r="S484" s="104">
        <f t="shared" si="56"/>
        <v>1000</v>
      </c>
    </row>
    <row r="533" spans="2:19" ht="27.75" thickBot="1" x14ac:dyDescent="0.4">
      <c r="B533" s="480" t="s">
        <v>27</v>
      </c>
      <c r="C533" s="481"/>
      <c r="D533" s="481"/>
      <c r="E533" s="481"/>
      <c r="F533" s="481"/>
      <c r="G533" s="481"/>
      <c r="H533" s="481"/>
      <c r="I533" s="481"/>
      <c r="J533" s="481"/>
      <c r="K533" s="481"/>
      <c r="L533" s="481"/>
      <c r="M533" s="481"/>
      <c r="N533" s="481"/>
      <c r="O533" s="481"/>
      <c r="P533" s="481"/>
      <c r="Q533" s="481"/>
    </row>
    <row r="534" spans="2:19" ht="13.5" customHeight="1" thickBot="1" x14ac:dyDescent="0.25">
      <c r="B534" s="482" t="s">
        <v>353</v>
      </c>
      <c r="C534" s="483"/>
      <c r="D534" s="483"/>
      <c r="E534" s="483"/>
      <c r="F534" s="483"/>
      <c r="G534" s="483"/>
      <c r="H534" s="483"/>
      <c r="I534" s="484"/>
      <c r="J534" s="484"/>
      <c r="K534" s="484"/>
      <c r="L534" s="484"/>
      <c r="M534" s="484"/>
      <c r="N534" s="244"/>
      <c r="O534" s="244"/>
      <c r="P534" s="259"/>
      <c r="Q534" s="485" t="s">
        <v>651</v>
      </c>
      <c r="R534" s="471" t="s">
        <v>648</v>
      </c>
      <c r="S534" s="474" t="s">
        <v>652</v>
      </c>
    </row>
    <row r="535" spans="2:19" ht="13.5" customHeight="1" thickBot="1" x14ac:dyDescent="0.25">
      <c r="B535" s="488"/>
      <c r="C535" s="489" t="s">
        <v>126</v>
      </c>
      <c r="D535" s="489" t="s">
        <v>127</v>
      </c>
      <c r="E535" s="489"/>
      <c r="F535" s="489" t="s">
        <v>128</v>
      </c>
      <c r="G535" s="492" t="s">
        <v>129</v>
      </c>
      <c r="H535" s="495" t="s">
        <v>130</v>
      </c>
      <c r="I535" s="516" t="s">
        <v>647</v>
      </c>
      <c r="J535" s="504" t="s">
        <v>648</v>
      </c>
      <c r="K535" s="477" t="s">
        <v>649</v>
      </c>
      <c r="L535" s="269"/>
      <c r="M535" s="517" t="s">
        <v>650</v>
      </c>
      <c r="N535" s="471" t="s">
        <v>648</v>
      </c>
      <c r="O535" s="477" t="s">
        <v>649</v>
      </c>
      <c r="P535" s="259"/>
      <c r="Q535" s="486"/>
      <c r="R535" s="472"/>
      <c r="S535" s="475"/>
    </row>
    <row r="536" spans="2:19" ht="13.5" thickBot="1" x14ac:dyDescent="0.25">
      <c r="B536" s="488"/>
      <c r="C536" s="490"/>
      <c r="D536" s="490"/>
      <c r="E536" s="490"/>
      <c r="F536" s="490"/>
      <c r="G536" s="493"/>
      <c r="H536" s="495"/>
      <c r="I536" s="496"/>
      <c r="J536" s="502"/>
      <c r="K536" s="478"/>
      <c r="L536" s="259"/>
      <c r="M536" s="500"/>
      <c r="N536" s="472"/>
      <c r="O536" s="478"/>
      <c r="P536" s="259"/>
      <c r="Q536" s="486"/>
      <c r="R536" s="472"/>
      <c r="S536" s="475"/>
    </row>
    <row r="537" spans="2:19" ht="13.5" thickBot="1" x14ac:dyDescent="0.25">
      <c r="B537" s="488"/>
      <c r="C537" s="490"/>
      <c r="D537" s="490"/>
      <c r="E537" s="490"/>
      <c r="F537" s="490"/>
      <c r="G537" s="493"/>
      <c r="H537" s="495"/>
      <c r="I537" s="496"/>
      <c r="J537" s="502"/>
      <c r="K537" s="478"/>
      <c r="L537" s="259"/>
      <c r="M537" s="500"/>
      <c r="N537" s="472"/>
      <c r="O537" s="478"/>
      <c r="P537" s="259"/>
      <c r="Q537" s="486"/>
      <c r="R537" s="472"/>
      <c r="S537" s="475"/>
    </row>
    <row r="538" spans="2:19" ht="13.5" thickBot="1" x14ac:dyDescent="0.25">
      <c r="B538" s="488"/>
      <c r="C538" s="491"/>
      <c r="D538" s="491"/>
      <c r="E538" s="491"/>
      <c r="F538" s="491"/>
      <c r="G538" s="494"/>
      <c r="H538" s="495"/>
      <c r="I538" s="497"/>
      <c r="J538" s="503"/>
      <c r="K538" s="479"/>
      <c r="L538" s="259"/>
      <c r="M538" s="501"/>
      <c r="N538" s="473"/>
      <c r="O538" s="479"/>
      <c r="P538" s="259"/>
      <c r="Q538" s="487"/>
      <c r="R538" s="473"/>
      <c r="S538" s="476"/>
    </row>
    <row r="539" spans="2:19" ht="16.5" thickTop="1" x14ac:dyDescent="0.2">
      <c r="B539" s="88">
        <v>1</v>
      </c>
      <c r="C539" s="505" t="s">
        <v>27</v>
      </c>
      <c r="D539" s="506"/>
      <c r="E539" s="506"/>
      <c r="F539" s="506"/>
      <c r="G539" s="506"/>
      <c r="H539" s="507"/>
      <c r="I539" s="39">
        <f>I575+I544+I540</f>
        <v>4322400</v>
      </c>
      <c r="J539" s="39">
        <f>J575+J544+J540</f>
        <v>0</v>
      </c>
      <c r="K539" s="253">
        <f>I539+J539</f>
        <v>4322400</v>
      </c>
      <c r="L539" s="259"/>
      <c r="M539" s="336">
        <f>M540+M544+M575</f>
        <v>6613148</v>
      </c>
      <c r="N539" s="39">
        <f>N540+N544+N575</f>
        <v>877655</v>
      </c>
      <c r="O539" s="253">
        <f t="shared" ref="O539:O607" si="58">M539+N539</f>
        <v>7490803</v>
      </c>
      <c r="P539" s="259"/>
      <c r="Q539" s="331">
        <f t="shared" ref="Q539:Q607" si="59">I539+M539</f>
        <v>10935548</v>
      </c>
      <c r="R539" s="98">
        <f t="shared" ref="R539:R607" si="60">J539+N539</f>
        <v>877655</v>
      </c>
      <c r="S539" s="98">
        <f t="shared" ref="S539:S607" si="61">K539+O539</f>
        <v>11813203</v>
      </c>
    </row>
    <row r="540" spans="2:19" ht="15" x14ac:dyDescent="0.2">
      <c r="B540" s="88">
        <f>B539+1</f>
        <v>2</v>
      </c>
      <c r="C540" s="242">
        <v>1</v>
      </c>
      <c r="D540" s="511" t="s">
        <v>258</v>
      </c>
      <c r="E540" s="509"/>
      <c r="F540" s="509"/>
      <c r="G540" s="509"/>
      <c r="H540" s="510"/>
      <c r="I540" s="40">
        <f>I541</f>
        <v>2090000</v>
      </c>
      <c r="J540" s="40">
        <f>J541</f>
        <v>0</v>
      </c>
      <c r="K540" s="248">
        <f t="shared" ref="K540:K574" si="62">I540+J540</f>
        <v>2090000</v>
      </c>
      <c r="L540" s="259"/>
      <c r="M540" s="318">
        <v>0</v>
      </c>
      <c r="N540" s="40"/>
      <c r="O540" s="248">
        <f t="shared" si="58"/>
        <v>0</v>
      </c>
      <c r="P540" s="259"/>
      <c r="Q540" s="313">
        <f t="shared" si="59"/>
        <v>2090000</v>
      </c>
      <c r="R540" s="89">
        <f t="shared" si="60"/>
        <v>0</v>
      </c>
      <c r="S540" s="89">
        <f t="shared" si="61"/>
        <v>2090000</v>
      </c>
    </row>
    <row r="541" spans="2:19" x14ac:dyDescent="0.2">
      <c r="B541" s="88">
        <f t="shared" ref="B541:B609" si="63">B540+1</f>
        <v>3</v>
      </c>
      <c r="C541" s="10"/>
      <c r="D541" s="10"/>
      <c r="E541" s="10"/>
      <c r="F541" s="29" t="s">
        <v>236</v>
      </c>
      <c r="G541" s="10">
        <v>630</v>
      </c>
      <c r="H541" s="10" t="s">
        <v>133</v>
      </c>
      <c r="I541" s="27">
        <f>I542+I543</f>
        <v>2090000</v>
      </c>
      <c r="J541" s="27">
        <f>J542+J543</f>
        <v>0</v>
      </c>
      <c r="K541" s="250">
        <f t="shared" si="62"/>
        <v>2090000</v>
      </c>
      <c r="L541" s="259"/>
      <c r="M541" s="315"/>
      <c r="N541" s="27"/>
      <c r="O541" s="250">
        <f t="shared" si="58"/>
        <v>0</v>
      </c>
      <c r="P541" s="259"/>
      <c r="Q541" s="309">
        <f t="shared" si="59"/>
        <v>2090000</v>
      </c>
      <c r="R541" s="91">
        <f t="shared" si="60"/>
        <v>0</v>
      </c>
      <c r="S541" s="91">
        <f t="shared" si="61"/>
        <v>2090000</v>
      </c>
    </row>
    <row r="542" spans="2:19" x14ac:dyDescent="0.2">
      <c r="B542" s="88">
        <f t="shared" si="63"/>
        <v>4</v>
      </c>
      <c r="C542" s="4"/>
      <c r="D542" s="4"/>
      <c r="E542" s="4"/>
      <c r="F542" s="30" t="s">
        <v>236</v>
      </c>
      <c r="G542" s="4">
        <v>637</v>
      </c>
      <c r="H542" s="4" t="s">
        <v>134</v>
      </c>
      <c r="I542" s="23">
        <v>2075000</v>
      </c>
      <c r="J542" s="23"/>
      <c r="K542" s="220">
        <f t="shared" si="62"/>
        <v>2075000</v>
      </c>
      <c r="L542" s="259"/>
      <c r="M542" s="227"/>
      <c r="N542" s="23"/>
      <c r="O542" s="220">
        <f t="shared" si="58"/>
        <v>0</v>
      </c>
      <c r="P542" s="259"/>
      <c r="Q542" s="308">
        <f t="shared" si="59"/>
        <v>2075000</v>
      </c>
      <c r="R542" s="92">
        <f t="shared" si="60"/>
        <v>0</v>
      </c>
      <c r="S542" s="92">
        <f t="shared" si="61"/>
        <v>2075000</v>
      </c>
    </row>
    <row r="543" spans="2:19" x14ac:dyDescent="0.2">
      <c r="B543" s="88">
        <f t="shared" si="63"/>
        <v>5</v>
      </c>
      <c r="C543" s="4"/>
      <c r="D543" s="4"/>
      <c r="E543" s="4"/>
      <c r="F543" s="30" t="s">
        <v>236</v>
      </c>
      <c r="G543" s="4">
        <v>637</v>
      </c>
      <c r="H543" s="4" t="s">
        <v>592</v>
      </c>
      <c r="I543" s="23">
        <v>15000</v>
      </c>
      <c r="J543" s="23"/>
      <c r="K543" s="220">
        <f t="shared" si="62"/>
        <v>15000</v>
      </c>
      <c r="L543" s="259"/>
      <c r="M543" s="227"/>
      <c r="N543" s="23"/>
      <c r="O543" s="220">
        <f t="shared" si="58"/>
        <v>0</v>
      </c>
      <c r="P543" s="259"/>
      <c r="Q543" s="308">
        <f t="shared" si="59"/>
        <v>15000</v>
      </c>
      <c r="R543" s="92">
        <f t="shared" si="60"/>
        <v>0</v>
      </c>
      <c r="S543" s="92">
        <f t="shared" si="61"/>
        <v>15000</v>
      </c>
    </row>
    <row r="544" spans="2:19" ht="15" x14ac:dyDescent="0.2">
      <c r="B544" s="88">
        <f t="shared" si="63"/>
        <v>6</v>
      </c>
      <c r="C544" s="242">
        <v>2</v>
      </c>
      <c r="D544" s="511" t="s">
        <v>294</v>
      </c>
      <c r="E544" s="509"/>
      <c r="F544" s="509"/>
      <c r="G544" s="509"/>
      <c r="H544" s="510"/>
      <c r="I544" s="40">
        <f>I545+I565</f>
        <v>2232400</v>
      </c>
      <c r="J544" s="40">
        <f>J545+J565</f>
        <v>0</v>
      </c>
      <c r="K544" s="248">
        <f t="shared" si="62"/>
        <v>2232400</v>
      </c>
      <c r="L544" s="259"/>
      <c r="M544" s="318">
        <f>M545+M565</f>
        <v>100000</v>
      </c>
      <c r="N544" s="40">
        <f>N545+N565</f>
        <v>0</v>
      </c>
      <c r="O544" s="248">
        <f t="shared" si="58"/>
        <v>100000</v>
      </c>
      <c r="P544" s="259"/>
      <c r="Q544" s="313">
        <f t="shared" si="59"/>
        <v>2332400</v>
      </c>
      <c r="R544" s="89">
        <f t="shared" si="60"/>
        <v>0</v>
      </c>
      <c r="S544" s="89">
        <f t="shared" si="61"/>
        <v>2332400</v>
      </c>
    </row>
    <row r="545" spans="2:19" ht="15" x14ac:dyDescent="0.25">
      <c r="B545" s="88">
        <f t="shared" si="63"/>
        <v>7</v>
      </c>
      <c r="C545" s="243"/>
      <c r="D545" s="243">
        <v>1</v>
      </c>
      <c r="E545" s="508" t="s">
        <v>302</v>
      </c>
      <c r="F545" s="509"/>
      <c r="G545" s="509"/>
      <c r="H545" s="510"/>
      <c r="I545" s="41">
        <f>I546+I553</f>
        <v>1774400</v>
      </c>
      <c r="J545" s="41">
        <f>J546+J553</f>
        <v>0</v>
      </c>
      <c r="K545" s="249">
        <f t="shared" si="62"/>
        <v>1774400</v>
      </c>
      <c r="L545" s="259"/>
      <c r="M545" s="316">
        <v>0</v>
      </c>
      <c r="N545" s="41">
        <v>0</v>
      </c>
      <c r="O545" s="249">
        <f t="shared" si="58"/>
        <v>0</v>
      </c>
      <c r="P545" s="259"/>
      <c r="Q545" s="310">
        <f t="shared" si="59"/>
        <v>1774400</v>
      </c>
      <c r="R545" s="90">
        <f t="shared" si="60"/>
        <v>0</v>
      </c>
      <c r="S545" s="90">
        <f t="shared" si="61"/>
        <v>1774400</v>
      </c>
    </row>
    <row r="546" spans="2:19" x14ac:dyDescent="0.2">
      <c r="B546" s="88">
        <f t="shared" si="63"/>
        <v>8</v>
      </c>
      <c r="C546" s="10"/>
      <c r="D546" s="10"/>
      <c r="E546" s="10"/>
      <c r="F546" s="29" t="s">
        <v>236</v>
      </c>
      <c r="G546" s="10">
        <v>630</v>
      </c>
      <c r="H546" s="10" t="s">
        <v>133</v>
      </c>
      <c r="I546" s="27">
        <f>SUM(I547:I552)</f>
        <v>965800</v>
      </c>
      <c r="J546" s="27">
        <f>SUM(J547:J552)</f>
        <v>0</v>
      </c>
      <c r="K546" s="250">
        <f t="shared" si="62"/>
        <v>965800</v>
      </c>
      <c r="L546" s="259"/>
      <c r="M546" s="315"/>
      <c r="N546" s="27"/>
      <c r="O546" s="250">
        <f t="shared" si="58"/>
        <v>0</v>
      </c>
      <c r="P546" s="259"/>
      <c r="Q546" s="309">
        <f t="shared" si="59"/>
        <v>965800</v>
      </c>
      <c r="R546" s="91">
        <f t="shared" si="60"/>
        <v>0</v>
      </c>
      <c r="S546" s="91">
        <f t="shared" si="61"/>
        <v>965800</v>
      </c>
    </row>
    <row r="547" spans="2:19" x14ac:dyDescent="0.2">
      <c r="B547" s="88">
        <f t="shared" si="63"/>
        <v>9</v>
      </c>
      <c r="C547" s="4"/>
      <c r="D547" s="4"/>
      <c r="E547" s="4"/>
      <c r="F547" s="30" t="s">
        <v>236</v>
      </c>
      <c r="G547" s="4">
        <v>635</v>
      </c>
      <c r="H547" s="4" t="s">
        <v>145</v>
      </c>
      <c r="I547" s="23">
        <f>760000+30000-20000</f>
        <v>770000</v>
      </c>
      <c r="J547" s="23"/>
      <c r="K547" s="220">
        <f t="shared" si="62"/>
        <v>770000</v>
      </c>
      <c r="L547" s="259"/>
      <c r="M547" s="227"/>
      <c r="N547" s="23"/>
      <c r="O547" s="220">
        <f t="shared" si="58"/>
        <v>0</v>
      </c>
      <c r="P547" s="259"/>
      <c r="Q547" s="308">
        <f t="shared" si="59"/>
        <v>770000</v>
      </c>
      <c r="R547" s="92">
        <f t="shared" si="60"/>
        <v>0</v>
      </c>
      <c r="S547" s="92">
        <f t="shared" si="61"/>
        <v>770000</v>
      </c>
    </row>
    <row r="548" spans="2:19" x14ac:dyDescent="0.2">
      <c r="B548" s="88">
        <f t="shared" si="63"/>
        <v>10</v>
      </c>
      <c r="C548" s="4"/>
      <c r="D548" s="4"/>
      <c r="E548" s="4"/>
      <c r="F548" s="30" t="s">
        <v>236</v>
      </c>
      <c r="G548" s="4">
        <v>635</v>
      </c>
      <c r="H548" s="4" t="s">
        <v>472</v>
      </c>
      <c r="I548" s="23">
        <v>15000</v>
      </c>
      <c r="J548" s="23"/>
      <c r="K548" s="220">
        <f t="shared" si="62"/>
        <v>15000</v>
      </c>
      <c r="L548" s="259"/>
      <c r="M548" s="227"/>
      <c r="N548" s="23"/>
      <c r="O548" s="220">
        <f t="shared" si="58"/>
        <v>0</v>
      </c>
      <c r="P548" s="259"/>
      <c r="Q548" s="308">
        <f t="shared" si="59"/>
        <v>15000</v>
      </c>
      <c r="R548" s="92">
        <f t="shared" si="60"/>
        <v>0</v>
      </c>
      <c r="S548" s="92">
        <f t="shared" si="61"/>
        <v>15000</v>
      </c>
    </row>
    <row r="549" spans="2:19" x14ac:dyDescent="0.2">
      <c r="B549" s="88">
        <f t="shared" si="63"/>
        <v>11</v>
      </c>
      <c r="C549" s="4"/>
      <c r="D549" s="4"/>
      <c r="E549" s="4"/>
      <c r="F549" s="30" t="s">
        <v>236</v>
      </c>
      <c r="G549" s="4">
        <v>635</v>
      </c>
      <c r="H549" s="56" t="s">
        <v>633</v>
      </c>
      <c r="I549" s="23">
        <f>210000-12000-93000+30000</f>
        <v>135000</v>
      </c>
      <c r="J549" s="23"/>
      <c r="K549" s="220">
        <f t="shared" si="62"/>
        <v>135000</v>
      </c>
      <c r="L549" s="319"/>
      <c r="M549" s="227"/>
      <c r="N549" s="23"/>
      <c r="O549" s="220">
        <f t="shared" si="58"/>
        <v>0</v>
      </c>
      <c r="P549" s="319"/>
      <c r="Q549" s="308">
        <f t="shared" si="59"/>
        <v>135000</v>
      </c>
      <c r="R549" s="92">
        <f t="shared" si="60"/>
        <v>0</v>
      </c>
      <c r="S549" s="92">
        <f t="shared" si="61"/>
        <v>135000</v>
      </c>
    </row>
    <row r="550" spans="2:19" x14ac:dyDescent="0.2">
      <c r="B550" s="88">
        <f t="shared" si="63"/>
        <v>12</v>
      </c>
      <c r="C550" s="4"/>
      <c r="D550" s="4"/>
      <c r="E550" s="4"/>
      <c r="F550" s="30" t="s">
        <v>236</v>
      </c>
      <c r="G550" s="4">
        <v>635</v>
      </c>
      <c r="H550" s="4" t="s">
        <v>535</v>
      </c>
      <c r="I550" s="23">
        <v>20000</v>
      </c>
      <c r="J550" s="23"/>
      <c r="K550" s="220">
        <f t="shared" si="62"/>
        <v>20000</v>
      </c>
      <c r="L550" s="319"/>
      <c r="M550" s="227"/>
      <c r="N550" s="23"/>
      <c r="O550" s="220">
        <f t="shared" si="58"/>
        <v>0</v>
      </c>
      <c r="P550" s="260"/>
      <c r="Q550" s="308">
        <f t="shared" si="59"/>
        <v>20000</v>
      </c>
      <c r="R550" s="92">
        <f t="shared" si="60"/>
        <v>0</v>
      </c>
      <c r="S550" s="92">
        <f t="shared" si="61"/>
        <v>20000</v>
      </c>
    </row>
    <row r="551" spans="2:19" x14ac:dyDescent="0.2">
      <c r="B551" s="88">
        <f t="shared" si="63"/>
        <v>13</v>
      </c>
      <c r="C551" s="4"/>
      <c r="D551" s="4"/>
      <c r="E551" s="4"/>
      <c r="F551" s="30" t="s">
        <v>236</v>
      </c>
      <c r="G551" s="4">
        <v>636</v>
      </c>
      <c r="H551" s="4" t="s">
        <v>138</v>
      </c>
      <c r="I551" s="23">
        <v>3000</v>
      </c>
      <c r="J551" s="23"/>
      <c r="K551" s="220">
        <f t="shared" si="62"/>
        <v>3000</v>
      </c>
      <c r="L551" s="259"/>
      <c r="M551" s="227"/>
      <c r="N551" s="23"/>
      <c r="O551" s="220">
        <f t="shared" si="58"/>
        <v>0</v>
      </c>
      <c r="P551" s="259"/>
      <c r="Q551" s="308">
        <f t="shared" si="59"/>
        <v>3000</v>
      </c>
      <c r="R551" s="92">
        <f t="shared" si="60"/>
        <v>0</v>
      </c>
      <c r="S551" s="92">
        <f t="shared" si="61"/>
        <v>3000</v>
      </c>
    </row>
    <row r="552" spans="2:19" x14ac:dyDescent="0.2">
      <c r="B552" s="88">
        <f t="shared" si="63"/>
        <v>14</v>
      </c>
      <c r="C552" s="4"/>
      <c r="D552" s="4"/>
      <c r="E552" s="4"/>
      <c r="F552" s="30" t="s">
        <v>236</v>
      </c>
      <c r="G552" s="4">
        <v>637</v>
      </c>
      <c r="H552" s="4" t="s">
        <v>134</v>
      </c>
      <c r="I552" s="23">
        <v>22800</v>
      </c>
      <c r="J552" s="23"/>
      <c r="K552" s="220">
        <f t="shared" si="62"/>
        <v>22800</v>
      </c>
      <c r="L552" s="259"/>
      <c r="M552" s="227"/>
      <c r="N552" s="23"/>
      <c r="O552" s="220">
        <f t="shared" si="58"/>
        <v>0</v>
      </c>
      <c r="P552" s="259"/>
      <c r="Q552" s="308">
        <f t="shared" si="59"/>
        <v>22800</v>
      </c>
      <c r="R552" s="92">
        <f t="shared" si="60"/>
        <v>0</v>
      </c>
      <c r="S552" s="92">
        <f t="shared" si="61"/>
        <v>22800</v>
      </c>
    </row>
    <row r="553" spans="2:19" ht="15" x14ac:dyDescent="0.25">
      <c r="B553" s="88">
        <f t="shared" si="63"/>
        <v>15</v>
      </c>
      <c r="C553" s="13"/>
      <c r="D553" s="13"/>
      <c r="E553" s="13">
        <v>2</v>
      </c>
      <c r="F553" s="32"/>
      <c r="G553" s="13"/>
      <c r="H553" s="13" t="s">
        <v>402</v>
      </c>
      <c r="I553" s="42">
        <f>I554+I555+I556+I564</f>
        <v>808600</v>
      </c>
      <c r="J553" s="42">
        <f>J554+J555+J556+J564</f>
        <v>0</v>
      </c>
      <c r="K553" s="255">
        <f t="shared" si="62"/>
        <v>808600</v>
      </c>
      <c r="L553" s="259"/>
      <c r="M553" s="317">
        <v>0</v>
      </c>
      <c r="N553" s="42">
        <v>0</v>
      </c>
      <c r="O553" s="255">
        <f t="shared" si="58"/>
        <v>0</v>
      </c>
      <c r="P553" s="259"/>
      <c r="Q553" s="312">
        <f t="shared" si="59"/>
        <v>808600</v>
      </c>
      <c r="R553" s="99">
        <f t="shared" si="60"/>
        <v>0</v>
      </c>
      <c r="S553" s="99">
        <f t="shared" si="61"/>
        <v>808600</v>
      </c>
    </row>
    <row r="554" spans="2:19" x14ac:dyDescent="0.2">
      <c r="B554" s="88">
        <f t="shared" si="63"/>
        <v>16</v>
      </c>
      <c r="C554" s="10"/>
      <c r="D554" s="10"/>
      <c r="E554" s="10"/>
      <c r="F554" s="29" t="s">
        <v>236</v>
      </c>
      <c r="G554" s="10">
        <v>610</v>
      </c>
      <c r="H554" s="10" t="s">
        <v>143</v>
      </c>
      <c r="I554" s="27">
        <v>50795</v>
      </c>
      <c r="J554" s="27"/>
      <c r="K554" s="250">
        <f t="shared" si="62"/>
        <v>50795</v>
      </c>
      <c r="L554" s="259"/>
      <c r="M554" s="315"/>
      <c r="N554" s="27"/>
      <c r="O554" s="250">
        <f t="shared" si="58"/>
        <v>0</v>
      </c>
      <c r="P554" s="259"/>
      <c r="Q554" s="309">
        <f t="shared" si="59"/>
        <v>50795</v>
      </c>
      <c r="R554" s="91">
        <f t="shared" si="60"/>
        <v>0</v>
      </c>
      <c r="S554" s="91">
        <f t="shared" si="61"/>
        <v>50795</v>
      </c>
    </row>
    <row r="555" spans="2:19" x14ac:dyDescent="0.2">
      <c r="B555" s="88">
        <f t="shared" si="63"/>
        <v>17</v>
      </c>
      <c r="C555" s="10"/>
      <c r="D555" s="10"/>
      <c r="E555" s="10"/>
      <c r="F555" s="29" t="s">
        <v>236</v>
      </c>
      <c r="G555" s="10">
        <v>620</v>
      </c>
      <c r="H555" s="10" t="s">
        <v>136</v>
      </c>
      <c r="I555" s="27">
        <v>21860</v>
      </c>
      <c r="J555" s="27"/>
      <c r="K555" s="250">
        <f t="shared" si="62"/>
        <v>21860</v>
      </c>
      <c r="L555" s="259"/>
      <c r="M555" s="315"/>
      <c r="N555" s="27"/>
      <c r="O555" s="250">
        <f t="shared" si="58"/>
        <v>0</v>
      </c>
      <c r="P555" s="259"/>
      <c r="Q555" s="309">
        <f t="shared" si="59"/>
        <v>21860</v>
      </c>
      <c r="R555" s="91">
        <f t="shared" si="60"/>
        <v>0</v>
      </c>
      <c r="S555" s="91">
        <f t="shared" si="61"/>
        <v>21860</v>
      </c>
    </row>
    <row r="556" spans="2:19" x14ac:dyDescent="0.2">
      <c r="B556" s="88">
        <f t="shared" si="63"/>
        <v>18</v>
      </c>
      <c r="C556" s="10"/>
      <c r="D556" s="10"/>
      <c r="E556" s="10"/>
      <c r="F556" s="29" t="s">
        <v>236</v>
      </c>
      <c r="G556" s="10">
        <v>630</v>
      </c>
      <c r="H556" s="10" t="s">
        <v>133</v>
      </c>
      <c r="I556" s="27">
        <f>SUM(I557:I563)</f>
        <v>735595</v>
      </c>
      <c r="J556" s="27">
        <f>SUM(J557:J563)</f>
        <v>0</v>
      </c>
      <c r="K556" s="250">
        <f t="shared" si="62"/>
        <v>735595</v>
      </c>
      <c r="L556" s="259"/>
      <c r="M556" s="315"/>
      <c r="N556" s="27"/>
      <c r="O556" s="250">
        <f t="shared" si="58"/>
        <v>0</v>
      </c>
      <c r="P556" s="259"/>
      <c r="Q556" s="309">
        <f t="shared" si="59"/>
        <v>735595</v>
      </c>
      <c r="R556" s="91">
        <f t="shared" si="60"/>
        <v>0</v>
      </c>
      <c r="S556" s="91">
        <f t="shared" si="61"/>
        <v>735595</v>
      </c>
    </row>
    <row r="557" spans="2:19" x14ac:dyDescent="0.2">
      <c r="B557" s="88">
        <f t="shared" si="63"/>
        <v>19</v>
      </c>
      <c r="C557" s="4"/>
      <c r="D557" s="4"/>
      <c r="E557" s="4"/>
      <c r="F557" s="30" t="s">
        <v>236</v>
      </c>
      <c r="G557" s="4">
        <v>633</v>
      </c>
      <c r="H557" s="4" t="s">
        <v>137</v>
      </c>
      <c r="I557" s="23">
        <v>23750</v>
      </c>
      <c r="J557" s="23"/>
      <c r="K557" s="220">
        <f t="shared" si="62"/>
        <v>23750</v>
      </c>
      <c r="L557" s="259"/>
      <c r="M557" s="227"/>
      <c r="N557" s="23"/>
      <c r="O557" s="220">
        <f t="shared" si="58"/>
        <v>0</v>
      </c>
      <c r="P557" s="259"/>
      <c r="Q557" s="308">
        <f t="shared" si="59"/>
        <v>23750</v>
      </c>
      <c r="R557" s="92">
        <f t="shared" si="60"/>
        <v>0</v>
      </c>
      <c r="S557" s="92">
        <f t="shared" si="61"/>
        <v>23750</v>
      </c>
    </row>
    <row r="558" spans="2:19" x14ac:dyDescent="0.2">
      <c r="B558" s="88">
        <f t="shared" si="63"/>
        <v>20</v>
      </c>
      <c r="C558" s="4"/>
      <c r="D558" s="4"/>
      <c r="E558" s="4"/>
      <c r="F558" s="30" t="s">
        <v>236</v>
      </c>
      <c r="G558" s="4">
        <v>633</v>
      </c>
      <c r="H558" s="4" t="s">
        <v>612</v>
      </c>
      <c r="I558" s="23">
        <v>0</v>
      </c>
      <c r="J558" s="23">
        <v>10000</v>
      </c>
      <c r="K558" s="220">
        <f t="shared" si="62"/>
        <v>10000</v>
      </c>
      <c r="L558" s="259"/>
      <c r="M558" s="227"/>
      <c r="N558" s="23"/>
      <c r="O558" s="220"/>
      <c r="P558" s="259"/>
      <c r="Q558" s="308">
        <f t="shared" ref="Q558" si="64">I558+M558</f>
        <v>0</v>
      </c>
      <c r="R558" s="92">
        <f t="shared" ref="R558" si="65">J558+N558</f>
        <v>10000</v>
      </c>
      <c r="S558" s="92">
        <f t="shared" ref="S558" si="66">K558+O558</f>
        <v>10000</v>
      </c>
    </row>
    <row r="559" spans="2:19" x14ac:dyDescent="0.2">
      <c r="B559" s="88">
        <f t="shared" si="63"/>
        <v>21</v>
      </c>
      <c r="C559" s="4"/>
      <c r="D559" s="4"/>
      <c r="E559" s="4"/>
      <c r="F559" s="30" t="s">
        <v>236</v>
      </c>
      <c r="G559" s="4">
        <v>634</v>
      </c>
      <c r="H559" s="4" t="s">
        <v>144</v>
      </c>
      <c r="I559" s="23">
        <v>17000</v>
      </c>
      <c r="J559" s="23"/>
      <c r="K559" s="220">
        <f t="shared" si="62"/>
        <v>17000</v>
      </c>
      <c r="L559" s="259"/>
      <c r="M559" s="227"/>
      <c r="N559" s="23"/>
      <c r="O559" s="220">
        <f t="shared" si="58"/>
        <v>0</v>
      </c>
      <c r="P559" s="259"/>
      <c r="Q559" s="308">
        <f t="shared" si="59"/>
        <v>17000</v>
      </c>
      <c r="R559" s="92">
        <f t="shared" si="60"/>
        <v>0</v>
      </c>
      <c r="S559" s="92">
        <f t="shared" si="61"/>
        <v>17000</v>
      </c>
    </row>
    <row r="560" spans="2:19" x14ac:dyDescent="0.2">
      <c r="B560" s="88">
        <f t="shared" si="63"/>
        <v>22</v>
      </c>
      <c r="C560" s="4"/>
      <c r="D560" s="4"/>
      <c r="E560" s="4"/>
      <c r="F560" s="30" t="s">
        <v>236</v>
      </c>
      <c r="G560" s="4">
        <v>635</v>
      </c>
      <c r="H560" s="4" t="s">
        <v>145</v>
      </c>
      <c r="I560" s="23">
        <f>1000+645345</f>
        <v>646345</v>
      </c>
      <c r="J560" s="23"/>
      <c r="K560" s="220">
        <f t="shared" si="62"/>
        <v>646345</v>
      </c>
      <c r="L560" s="259"/>
      <c r="M560" s="227"/>
      <c r="N560" s="23"/>
      <c r="O560" s="220">
        <f t="shared" si="58"/>
        <v>0</v>
      </c>
      <c r="P560" s="259"/>
      <c r="Q560" s="308">
        <f t="shared" si="59"/>
        <v>646345</v>
      </c>
      <c r="R560" s="92">
        <f t="shared" si="60"/>
        <v>0</v>
      </c>
      <c r="S560" s="92">
        <f t="shared" si="61"/>
        <v>646345</v>
      </c>
    </row>
    <row r="561" spans="2:19" x14ac:dyDescent="0.2">
      <c r="B561" s="88">
        <f t="shared" si="63"/>
        <v>23</v>
      </c>
      <c r="C561" s="4"/>
      <c r="D561" s="4"/>
      <c r="E561" s="4"/>
      <c r="F561" s="30" t="s">
        <v>236</v>
      </c>
      <c r="G561" s="4">
        <v>635</v>
      </c>
      <c r="H561" s="4" t="s">
        <v>575</v>
      </c>
      <c r="I561" s="23">
        <v>12000</v>
      </c>
      <c r="J561" s="23"/>
      <c r="K561" s="220">
        <f t="shared" si="62"/>
        <v>12000</v>
      </c>
      <c r="L561" s="259"/>
      <c r="M561" s="227"/>
      <c r="N561" s="23"/>
      <c r="O561" s="220">
        <f t="shared" si="58"/>
        <v>0</v>
      </c>
      <c r="P561" s="259"/>
      <c r="Q561" s="308">
        <f t="shared" si="59"/>
        <v>12000</v>
      </c>
      <c r="R561" s="92">
        <f t="shared" si="60"/>
        <v>0</v>
      </c>
      <c r="S561" s="92">
        <f t="shared" si="61"/>
        <v>12000</v>
      </c>
    </row>
    <row r="562" spans="2:19" x14ac:dyDescent="0.2">
      <c r="B562" s="88">
        <f t="shared" si="63"/>
        <v>24</v>
      </c>
      <c r="C562" s="4"/>
      <c r="D562" s="4"/>
      <c r="E562" s="4"/>
      <c r="F562" s="30" t="s">
        <v>236</v>
      </c>
      <c r="G562" s="4">
        <v>637</v>
      </c>
      <c r="H562" s="4" t="s">
        <v>134</v>
      </c>
      <c r="I562" s="23">
        <f>31100-4600</f>
        <v>26500</v>
      </c>
      <c r="J562" s="23"/>
      <c r="K562" s="220">
        <f t="shared" si="62"/>
        <v>26500</v>
      </c>
      <c r="L562" s="259"/>
      <c r="M562" s="227"/>
      <c r="N562" s="23"/>
      <c r="O562" s="220">
        <f t="shared" si="58"/>
        <v>0</v>
      </c>
      <c r="P562" s="259"/>
      <c r="Q562" s="308">
        <f t="shared" si="59"/>
        <v>26500</v>
      </c>
      <c r="R562" s="92">
        <f t="shared" si="60"/>
        <v>0</v>
      </c>
      <c r="S562" s="92">
        <f t="shared" si="61"/>
        <v>26500</v>
      </c>
    </row>
    <row r="563" spans="2:19" x14ac:dyDescent="0.2">
      <c r="B563" s="88">
        <f t="shared" si="63"/>
        <v>25</v>
      </c>
      <c r="C563" s="4"/>
      <c r="D563" s="4"/>
      <c r="E563" s="4"/>
      <c r="F563" s="30" t="s">
        <v>236</v>
      </c>
      <c r="G563" s="4">
        <v>637</v>
      </c>
      <c r="H563" s="4" t="s">
        <v>612</v>
      </c>
      <c r="I563" s="23">
        <v>10000</v>
      </c>
      <c r="J563" s="23">
        <v>-10000</v>
      </c>
      <c r="K563" s="220">
        <f t="shared" si="62"/>
        <v>0</v>
      </c>
      <c r="L563" s="259"/>
      <c r="M563" s="227"/>
      <c r="N563" s="23"/>
      <c r="O563" s="220">
        <f t="shared" si="58"/>
        <v>0</v>
      </c>
      <c r="P563" s="259"/>
      <c r="Q563" s="308">
        <f t="shared" si="59"/>
        <v>10000</v>
      </c>
      <c r="R563" s="92">
        <f t="shared" si="60"/>
        <v>-10000</v>
      </c>
      <c r="S563" s="92">
        <f t="shared" si="61"/>
        <v>0</v>
      </c>
    </row>
    <row r="564" spans="2:19" x14ac:dyDescent="0.2">
      <c r="B564" s="88">
        <f t="shared" si="63"/>
        <v>26</v>
      </c>
      <c r="C564" s="10"/>
      <c r="D564" s="10"/>
      <c r="E564" s="10"/>
      <c r="F564" s="29" t="s">
        <v>236</v>
      </c>
      <c r="G564" s="10">
        <v>640</v>
      </c>
      <c r="H564" s="10" t="s">
        <v>141</v>
      </c>
      <c r="I564" s="27">
        <v>350</v>
      </c>
      <c r="J564" s="27"/>
      <c r="K564" s="250">
        <f t="shared" si="62"/>
        <v>350</v>
      </c>
      <c r="L564" s="259"/>
      <c r="M564" s="315"/>
      <c r="N564" s="27"/>
      <c r="O564" s="250">
        <f t="shared" si="58"/>
        <v>0</v>
      </c>
      <c r="P564" s="259"/>
      <c r="Q564" s="309">
        <f t="shared" si="59"/>
        <v>350</v>
      </c>
      <c r="R564" s="91">
        <f t="shared" si="60"/>
        <v>0</v>
      </c>
      <c r="S564" s="91">
        <f t="shared" si="61"/>
        <v>350</v>
      </c>
    </row>
    <row r="565" spans="2:19" ht="15" x14ac:dyDescent="0.25">
      <c r="B565" s="88">
        <f t="shared" si="63"/>
        <v>27</v>
      </c>
      <c r="C565" s="243"/>
      <c r="D565" s="243">
        <v>2</v>
      </c>
      <c r="E565" s="508" t="s">
        <v>303</v>
      </c>
      <c r="F565" s="509"/>
      <c r="G565" s="509"/>
      <c r="H565" s="510"/>
      <c r="I565" s="41">
        <f>I566+I572</f>
        <v>458000</v>
      </c>
      <c r="J565" s="41">
        <f>J566+J572</f>
        <v>0</v>
      </c>
      <c r="K565" s="249">
        <f t="shared" si="62"/>
        <v>458000</v>
      </c>
      <c r="L565" s="259"/>
      <c r="M565" s="316">
        <f>M572</f>
        <v>100000</v>
      </c>
      <c r="N565" s="41">
        <f>N572</f>
        <v>0</v>
      </c>
      <c r="O565" s="249">
        <f t="shared" si="58"/>
        <v>100000</v>
      </c>
      <c r="P565" s="259"/>
      <c r="Q565" s="310">
        <f t="shared" si="59"/>
        <v>558000</v>
      </c>
      <c r="R565" s="90">
        <f t="shared" si="60"/>
        <v>0</v>
      </c>
      <c r="S565" s="90">
        <f t="shared" si="61"/>
        <v>558000</v>
      </c>
    </row>
    <row r="566" spans="2:19" x14ac:dyDescent="0.2">
      <c r="B566" s="88">
        <f t="shared" si="63"/>
        <v>28</v>
      </c>
      <c r="C566" s="10"/>
      <c r="D566" s="10"/>
      <c r="E566" s="10"/>
      <c r="F566" s="29" t="s">
        <v>236</v>
      </c>
      <c r="G566" s="10">
        <v>630</v>
      </c>
      <c r="H566" s="10" t="s">
        <v>133</v>
      </c>
      <c r="I566" s="27">
        <f>I571+I570+I569+I568+I567</f>
        <v>458000</v>
      </c>
      <c r="J566" s="27">
        <f>J571+J570+J569+J568+J567</f>
        <v>0</v>
      </c>
      <c r="K566" s="250">
        <f t="shared" si="62"/>
        <v>458000</v>
      </c>
      <c r="L566" s="259"/>
      <c r="M566" s="315"/>
      <c r="N566" s="27"/>
      <c r="O566" s="250">
        <f t="shared" si="58"/>
        <v>0</v>
      </c>
      <c r="P566" s="259"/>
      <c r="Q566" s="309">
        <f t="shared" si="59"/>
        <v>458000</v>
      </c>
      <c r="R566" s="91">
        <f t="shared" si="60"/>
        <v>0</v>
      </c>
      <c r="S566" s="91">
        <f t="shared" si="61"/>
        <v>458000</v>
      </c>
    </row>
    <row r="567" spans="2:19" x14ac:dyDescent="0.2">
      <c r="B567" s="88">
        <f t="shared" si="63"/>
        <v>29</v>
      </c>
      <c r="C567" s="4"/>
      <c r="D567" s="4"/>
      <c r="E567" s="4"/>
      <c r="F567" s="30" t="s">
        <v>236</v>
      </c>
      <c r="G567" s="4">
        <v>632</v>
      </c>
      <c r="H567" s="4" t="s">
        <v>146</v>
      </c>
      <c r="I567" s="23">
        <v>102000</v>
      </c>
      <c r="J567" s="23"/>
      <c r="K567" s="220">
        <f t="shared" si="62"/>
        <v>102000</v>
      </c>
      <c r="L567" s="259"/>
      <c r="M567" s="227"/>
      <c r="N567" s="23"/>
      <c r="O567" s="220">
        <f t="shared" si="58"/>
        <v>0</v>
      </c>
      <c r="P567" s="259"/>
      <c r="Q567" s="308">
        <f t="shared" si="59"/>
        <v>102000</v>
      </c>
      <c r="R567" s="92">
        <f t="shared" si="60"/>
        <v>0</v>
      </c>
      <c r="S567" s="92">
        <f t="shared" si="61"/>
        <v>102000</v>
      </c>
    </row>
    <row r="568" spans="2:19" x14ac:dyDescent="0.2">
      <c r="B568" s="88">
        <f t="shared" si="63"/>
        <v>30</v>
      </c>
      <c r="C568" s="4"/>
      <c r="D568" s="4"/>
      <c r="E568" s="4"/>
      <c r="F568" s="30" t="s">
        <v>236</v>
      </c>
      <c r="G568" s="4">
        <v>633</v>
      </c>
      <c r="H568" s="4" t="s">
        <v>137</v>
      </c>
      <c r="I568" s="23">
        <f>2500+1000</f>
        <v>3500</v>
      </c>
      <c r="J568" s="23"/>
      <c r="K568" s="220">
        <f t="shared" si="62"/>
        <v>3500</v>
      </c>
      <c r="L568" s="259"/>
      <c r="M568" s="227"/>
      <c r="N568" s="23"/>
      <c r="O568" s="220">
        <f t="shared" si="58"/>
        <v>0</v>
      </c>
      <c r="P568" s="259"/>
      <c r="Q568" s="308">
        <f t="shared" si="59"/>
        <v>3500</v>
      </c>
      <c r="R568" s="92">
        <f t="shared" si="60"/>
        <v>0</v>
      </c>
      <c r="S568" s="92">
        <f t="shared" si="61"/>
        <v>3500</v>
      </c>
    </row>
    <row r="569" spans="2:19" x14ac:dyDescent="0.2">
      <c r="B569" s="88">
        <f t="shared" si="63"/>
        <v>31</v>
      </c>
      <c r="C569" s="4"/>
      <c r="D569" s="4"/>
      <c r="E569" s="4"/>
      <c r="F569" s="30" t="s">
        <v>236</v>
      </c>
      <c r="G569" s="4">
        <v>635</v>
      </c>
      <c r="H569" s="4" t="s">
        <v>145</v>
      </c>
      <c r="I569" s="23">
        <f>210000+130000-13000-7000-15000-10000-1000</f>
        <v>294000</v>
      </c>
      <c r="J569" s="23"/>
      <c r="K569" s="220">
        <f t="shared" si="62"/>
        <v>294000</v>
      </c>
      <c r="L569" s="259"/>
      <c r="M569" s="227"/>
      <c r="N569" s="23"/>
      <c r="O569" s="220">
        <f t="shared" si="58"/>
        <v>0</v>
      </c>
      <c r="P569" s="259"/>
      <c r="Q569" s="308">
        <f t="shared" si="59"/>
        <v>294000</v>
      </c>
      <c r="R569" s="92">
        <f t="shared" si="60"/>
        <v>0</v>
      </c>
      <c r="S569" s="92">
        <f t="shared" si="61"/>
        <v>294000</v>
      </c>
    </row>
    <row r="570" spans="2:19" x14ac:dyDescent="0.2">
      <c r="B570" s="88">
        <f t="shared" si="63"/>
        <v>32</v>
      </c>
      <c r="C570" s="4"/>
      <c r="D570" s="4"/>
      <c r="E570" s="4"/>
      <c r="F570" s="30" t="s">
        <v>236</v>
      </c>
      <c r="G570" s="4">
        <v>636</v>
      </c>
      <c r="H570" s="4" t="s">
        <v>138</v>
      </c>
      <c r="I570" s="23">
        <f>47000-10000</f>
        <v>37000</v>
      </c>
      <c r="J570" s="23"/>
      <c r="K570" s="220">
        <f t="shared" si="62"/>
        <v>37000</v>
      </c>
      <c r="L570" s="259"/>
      <c r="M570" s="227"/>
      <c r="N570" s="23"/>
      <c r="O570" s="220">
        <f t="shared" si="58"/>
        <v>0</v>
      </c>
      <c r="P570" s="259"/>
      <c r="Q570" s="308">
        <f t="shared" si="59"/>
        <v>37000</v>
      </c>
      <c r="R570" s="92">
        <f t="shared" si="60"/>
        <v>0</v>
      </c>
      <c r="S570" s="92">
        <f t="shared" si="61"/>
        <v>37000</v>
      </c>
    </row>
    <row r="571" spans="2:19" x14ac:dyDescent="0.2">
      <c r="B571" s="88">
        <f t="shared" si="63"/>
        <v>33</v>
      </c>
      <c r="C571" s="4"/>
      <c r="D571" s="4"/>
      <c r="E571" s="4"/>
      <c r="F571" s="30" t="s">
        <v>236</v>
      </c>
      <c r="G571" s="4">
        <v>637</v>
      </c>
      <c r="H571" s="4" t="s">
        <v>134</v>
      </c>
      <c r="I571" s="23">
        <f>31500-10000</f>
        <v>21500</v>
      </c>
      <c r="J571" s="23"/>
      <c r="K571" s="220">
        <f t="shared" si="62"/>
        <v>21500</v>
      </c>
      <c r="L571" s="259"/>
      <c r="M571" s="227"/>
      <c r="N571" s="23"/>
      <c r="O571" s="220">
        <f t="shared" si="58"/>
        <v>0</v>
      </c>
      <c r="P571" s="259"/>
      <c r="Q571" s="308">
        <f t="shared" si="59"/>
        <v>21500</v>
      </c>
      <c r="R571" s="92">
        <f t="shared" si="60"/>
        <v>0</v>
      </c>
      <c r="S571" s="92">
        <f t="shared" si="61"/>
        <v>21500</v>
      </c>
    </row>
    <row r="572" spans="2:19" x14ac:dyDescent="0.2">
      <c r="B572" s="88">
        <f t="shared" si="63"/>
        <v>34</v>
      </c>
      <c r="C572" s="10"/>
      <c r="D572" s="10"/>
      <c r="E572" s="10"/>
      <c r="F572" s="29" t="s">
        <v>236</v>
      </c>
      <c r="G572" s="10">
        <v>710</v>
      </c>
      <c r="H572" s="10" t="s">
        <v>188</v>
      </c>
      <c r="I572" s="27"/>
      <c r="J572" s="27"/>
      <c r="K572" s="250">
        <f t="shared" si="62"/>
        <v>0</v>
      </c>
      <c r="L572" s="259"/>
      <c r="M572" s="315">
        <f>M573</f>
        <v>100000</v>
      </c>
      <c r="N572" s="27">
        <f>N573</f>
        <v>0</v>
      </c>
      <c r="O572" s="250">
        <f t="shared" si="58"/>
        <v>100000</v>
      </c>
      <c r="P572" s="259"/>
      <c r="Q572" s="309">
        <f t="shared" si="59"/>
        <v>100000</v>
      </c>
      <c r="R572" s="91">
        <f t="shared" si="60"/>
        <v>0</v>
      </c>
      <c r="S572" s="91">
        <f t="shared" si="61"/>
        <v>100000</v>
      </c>
    </row>
    <row r="573" spans="2:19" x14ac:dyDescent="0.2">
      <c r="B573" s="88">
        <f t="shared" si="63"/>
        <v>35</v>
      </c>
      <c r="C573" s="4"/>
      <c r="D573" s="4"/>
      <c r="E573" s="4"/>
      <c r="F573" s="30" t="s">
        <v>236</v>
      </c>
      <c r="G573" s="4">
        <v>713</v>
      </c>
      <c r="H573" s="4" t="s">
        <v>235</v>
      </c>
      <c r="I573" s="23"/>
      <c r="J573" s="23"/>
      <c r="K573" s="220">
        <f t="shared" si="62"/>
        <v>0</v>
      </c>
      <c r="L573" s="259"/>
      <c r="M573" s="227">
        <f>M574</f>
        <v>100000</v>
      </c>
      <c r="N573" s="23">
        <f>N574</f>
        <v>0</v>
      </c>
      <c r="O573" s="220">
        <f t="shared" si="58"/>
        <v>100000</v>
      </c>
      <c r="P573" s="259"/>
      <c r="Q573" s="308">
        <f t="shared" si="59"/>
        <v>100000</v>
      </c>
      <c r="R573" s="92">
        <f t="shared" si="60"/>
        <v>0</v>
      </c>
      <c r="S573" s="92">
        <f t="shared" si="61"/>
        <v>100000</v>
      </c>
    </row>
    <row r="574" spans="2:19" x14ac:dyDescent="0.2">
      <c r="B574" s="88">
        <f t="shared" si="63"/>
        <v>36</v>
      </c>
      <c r="C574" s="5"/>
      <c r="D574" s="5"/>
      <c r="E574" s="5"/>
      <c r="F574" s="35"/>
      <c r="G574" s="5"/>
      <c r="H574" s="5" t="s">
        <v>365</v>
      </c>
      <c r="I574" s="25"/>
      <c r="J574" s="25"/>
      <c r="K574" s="251">
        <f t="shared" si="62"/>
        <v>0</v>
      </c>
      <c r="L574" s="259"/>
      <c r="M574" s="337">
        <v>100000</v>
      </c>
      <c r="N574" s="25"/>
      <c r="O574" s="251">
        <f t="shared" si="58"/>
        <v>100000</v>
      </c>
      <c r="P574" s="259"/>
      <c r="Q574" s="332">
        <f t="shared" si="59"/>
        <v>100000</v>
      </c>
      <c r="R574" s="93">
        <f t="shared" si="60"/>
        <v>0</v>
      </c>
      <c r="S574" s="93">
        <f t="shared" si="61"/>
        <v>100000</v>
      </c>
    </row>
    <row r="575" spans="2:19" ht="15" x14ac:dyDescent="0.2">
      <c r="B575" s="88">
        <f t="shared" si="63"/>
        <v>37</v>
      </c>
      <c r="C575" s="242">
        <v>3</v>
      </c>
      <c r="D575" s="511" t="s">
        <v>240</v>
      </c>
      <c r="E575" s="509"/>
      <c r="F575" s="509"/>
      <c r="G575" s="509"/>
      <c r="H575" s="510"/>
      <c r="I575" s="40">
        <v>0</v>
      </c>
      <c r="J575" s="40"/>
      <c r="K575" s="248"/>
      <c r="L575" s="259"/>
      <c r="M575" s="318">
        <f>M576</f>
        <v>6513148</v>
      </c>
      <c r="N575" s="40">
        <f>N576</f>
        <v>877655</v>
      </c>
      <c r="O575" s="248">
        <f t="shared" si="58"/>
        <v>7390803</v>
      </c>
      <c r="P575" s="259"/>
      <c r="Q575" s="313">
        <f t="shared" si="59"/>
        <v>6513148</v>
      </c>
      <c r="R575" s="89">
        <f t="shared" si="60"/>
        <v>877655</v>
      </c>
      <c r="S575" s="89">
        <f t="shared" si="61"/>
        <v>7390803</v>
      </c>
    </row>
    <row r="576" spans="2:19" x14ac:dyDescent="0.2">
      <c r="B576" s="88">
        <f t="shared" si="63"/>
        <v>38</v>
      </c>
      <c r="C576" s="10"/>
      <c r="D576" s="10"/>
      <c r="E576" s="10"/>
      <c r="F576" s="29" t="s">
        <v>236</v>
      </c>
      <c r="G576" s="10">
        <v>710</v>
      </c>
      <c r="H576" s="10" t="s">
        <v>188</v>
      </c>
      <c r="I576" s="27"/>
      <c r="J576" s="27"/>
      <c r="K576" s="250"/>
      <c r="L576" s="259"/>
      <c r="M576" s="315">
        <f>M579+M597</f>
        <v>6513148</v>
      </c>
      <c r="N576" s="27">
        <f>N579+N597+N577</f>
        <v>877655</v>
      </c>
      <c r="O576" s="250">
        <f t="shared" si="58"/>
        <v>7390803</v>
      </c>
      <c r="P576" s="259"/>
      <c r="Q576" s="309">
        <f t="shared" si="59"/>
        <v>6513148</v>
      </c>
      <c r="R576" s="91">
        <f t="shared" si="60"/>
        <v>877655</v>
      </c>
      <c r="S576" s="91">
        <f t="shared" si="61"/>
        <v>7390803</v>
      </c>
    </row>
    <row r="577" spans="2:43" x14ac:dyDescent="0.2">
      <c r="B577" s="88">
        <f t="shared" si="63"/>
        <v>39</v>
      </c>
      <c r="C577" s="10"/>
      <c r="D577" s="10"/>
      <c r="E577" s="10"/>
      <c r="F577" s="30" t="s">
        <v>236</v>
      </c>
      <c r="G577" s="4">
        <v>711</v>
      </c>
      <c r="H577" s="4" t="s">
        <v>225</v>
      </c>
      <c r="I577" s="23"/>
      <c r="J577" s="23"/>
      <c r="K577" s="220"/>
      <c r="L577" s="259"/>
      <c r="M577" s="227">
        <f>M578</f>
        <v>0</v>
      </c>
      <c r="N577" s="23">
        <f>SUM(N578:N594)</f>
        <v>576000</v>
      </c>
      <c r="O577" s="220">
        <f t="shared" ref="O577:O578" si="67">M577+N577</f>
        <v>576000</v>
      </c>
      <c r="P577" s="259"/>
      <c r="Q577" s="308">
        <f t="shared" ref="Q577:Q578" si="68">I577+M577</f>
        <v>0</v>
      </c>
      <c r="R577" s="92">
        <f t="shared" ref="R577:R578" si="69">J577+N577</f>
        <v>576000</v>
      </c>
      <c r="S577" s="92">
        <f t="shared" ref="S577:S578" si="70">K577+O577</f>
        <v>576000</v>
      </c>
    </row>
    <row r="578" spans="2:43" x14ac:dyDescent="0.2">
      <c r="B578" s="88">
        <f t="shared" si="63"/>
        <v>40</v>
      </c>
      <c r="C578" s="10"/>
      <c r="D578" s="10"/>
      <c r="E578" s="10"/>
      <c r="F578" s="31"/>
      <c r="G578" s="5"/>
      <c r="H578" s="5" t="s">
        <v>677</v>
      </c>
      <c r="I578" s="25"/>
      <c r="J578" s="25"/>
      <c r="K578" s="251"/>
      <c r="L578" s="259"/>
      <c r="M578" s="337">
        <v>0</v>
      </c>
      <c r="N578" s="25">
        <v>576000</v>
      </c>
      <c r="O578" s="251">
        <f t="shared" si="67"/>
        <v>576000</v>
      </c>
      <c r="P578" s="259"/>
      <c r="Q578" s="332">
        <f t="shared" si="68"/>
        <v>0</v>
      </c>
      <c r="R578" s="93">
        <f t="shared" si="69"/>
        <v>576000</v>
      </c>
      <c r="S578" s="93">
        <f t="shared" si="70"/>
        <v>576000</v>
      </c>
    </row>
    <row r="579" spans="2:43" x14ac:dyDescent="0.2">
      <c r="B579" s="88">
        <f t="shared" si="63"/>
        <v>41</v>
      </c>
      <c r="C579" s="4"/>
      <c r="D579" s="4"/>
      <c r="E579" s="4"/>
      <c r="F579" s="30" t="s">
        <v>236</v>
      </c>
      <c r="G579" s="4">
        <v>716</v>
      </c>
      <c r="H579" s="4" t="s">
        <v>232</v>
      </c>
      <c r="I579" s="23"/>
      <c r="J579" s="23"/>
      <c r="K579" s="220"/>
      <c r="L579" s="259"/>
      <c r="M579" s="227">
        <f>SUM(M580:M596)</f>
        <v>110449</v>
      </c>
      <c r="N579" s="23">
        <f>SUM(N580:N596)</f>
        <v>0</v>
      </c>
      <c r="O579" s="220">
        <f t="shared" si="58"/>
        <v>110449</v>
      </c>
      <c r="P579" s="259"/>
      <c r="Q579" s="308">
        <f t="shared" si="59"/>
        <v>110449</v>
      </c>
      <c r="R579" s="92">
        <f t="shared" si="60"/>
        <v>0</v>
      </c>
      <c r="S579" s="92">
        <f t="shared" si="61"/>
        <v>110449</v>
      </c>
    </row>
    <row r="580" spans="2:43" x14ac:dyDescent="0.2">
      <c r="B580" s="88">
        <f t="shared" si="63"/>
        <v>42</v>
      </c>
      <c r="C580" s="5"/>
      <c r="D580" s="5"/>
      <c r="E580" s="5"/>
      <c r="F580" s="31"/>
      <c r="G580" s="5"/>
      <c r="H580" s="5" t="s">
        <v>379</v>
      </c>
      <c r="I580" s="25"/>
      <c r="J580" s="25"/>
      <c r="K580" s="251"/>
      <c r="L580" s="259"/>
      <c r="M580" s="337">
        <v>19730</v>
      </c>
      <c r="N580" s="25"/>
      <c r="O580" s="251">
        <f t="shared" si="58"/>
        <v>19730</v>
      </c>
      <c r="P580" s="259"/>
      <c r="Q580" s="332">
        <f t="shared" si="59"/>
        <v>19730</v>
      </c>
      <c r="R580" s="93">
        <f t="shared" si="60"/>
        <v>0</v>
      </c>
      <c r="S580" s="93">
        <f t="shared" si="61"/>
        <v>19730</v>
      </c>
    </row>
    <row r="581" spans="2:43" x14ac:dyDescent="0.2">
      <c r="B581" s="88">
        <f t="shared" si="63"/>
        <v>43</v>
      </c>
      <c r="C581" s="5"/>
      <c r="D581" s="5"/>
      <c r="E581" s="5"/>
      <c r="F581" s="31"/>
      <c r="G581" s="5"/>
      <c r="H581" s="5" t="s">
        <v>440</v>
      </c>
      <c r="I581" s="25"/>
      <c r="J581" s="25"/>
      <c r="K581" s="251"/>
      <c r="L581" s="259"/>
      <c r="M581" s="337">
        <v>2000</v>
      </c>
      <c r="N581" s="25"/>
      <c r="O581" s="251">
        <f t="shared" si="58"/>
        <v>2000</v>
      </c>
      <c r="P581" s="259"/>
      <c r="Q581" s="332">
        <f t="shared" si="59"/>
        <v>2000</v>
      </c>
      <c r="R581" s="93">
        <f t="shared" si="60"/>
        <v>0</v>
      </c>
      <c r="S581" s="93">
        <f t="shared" si="61"/>
        <v>2000</v>
      </c>
    </row>
    <row r="582" spans="2:43" x14ac:dyDescent="0.2">
      <c r="B582" s="88">
        <f t="shared" si="63"/>
        <v>44</v>
      </c>
      <c r="C582" s="5"/>
      <c r="D582" s="5"/>
      <c r="E582" s="5"/>
      <c r="F582" s="31"/>
      <c r="G582" s="5"/>
      <c r="H582" s="5" t="s">
        <v>380</v>
      </c>
      <c r="I582" s="25"/>
      <c r="J582" s="25"/>
      <c r="K582" s="251"/>
      <c r="L582" s="259"/>
      <c r="M582" s="337">
        <v>1250</v>
      </c>
      <c r="N582" s="25"/>
      <c r="O582" s="251">
        <f t="shared" si="58"/>
        <v>1250</v>
      </c>
      <c r="P582" s="259"/>
      <c r="Q582" s="332">
        <f t="shared" si="59"/>
        <v>1250</v>
      </c>
      <c r="R582" s="93">
        <f t="shared" si="60"/>
        <v>0</v>
      </c>
      <c r="S582" s="93">
        <f t="shared" si="61"/>
        <v>1250</v>
      </c>
    </row>
    <row r="583" spans="2:43" x14ac:dyDescent="0.2">
      <c r="B583" s="88">
        <f t="shared" si="63"/>
        <v>45</v>
      </c>
      <c r="C583" s="5"/>
      <c r="D583" s="5"/>
      <c r="E583" s="5"/>
      <c r="F583" s="31"/>
      <c r="G583" s="5"/>
      <c r="H583" s="5" t="s">
        <v>479</v>
      </c>
      <c r="I583" s="25"/>
      <c r="J583" s="25"/>
      <c r="K583" s="251"/>
      <c r="L583" s="259"/>
      <c r="M583" s="337">
        <v>5000</v>
      </c>
      <c r="N583" s="25"/>
      <c r="O583" s="251">
        <f t="shared" si="58"/>
        <v>5000</v>
      </c>
      <c r="P583" s="259"/>
      <c r="Q583" s="332">
        <f t="shared" si="59"/>
        <v>5000</v>
      </c>
      <c r="R583" s="93">
        <f t="shared" si="60"/>
        <v>0</v>
      </c>
      <c r="S583" s="93">
        <f t="shared" si="61"/>
        <v>5000</v>
      </c>
    </row>
    <row r="584" spans="2:43" x14ac:dyDescent="0.2">
      <c r="B584" s="88">
        <f t="shared" si="63"/>
        <v>46</v>
      </c>
      <c r="C584" s="5"/>
      <c r="D584" s="5"/>
      <c r="E584" s="5"/>
      <c r="F584" s="31"/>
      <c r="G584" s="5"/>
      <c r="H584" s="5" t="s">
        <v>448</v>
      </c>
      <c r="I584" s="25"/>
      <c r="J584" s="25"/>
      <c r="K584" s="251"/>
      <c r="L584" s="259"/>
      <c r="M584" s="337">
        <f>800+150</f>
        <v>950</v>
      </c>
      <c r="N584" s="25"/>
      <c r="O584" s="251">
        <f t="shared" si="58"/>
        <v>950</v>
      </c>
      <c r="P584" s="259"/>
      <c r="Q584" s="332">
        <f t="shared" si="59"/>
        <v>950</v>
      </c>
      <c r="R584" s="93">
        <f t="shared" si="60"/>
        <v>0</v>
      </c>
      <c r="S584" s="93">
        <f t="shared" si="61"/>
        <v>950</v>
      </c>
    </row>
    <row r="585" spans="2:43" x14ac:dyDescent="0.2">
      <c r="B585" s="88">
        <f t="shared" si="63"/>
        <v>47</v>
      </c>
      <c r="C585" s="5"/>
      <c r="D585" s="5"/>
      <c r="E585" s="5"/>
      <c r="F585" s="31"/>
      <c r="G585" s="5"/>
      <c r="H585" s="5" t="s">
        <v>37</v>
      </c>
      <c r="I585" s="25"/>
      <c r="J585" s="25"/>
      <c r="K585" s="251"/>
      <c r="L585" s="259"/>
      <c r="M585" s="337">
        <f>2000+9000</f>
        <v>11000</v>
      </c>
      <c r="N585" s="25"/>
      <c r="O585" s="251">
        <f t="shared" si="58"/>
        <v>11000</v>
      </c>
      <c r="P585" s="259"/>
      <c r="Q585" s="332">
        <f t="shared" si="59"/>
        <v>11000</v>
      </c>
      <c r="R585" s="93">
        <f t="shared" si="60"/>
        <v>0</v>
      </c>
      <c r="S585" s="93">
        <f t="shared" si="61"/>
        <v>11000</v>
      </c>
    </row>
    <row r="586" spans="2:43" x14ac:dyDescent="0.2">
      <c r="B586" s="88">
        <f t="shared" si="63"/>
        <v>48</v>
      </c>
      <c r="C586" s="5"/>
      <c r="D586" s="5"/>
      <c r="E586" s="5"/>
      <c r="F586" s="31"/>
      <c r="G586" s="5"/>
      <c r="H586" s="5" t="s">
        <v>486</v>
      </c>
      <c r="I586" s="25"/>
      <c r="J586" s="25"/>
      <c r="K586" s="251"/>
      <c r="L586" s="259"/>
      <c r="M586" s="337">
        <v>10000</v>
      </c>
      <c r="N586" s="25"/>
      <c r="O586" s="251">
        <f t="shared" si="58"/>
        <v>10000</v>
      </c>
      <c r="P586" s="259"/>
      <c r="Q586" s="332">
        <f t="shared" si="59"/>
        <v>10000</v>
      </c>
      <c r="R586" s="93">
        <f t="shared" si="60"/>
        <v>0</v>
      </c>
      <c r="S586" s="93">
        <f t="shared" si="61"/>
        <v>10000</v>
      </c>
    </row>
    <row r="587" spans="2:43" x14ac:dyDescent="0.2">
      <c r="B587" s="88">
        <f t="shared" si="63"/>
        <v>49</v>
      </c>
      <c r="C587" s="50"/>
      <c r="D587" s="50"/>
      <c r="E587" s="50"/>
      <c r="F587" s="170"/>
      <c r="G587" s="50"/>
      <c r="H587" s="50" t="s">
        <v>500</v>
      </c>
      <c r="I587" s="26"/>
      <c r="J587" s="26"/>
      <c r="K587" s="376"/>
      <c r="L587" s="259"/>
      <c r="M587" s="380">
        <v>3000</v>
      </c>
      <c r="N587" s="26"/>
      <c r="O587" s="376">
        <f t="shared" si="58"/>
        <v>3000</v>
      </c>
      <c r="P587" s="259"/>
      <c r="Q587" s="371">
        <f t="shared" si="59"/>
        <v>3000</v>
      </c>
      <c r="R587" s="117">
        <f t="shared" si="60"/>
        <v>0</v>
      </c>
      <c r="S587" s="117">
        <f t="shared" si="61"/>
        <v>3000</v>
      </c>
    </row>
    <row r="588" spans="2:43" x14ac:dyDescent="0.2">
      <c r="B588" s="88">
        <f t="shared" si="63"/>
        <v>50</v>
      </c>
      <c r="C588" s="5"/>
      <c r="D588" s="5"/>
      <c r="E588" s="5"/>
      <c r="F588" s="31"/>
      <c r="G588" s="5"/>
      <c r="H588" s="50" t="s">
        <v>382</v>
      </c>
      <c r="I588" s="26"/>
      <c r="J588" s="26"/>
      <c r="K588" s="376"/>
      <c r="L588" s="259"/>
      <c r="M588" s="380">
        <f>25000+10500+10000</f>
        <v>45500</v>
      </c>
      <c r="N588" s="26"/>
      <c r="O588" s="376">
        <f t="shared" si="58"/>
        <v>45500</v>
      </c>
      <c r="P588" s="259"/>
      <c r="Q588" s="371">
        <f t="shared" si="59"/>
        <v>45500</v>
      </c>
      <c r="R588" s="117">
        <f t="shared" si="60"/>
        <v>0</v>
      </c>
      <c r="S588" s="117">
        <f t="shared" si="61"/>
        <v>45500</v>
      </c>
    </row>
    <row r="589" spans="2:43" x14ac:dyDescent="0.2">
      <c r="B589" s="88">
        <f t="shared" si="63"/>
        <v>51</v>
      </c>
      <c r="C589" s="5"/>
      <c r="D589" s="5"/>
      <c r="E589" s="5"/>
      <c r="F589" s="31"/>
      <c r="G589" s="5"/>
      <c r="H589" s="5" t="s">
        <v>296</v>
      </c>
      <c r="I589" s="25"/>
      <c r="J589" s="25"/>
      <c r="K589" s="251"/>
      <c r="L589" s="259"/>
      <c r="M589" s="337">
        <f>1480-388</f>
        <v>1092</v>
      </c>
      <c r="N589" s="25"/>
      <c r="O589" s="251">
        <f t="shared" si="58"/>
        <v>1092</v>
      </c>
      <c r="P589" s="259"/>
      <c r="Q589" s="332">
        <f t="shared" si="59"/>
        <v>1092</v>
      </c>
      <c r="R589" s="93">
        <f t="shared" si="60"/>
        <v>0</v>
      </c>
      <c r="S589" s="93">
        <f t="shared" si="61"/>
        <v>1092</v>
      </c>
    </row>
    <row r="590" spans="2:43" x14ac:dyDescent="0.2">
      <c r="B590" s="88">
        <f t="shared" si="63"/>
        <v>52</v>
      </c>
      <c r="C590" s="5"/>
      <c r="D590" s="5"/>
      <c r="E590" s="5"/>
      <c r="F590" s="31"/>
      <c r="G590" s="5"/>
      <c r="H590" s="5" t="s">
        <v>524</v>
      </c>
      <c r="I590" s="25"/>
      <c r="J590" s="25"/>
      <c r="K590" s="251"/>
      <c r="L590" s="259"/>
      <c r="M590" s="337">
        <f>227+200</f>
        <v>427</v>
      </c>
      <c r="N590" s="25"/>
      <c r="O590" s="251">
        <f t="shared" si="58"/>
        <v>427</v>
      </c>
      <c r="P590" s="259"/>
      <c r="Q590" s="332">
        <f t="shared" si="59"/>
        <v>427</v>
      </c>
      <c r="R590" s="93">
        <f t="shared" si="60"/>
        <v>0</v>
      </c>
      <c r="S590" s="93">
        <f t="shared" si="61"/>
        <v>427</v>
      </c>
    </row>
    <row r="591" spans="2:43" s="47" customFormat="1" ht="33.75" x14ac:dyDescent="0.2">
      <c r="B591" s="299">
        <f t="shared" si="63"/>
        <v>53</v>
      </c>
      <c r="C591" s="154"/>
      <c r="D591" s="154"/>
      <c r="E591" s="154"/>
      <c r="F591" s="155"/>
      <c r="G591" s="154"/>
      <c r="H591" s="300" t="s">
        <v>622</v>
      </c>
      <c r="I591" s="156"/>
      <c r="J591" s="156"/>
      <c r="K591" s="256"/>
      <c r="L591" s="335"/>
      <c r="M591" s="338">
        <f>500-320</f>
        <v>180</v>
      </c>
      <c r="N591" s="156"/>
      <c r="O591" s="256">
        <f t="shared" si="58"/>
        <v>180</v>
      </c>
      <c r="P591" s="335"/>
      <c r="Q591" s="341">
        <f t="shared" si="59"/>
        <v>180</v>
      </c>
      <c r="R591" s="157">
        <f t="shared" si="60"/>
        <v>0</v>
      </c>
      <c r="S591" s="157">
        <f t="shared" si="61"/>
        <v>180</v>
      </c>
      <c r="T591" s="301"/>
      <c r="U591" s="301"/>
      <c r="V591" s="301"/>
      <c r="W591" s="301"/>
      <c r="X591" s="301"/>
      <c r="Y591" s="301"/>
      <c r="Z591" s="301"/>
      <c r="AA591" s="301"/>
      <c r="AB591" s="301"/>
      <c r="AC591" s="301"/>
      <c r="AD591" s="301"/>
      <c r="AE591" s="301"/>
      <c r="AF591" s="301"/>
      <c r="AG591" s="301"/>
      <c r="AH591" s="301"/>
      <c r="AI591" s="301"/>
      <c r="AJ591" s="301"/>
      <c r="AK591" s="301"/>
      <c r="AL591" s="301"/>
      <c r="AM591" s="301"/>
      <c r="AN591" s="301"/>
      <c r="AO591" s="301"/>
      <c r="AP591" s="301"/>
      <c r="AQ591" s="301"/>
    </row>
    <row r="592" spans="2:43" s="47" customFormat="1" ht="22.5" x14ac:dyDescent="0.2">
      <c r="B592" s="299">
        <f t="shared" si="63"/>
        <v>54</v>
      </c>
      <c r="C592" s="154"/>
      <c r="D592" s="154"/>
      <c r="E592" s="154"/>
      <c r="F592" s="155"/>
      <c r="G592" s="154"/>
      <c r="H592" s="300" t="s">
        <v>632</v>
      </c>
      <c r="I592" s="156"/>
      <c r="J592" s="156"/>
      <c r="K592" s="256"/>
      <c r="L592" s="335"/>
      <c r="M592" s="338">
        <v>320</v>
      </c>
      <c r="N592" s="156"/>
      <c r="O592" s="256">
        <f t="shared" si="58"/>
        <v>320</v>
      </c>
      <c r="P592" s="335"/>
      <c r="Q592" s="341">
        <f t="shared" si="59"/>
        <v>320</v>
      </c>
      <c r="R592" s="157">
        <f t="shared" si="60"/>
        <v>0</v>
      </c>
      <c r="S592" s="157">
        <f t="shared" si="61"/>
        <v>320</v>
      </c>
      <c r="T592" s="301"/>
      <c r="U592" s="301"/>
      <c r="V592" s="301"/>
      <c r="W592" s="301"/>
      <c r="X592" s="301"/>
      <c r="Y592" s="301"/>
      <c r="Z592" s="301"/>
      <c r="AA592" s="301"/>
      <c r="AB592" s="301"/>
      <c r="AC592" s="301"/>
      <c r="AD592" s="301"/>
      <c r="AE592" s="301"/>
      <c r="AF592" s="301"/>
      <c r="AG592" s="301"/>
      <c r="AH592" s="301"/>
      <c r="AI592" s="301"/>
      <c r="AJ592" s="301"/>
      <c r="AK592" s="301"/>
      <c r="AL592" s="301"/>
      <c r="AM592" s="301"/>
      <c r="AN592" s="301"/>
      <c r="AO592" s="301"/>
      <c r="AP592" s="301"/>
      <c r="AQ592" s="301"/>
    </row>
    <row r="593" spans="2:19" x14ac:dyDescent="0.2">
      <c r="B593" s="88">
        <f t="shared" si="63"/>
        <v>55</v>
      </c>
      <c r="C593" s="5"/>
      <c r="D593" s="5"/>
      <c r="E593" s="5"/>
      <c r="F593" s="31"/>
      <c r="G593" s="5"/>
      <c r="H593" s="50" t="s">
        <v>466</v>
      </c>
      <c r="I593" s="25"/>
      <c r="J593" s="25"/>
      <c r="K593" s="251"/>
      <c r="L593" s="259"/>
      <c r="M593" s="337">
        <v>2500</v>
      </c>
      <c r="N593" s="25"/>
      <c r="O593" s="251">
        <f t="shared" si="58"/>
        <v>2500</v>
      </c>
      <c r="P593" s="259"/>
      <c r="Q593" s="332">
        <f t="shared" si="59"/>
        <v>2500</v>
      </c>
      <c r="R593" s="93">
        <f t="shared" si="60"/>
        <v>0</v>
      </c>
      <c r="S593" s="93">
        <f t="shared" si="61"/>
        <v>2500</v>
      </c>
    </row>
    <row r="594" spans="2:19" x14ac:dyDescent="0.2">
      <c r="B594" s="88">
        <f t="shared" si="63"/>
        <v>56</v>
      </c>
      <c r="C594" s="5"/>
      <c r="D594" s="5"/>
      <c r="E594" s="5"/>
      <c r="F594" s="31"/>
      <c r="G594" s="5"/>
      <c r="H594" s="50" t="s">
        <v>539</v>
      </c>
      <c r="I594" s="25"/>
      <c r="J594" s="25"/>
      <c r="K594" s="251"/>
      <c r="L594" s="259"/>
      <c r="M594" s="337">
        <v>1000</v>
      </c>
      <c r="N594" s="25"/>
      <c r="O594" s="251">
        <f t="shared" si="58"/>
        <v>1000</v>
      </c>
      <c r="P594" s="259"/>
      <c r="Q594" s="332">
        <f t="shared" si="59"/>
        <v>1000</v>
      </c>
      <c r="R594" s="93">
        <f t="shared" si="60"/>
        <v>0</v>
      </c>
      <c r="S594" s="93">
        <f t="shared" si="61"/>
        <v>1000</v>
      </c>
    </row>
    <row r="595" spans="2:19" x14ac:dyDescent="0.2">
      <c r="B595" s="88">
        <f t="shared" si="63"/>
        <v>57</v>
      </c>
      <c r="C595" s="5"/>
      <c r="D595" s="5"/>
      <c r="E595" s="5"/>
      <c r="F595" s="31"/>
      <c r="G595" s="5"/>
      <c r="H595" s="50" t="s">
        <v>471</v>
      </c>
      <c r="I595" s="25"/>
      <c r="J595" s="25"/>
      <c r="K595" s="251"/>
      <c r="L595" s="259"/>
      <c r="M595" s="337">
        <v>3000</v>
      </c>
      <c r="N595" s="25"/>
      <c r="O595" s="251">
        <f t="shared" si="58"/>
        <v>3000</v>
      </c>
      <c r="P595" s="259"/>
      <c r="Q595" s="332">
        <f t="shared" si="59"/>
        <v>3000</v>
      </c>
      <c r="R595" s="93">
        <f t="shared" si="60"/>
        <v>0</v>
      </c>
      <c r="S595" s="93">
        <f t="shared" si="61"/>
        <v>3000</v>
      </c>
    </row>
    <row r="596" spans="2:19" x14ac:dyDescent="0.2">
      <c r="B596" s="88">
        <f t="shared" si="63"/>
        <v>58</v>
      </c>
      <c r="C596" s="5"/>
      <c r="D596" s="5"/>
      <c r="E596" s="5"/>
      <c r="F596" s="31"/>
      <c r="G596" s="5"/>
      <c r="H596" s="50" t="s">
        <v>487</v>
      </c>
      <c r="I596" s="25"/>
      <c r="J596" s="25"/>
      <c r="K596" s="251"/>
      <c r="L596" s="259"/>
      <c r="M596" s="337">
        <f>3000+500</f>
        <v>3500</v>
      </c>
      <c r="N596" s="25"/>
      <c r="O596" s="251">
        <f t="shared" si="58"/>
        <v>3500</v>
      </c>
      <c r="P596" s="259"/>
      <c r="Q596" s="332">
        <f t="shared" si="59"/>
        <v>3500</v>
      </c>
      <c r="R596" s="93">
        <f t="shared" si="60"/>
        <v>0</v>
      </c>
      <c r="S596" s="93">
        <f t="shared" si="61"/>
        <v>3500</v>
      </c>
    </row>
    <row r="597" spans="2:19" x14ac:dyDescent="0.2">
      <c r="B597" s="88">
        <f t="shared" si="63"/>
        <v>59</v>
      </c>
      <c r="C597" s="4"/>
      <c r="D597" s="4"/>
      <c r="E597" s="4"/>
      <c r="F597" s="30" t="s">
        <v>236</v>
      </c>
      <c r="G597" s="4">
        <v>717</v>
      </c>
      <c r="H597" s="4" t="s">
        <v>198</v>
      </c>
      <c r="I597" s="23"/>
      <c r="J597" s="23"/>
      <c r="K597" s="220"/>
      <c r="L597" s="259"/>
      <c r="M597" s="227">
        <f>SUM(M598:M661)</f>
        <v>6402699</v>
      </c>
      <c r="N597" s="23">
        <f>SUM(N598:N661)</f>
        <v>301655</v>
      </c>
      <c r="O597" s="220">
        <f t="shared" si="58"/>
        <v>6704354</v>
      </c>
      <c r="P597" s="259"/>
      <c r="Q597" s="308">
        <f t="shared" si="59"/>
        <v>6402699</v>
      </c>
      <c r="R597" s="92">
        <f t="shared" si="60"/>
        <v>301655</v>
      </c>
      <c r="S597" s="92">
        <f t="shared" si="61"/>
        <v>6704354</v>
      </c>
    </row>
    <row r="598" spans="2:19" x14ac:dyDescent="0.2">
      <c r="B598" s="88">
        <f t="shared" si="63"/>
        <v>60</v>
      </c>
      <c r="C598" s="4"/>
      <c r="D598" s="4"/>
      <c r="E598" s="4"/>
      <c r="F598" s="30"/>
      <c r="G598" s="4"/>
      <c r="H598" s="5" t="s">
        <v>527</v>
      </c>
      <c r="I598" s="152"/>
      <c r="J598" s="152"/>
      <c r="K598" s="377"/>
      <c r="L598" s="259"/>
      <c r="M598" s="337">
        <v>41000</v>
      </c>
      <c r="N598" s="25"/>
      <c r="O598" s="251">
        <f t="shared" si="58"/>
        <v>41000</v>
      </c>
      <c r="P598" s="259"/>
      <c r="Q598" s="332">
        <f t="shared" si="59"/>
        <v>41000</v>
      </c>
      <c r="R598" s="93">
        <f t="shared" si="60"/>
        <v>0</v>
      </c>
      <c r="S598" s="93">
        <f t="shared" si="61"/>
        <v>41000</v>
      </c>
    </row>
    <row r="599" spans="2:19" x14ac:dyDescent="0.2">
      <c r="B599" s="88">
        <f t="shared" si="63"/>
        <v>61</v>
      </c>
      <c r="C599" s="4"/>
      <c r="D599" s="4"/>
      <c r="E599" s="4"/>
      <c r="F599" s="30"/>
      <c r="G599" s="4"/>
      <c r="H599" s="5" t="s">
        <v>678</v>
      </c>
      <c r="I599" s="152"/>
      <c r="J599" s="152"/>
      <c r="K599" s="377"/>
      <c r="L599" s="259"/>
      <c r="M599" s="337">
        <v>0</v>
      </c>
      <c r="N599" s="25">
        <v>121763</v>
      </c>
      <c r="O599" s="251">
        <f t="shared" si="58"/>
        <v>121763</v>
      </c>
      <c r="P599" s="259"/>
      <c r="Q599" s="332">
        <f t="shared" si="59"/>
        <v>0</v>
      </c>
      <c r="R599" s="93"/>
      <c r="S599" s="93">
        <f t="shared" si="61"/>
        <v>121763</v>
      </c>
    </row>
    <row r="600" spans="2:19" x14ac:dyDescent="0.2">
      <c r="B600" s="88">
        <f t="shared" si="63"/>
        <v>62</v>
      </c>
      <c r="C600" s="4"/>
      <c r="D600" s="4"/>
      <c r="E600" s="4"/>
      <c r="F600" s="30"/>
      <c r="G600" s="4"/>
      <c r="H600" s="5" t="s">
        <v>388</v>
      </c>
      <c r="I600" s="152"/>
      <c r="J600" s="152"/>
      <c r="K600" s="377"/>
      <c r="L600" s="259"/>
      <c r="M600" s="337">
        <f>50000+45000</f>
        <v>95000</v>
      </c>
      <c r="N600" s="25"/>
      <c r="O600" s="251">
        <f t="shared" si="58"/>
        <v>95000</v>
      </c>
      <c r="P600" s="259"/>
      <c r="Q600" s="332">
        <f t="shared" si="59"/>
        <v>95000</v>
      </c>
      <c r="R600" s="93">
        <f t="shared" si="60"/>
        <v>0</v>
      </c>
      <c r="S600" s="93">
        <f t="shared" si="61"/>
        <v>95000</v>
      </c>
    </row>
    <row r="601" spans="2:19" x14ac:dyDescent="0.2">
      <c r="B601" s="88">
        <f t="shared" si="63"/>
        <v>63</v>
      </c>
      <c r="C601" s="5"/>
      <c r="D601" s="5"/>
      <c r="E601" s="5"/>
      <c r="F601" s="31"/>
      <c r="G601" s="5"/>
      <c r="H601" s="5" t="s">
        <v>465</v>
      </c>
      <c r="I601" s="25"/>
      <c r="J601" s="25"/>
      <c r="K601" s="251"/>
      <c r="L601" s="259"/>
      <c r="M601" s="349">
        <f>100316-30000</f>
        <v>70316</v>
      </c>
      <c r="N601" s="44"/>
      <c r="O601" s="354">
        <f t="shared" si="58"/>
        <v>70316</v>
      </c>
      <c r="P601" s="259"/>
      <c r="Q601" s="332">
        <f t="shared" si="59"/>
        <v>70316</v>
      </c>
      <c r="R601" s="93">
        <f t="shared" si="60"/>
        <v>0</v>
      </c>
      <c r="S601" s="93">
        <f t="shared" si="61"/>
        <v>70316</v>
      </c>
    </row>
    <row r="602" spans="2:19" x14ac:dyDescent="0.2">
      <c r="B602" s="88">
        <f t="shared" si="63"/>
        <v>64</v>
      </c>
      <c r="C602" s="5"/>
      <c r="D602" s="5"/>
      <c r="E602" s="5"/>
      <c r="F602" s="31"/>
      <c r="G602" s="5"/>
      <c r="H602" s="5" t="s">
        <v>679</v>
      </c>
      <c r="I602" s="25"/>
      <c r="J602" s="25"/>
      <c r="K602" s="251"/>
      <c r="L602" s="259"/>
      <c r="M602" s="349">
        <v>0</v>
      </c>
      <c r="N602" s="44">
        <v>179892</v>
      </c>
      <c r="O602" s="354">
        <f t="shared" ref="O602" si="71">M602+N602</f>
        <v>179892</v>
      </c>
      <c r="P602" s="259"/>
      <c r="Q602" s="332">
        <f t="shared" ref="Q602" si="72">I602+M602</f>
        <v>0</v>
      </c>
      <c r="R602" s="93">
        <f t="shared" ref="R602" si="73">J602+N602</f>
        <v>179892</v>
      </c>
      <c r="S602" s="93">
        <f t="shared" ref="S602" si="74">K602+O602</f>
        <v>179892</v>
      </c>
    </row>
    <row r="603" spans="2:19" x14ac:dyDescent="0.2">
      <c r="B603" s="88">
        <f t="shared" si="63"/>
        <v>65</v>
      </c>
      <c r="C603" s="5"/>
      <c r="D603" s="5"/>
      <c r="E603" s="5"/>
      <c r="F603" s="31"/>
      <c r="G603" s="5"/>
      <c r="H603" s="5" t="s">
        <v>39</v>
      </c>
      <c r="I603" s="25"/>
      <c r="J603" s="25"/>
      <c r="K603" s="251"/>
      <c r="L603" s="259"/>
      <c r="M603" s="349">
        <v>16900</v>
      </c>
      <c r="N603" s="44"/>
      <c r="O603" s="354">
        <f t="shared" si="58"/>
        <v>16900</v>
      </c>
      <c r="P603" s="259"/>
      <c r="Q603" s="332">
        <f t="shared" si="59"/>
        <v>16900</v>
      </c>
      <c r="R603" s="93">
        <f t="shared" si="60"/>
        <v>0</v>
      </c>
      <c r="S603" s="93">
        <f t="shared" si="61"/>
        <v>16900</v>
      </c>
    </row>
    <row r="604" spans="2:19" x14ac:dyDescent="0.2">
      <c r="B604" s="88">
        <f t="shared" si="63"/>
        <v>66</v>
      </c>
      <c r="C604" s="5"/>
      <c r="D604" s="5"/>
      <c r="E604" s="5"/>
      <c r="F604" s="31"/>
      <c r="G604" s="5"/>
      <c r="H604" s="5" t="s">
        <v>38</v>
      </c>
      <c r="I604" s="25"/>
      <c r="J604" s="25"/>
      <c r="K604" s="251"/>
      <c r="L604" s="259"/>
      <c r="M604" s="349">
        <v>13550</v>
      </c>
      <c r="N604" s="44"/>
      <c r="O604" s="354">
        <f t="shared" si="58"/>
        <v>13550</v>
      </c>
      <c r="P604" s="259"/>
      <c r="Q604" s="332">
        <f t="shared" si="59"/>
        <v>13550</v>
      </c>
      <c r="R604" s="93">
        <f t="shared" si="60"/>
        <v>0</v>
      </c>
      <c r="S604" s="93">
        <f t="shared" si="61"/>
        <v>13550</v>
      </c>
    </row>
    <row r="605" spans="2:19" x14ac:dyDescent="0.2">
      <c r="B605" s="88">
        <f t="shared" si="63"/>
        <v>67</v>
      </c>
      <c r="C605" s="5"/>
      <c r="D605" s="5"/>
      <c r="E605" s="5"/>
      <c r="F605" s="31"/>
      <c r="G605" s="5"/>
      <c r="H605" s="5" t="s">
        <v>468</v>
      </c>
      <c r="I605" s="25"/>
      <c r="J605" s="25"/>
      <c r="K605" s="251"/>
      <c r="L605" s="259"/>
      <c r="M605" s="349">
        <f>90000-12000</f>
        <v>78000</v>
      </c>
      <c r="N605" s="44"/>
      <c r="O605" s="354">
        <f t="shared" si="58"/>
        <v>78000</v>
      </c>
      <c r="P605" s="259"/>
      <c r="Q605" s="332">
        <f t="shared" si="59"/>
        <v>78000</v>
      </c>
      <c r="R605" s="93">
        <f t="shared" si="60"/>
        <v>0</v>
      </c>
      <c r="S605" s="93">
        <f t="shared" si="61"/>
        <v>78000</v>
      </c>
    </row>
    <row r="606" spans="2:19" x14ac:dyDescent="0.2">
      <c r="B606" s="88">
        <f t="shared" si="63"/>
        <v>68</v>
      </c>
      <c r="C606" s="5"/>
      <c r="D606" s="5"/>
      <c r="E606" s="5"/>
      <c r="F606" s="31"/>
      <c r="G606" s="5"/>
      <c r="H606" s="5" t="s">
        <v>480</v>
      </c>
      <c r="I606" s="25"/>
      <c r="J606" s="25"/>
      <c r="K606" s="251"/>
      <c r="L606" s="259"/>
      <c r="M606" s="349">
        <v>60000</v>
      </c>
      <c r="N606" s="44"/>
      <c r="O606" s="354">
        <f t="shared" si="58"/>
        <v>60000</v>
      </c>
      <c r="P606" s="259"/>
      <c r="Q606" s="332">
        <f t="shared" si="59"/>
        <v>60000</v>
      </c>
      <c r="R606" s="93">
        <f t="shared" si="60"/>
        <v>0</v>
      </c>
      <c r="S606" s="93">
        <f t="shared" si="61"/>
        <v>60000</v>
      </c>
    </row>
    <row r="607" spans="2:19" x14ac:dyDescent="0.2">
      <c r="B607" s="88">
        <f t="shared" si="63"/>
        <v>69</v>
      </c>
      <c r="C607" s="5"/>
      <c r="D607" s="5"/>
      <c r="E607" s="5"/>
      <c r="F607" s="31"/>
      <c r="G607" s="5"/>
      <c r="H607" s="5" t="s">
        <v>488</v>
      </c>
      <c r="I607" s="25"/>
      <c r="J607" s="25"/>
      <c r="K607" s="251"/>
      <c r="L607" s="259"/>
      <c r="M607" s="349">
        <v>92000</v>
      </c>
      <c r="N607" s="44"/>
      <c r="O607" s="354">
        <f t="shared" si="58"/>
        <v>92000</v>
      </c>
      <c r="P607" s="259"/>
      <c r="Q607" s="332">
        <f t="shared" si="59"/>
        <v>92000</v>
      </c>
      <c r="R607" s="93">
        <f t="shared" si="60"/>
        <v>0</v>
      </c>
      <c r="S607" s="93">
        <f t="shared" si="61"/>
        <v>92000</v>
      </c>
    </row>
    <row r="608" spans="2:19" x14ac:dyDescent="0.2">
      <c r="B608" s="88">
        <f t="shared" si="63"/>
        <v>70</v>
      </c>
      <c r="C608" s="5"/>
      <c r="D608" s="5"/>
      <c r="E608" s="5"/>
      <c r="F608" s="31"/>
      <c r="G608" s="5"/>
      <c r="H608" s="5" t="s">
        <v>539</v>
      </c>
      <c r="I608" s="25"/>
      <c r="J608" s="25"/>
      <c r="K608" s="251"/>
      <c r="L608" s="265"/>
      <c r="M608" s="349">
        <v>13000</v>
      </c>
      <c r="N608" s="44"/>
      <c r="O608" s="354">
        <f t="shared" ref="O608:O661" si="75">M608+N608</f>
        <v>13000</v>
      </c>
      <c r="P608" s="265"/>
      <c r="Q608" s="332">
        <f t="shared" ref="Q608:Q659" si="76">I608+M608</f>
        <v>13000</v>
      </c>
      <c r="R608" s="93">
        <f t="shared" ref="R608:R661" si="77">J608+N608</f>
        <v>0</v>
      </c>
      <c r="S608" s="93">
        <f t="shared" ref="S608:S661" si="78">K608+O608</f>
        <v>13000</v>
      </c>
    </row>
    <row r="609" spans="2:43" x14ac:dyDescent="0.2">
      <c r="B609" s="88">
        <f t="shared" si="63"/>
        <v>71</v>
      </c>
      <c r="C609" s="5"/>
      <c r="D609" s="5"/>
      <c r="E609" s="5"/>
      <c r="F609" s="31"/>
      <c r="G609" s="5"/>
      <c r="H609" s="5" t="s">
        <v>469</v>
      </c>
      <c r="I609" s="25"/>
      <c r="J609" s="25"/>
      <c r="K609" s="251"/>
      <c r="L609" s="264"/>
      <c r="M609" s="349">
        <v>90000</v>
      </c>
      <c r="N609" s="44"/>
      <c r="O609" s="354">
        <f t="shared" si="75"/>
        <v>90000</v>
      </c>
      <c r="P609" s="264"/>
      <c r="Q609" s="332">
        <f t="shared" si="76"/>
        <v>90000</v>
      </c>
      <c r="R609" s="93">
        <f t="shared" si="77"/>
        <v>0</v>
      </c>
      <c r="S609" s="93">
        <f t="shared" si="78"/>
        <v>90000</v>
      </c>
    </row>
    <row r="610" spans="2:43" x14ac:dyDescent="0.2">
      <c r="B610" s="88">
        <f t="shared" ref="B610:B611" si="79">B609+1</f>
        <v>72</v>
      </c>
      <c r="C610" s="5"/>
      <c r="D610" s="5"/>
      <c r="E610" s="5"/>
      <c r="F610" s="31"/>
      <c r="G610" s="5"/>
      <c r="H610" s="5" t="s">
        <v>441</v>
      </c>
      <c r="I610" s="25"/>
      <c r="J610" s="25"/>
      <c r="K610" s="251"/>
      <c r="L610" s="259"/>
      <c r="M610" s="349">
        <v>70000</v>
      </c>
      <c r="N610" s="44"/>
      <c r="O610" s="354">
        <f t="shared" si="75"/>
        <v>70000</v>
      </c>
      <c r="P610" s="259"/>
      <c r="Q610" s="332">
        <f t="shared" si="76"/>
        <v>70000</v>
      </c>
      <c r="R610" s="93">
        <f t="shared" si="77"/>
        <v>0</v>
      </c>
      <c r="S610" s="93">
        <f t="shared" si="78"/>
        <v>70000</v>
      </c>
    </row>
    <row r="611" spans="2:43" x14ac:dyDescent="0.2">
      <c r="B611" s="88">
        <f t="shared" si="79"/>
        <v>73</v>
      </c>
      <c r="C611" s="5"/>
      <c r="D611" s="5"/>
      <c r="E611" s="5"/>
      <c r="F611" s="31"/>
      <c r="G611" s="5"/>
      <c r="H611" s="5" t="s">
        <v>440</v>
      </c>
      <c r="I611" s="25"/>
      <c r="J611" s="25"/>
      <c r="K611" s="251"/>
      <c r="L611" s="259"/>
      <c r="M611" s="349">
        <f>120000-2000+47000+25000</f>
        <v>190000</v>
      </c>
      <c r="N611" s="44"/>
      <c r="O611" s="354">
        <f t="shared" si="75"/>
        <v>190000</v>
      </c>
      <c r="P611" s="259"/>
      <c r="Q611" s="332">
        <f t="shared" si="76"/>
        <v>190000</v>
      </c>
      <c r="R611" s="93">
        <f t="shared" si="77"/>
        <v>0</v>
      </c>
      <c r="S611" s="93">
        <f t="shared" si="78"/>
        <v>190000</v>
      </c>
    </row>
    <row r="612" spans="2:43" x14ac:dyDescent="0.2">
      <c r="B612" s="88">
        <f t="shared" ref="B612:B650" si="80">B611+1</f>
        <v>74</v>
      </c>
      <c r="C612" s="5"/>
      <c r="D612" s="5"/>
      <c r="E612" s="5"/>
      <c r="F612" s="31"/>
      <c r="G612" s="5"/>
      <c r="H612" s="5" t="s">
        <v>569</v>
      </c>
      <c r="I612" s="25"/>
      <c r="J612" s="25"/>
      <c r="K612" s="251"/>
      <c r="L612" s="259"/>
      <c r="M612" s="349">
        <v>12100</v>
      </c>
      <c r="N612" s="44"/>
      <c r="O612" s="354">
        <f t="shared" si="75"/>
        <v>12100</v>
      </c>
      <c r="P612" s="259"/>
      <c r="Q612" s="332">
        <f t="shared" si="76"/>
        <v>12100</v>
      </c>
      <c r="R612" s="93">
        <f t="shared" si="77"/>
        <v>0</v>
      </c>
      <c r="S612" s="93">
        <f t="shared" si="78"/>
        <v>12100</v>
      </c>
    </row>
    <row r="613" spans="2:43" x14ac:dyDescent="0.2">
      <c r="B613" s="88">
        <f t="shared" si="80"/>
        <v>75</v>
      </c>
      <c r="C613" s="5"/>
      <c r="D613" s="5"/>
      <c r="E613" s="5"/>
      <c r="F613" s="31"/>
      <c r="G613" s="5"/>
      <c r="H613" s="5" t="s">
        <v>478</v>
      </c>
      <c r="I613" s="25"/>
      <c r="J613" s="25"/>
      <c r="K613" s="251"/>
      <c r="L613" s="259"/>
      <c r="M613" s="349">
        <f>1300+45000+388</f>
        <v>46688</v>
      </c>
      <c r="N613" s="44"/>
      <c r="O613" s="354">
        <f t="shared" si="75"/>
        <v>46688</v>
      </c>
      <c r="P613" s="259"/>
      <c r="Q613" s="332">
        <f t="shared" si="76"/>
        <v>46688</v>
      </c>
      <c r="R613" s="93">
        <f t="shared" si="77"/>
        <v>0</v>
      </c>
      <c r="S613" s="93">
        <f t="shared" si="78"/>
        <v>46688</v>
      </c>
    </row>
    <row r="614" spans="2:43" x14ac:dyDescent="0.2">
      <c r="B614" s="88">
        <f t="shared" si="80"/>
        <v>76</v>
      </c>
      <c r="C614" s="4"/>
      <c r="D614" s="4"/>
      <c r="E614" s="4"/>
      <c r="F614" s="30"/>
      <c r="G614" s="4"/>
      <c r="H614" s="5" t="s">
        <v>458</v>
      </c>
      <c r="I614" s="152"/>
      <c r="J614" s="152"/>
      <c r="K614" s="377"/>
      <c r="L614" s="259"/>
      <c r="M614" s="337">
        <v>300000</v>
      </c>
      <c r="N614" s="25"/>
      <c r="O614" s="251">
        <f t="shared" si="75"/>
        <v>300000</v>
      </c>
      <c r="P614" s="259"/>
      <c r="Q614" s="332">
        <f t="shared" si="76"/>
        <v>300000</v>
      </c>
      <c r="R614" s="93">
        <f t="shared" si="77"/>
        <v>0</v>
      </c>
      <c r="S614" s="93">
        <f t="shared" si="78"/>
        <v>300000</v>
      </c>
    </row>
    <row r="615" spans="2:43" x14ac:dyDescent="0.2">
      <c r="B615" s="88">
        <f t="shared" si="80"/>
        <v>77</v>
      </c>
      <c r="C615" s="4"/>
      <c r="D615" s="4"/>
      <c r="E615" s="4"/>
      <c r="F615" s="30"/>
      <c r="G615" s="4"/>
      <c r="H615" s="5" t="s">
        <v>448</v>
      </c>
      <c r="I615" s="152"/>
      <c r="J615" s="152"/>
      <c r="K615" s="377"/>
      <c r="L615" s="259"/>
      <c r="M615" s="337">
        <f>25000-800</f>
        <v>24200</v>
      </c>
      <c r="N615" s="25"/>
      <c r="O615" s="251">
        <f t="shared" si="75"/>
        <v>24200</v>
      </c>
      <c r="P615" s="259"/>
      <c r="Q615" s="332">
        <f t="shared" si="76"/>
        <v>24200</v>
      </c>
      <c r="R615" s="93">
        <f t="shared" si="77"/>
        <v>0</v>
      </c>
      <c r="S615" s="93">
        <f t="shared" si="78"/>
        <v>24200</v>
      </c>
    </row>
    <row r="616" spans="2:43" x14ac:dyDescent="0.2">
      <c r="B616" s="88">
        <f t="shared" si="80"/>
        <v>78</v>
      </c>
      <c r="C616" s="5"/>
      <c r="D616" s="5"/>
      <c r="E616" s="5"/>
      <c r="F616" s="31"/>
      <c r="G616" s="5"/>
      <c r="H616" s="5" t="s">
        <v>37</v>
      </c>
      <c r="I616" s="25"/>
      <c r="J616" s="25"/>
      <c r="K616" s="251"/>
      <c r="L616" s="259"/>
      <c r="M616" s="349">
        <f>19000-9000</f>
        <v>10000</v>
      </c>
      <c r="N616" s="44"/>
      <c r="O616" s="354">
        <f t="shared" si="75"/>
        <v>10000</v>
      </c>
      <c r="P616" s="259"/>
      <c r="Q616" s="332">
        <f t="shared" si="76"/>
        <v>10000</v>
      </c>
      <c r="R616" s="93">
        <f t="shared" si="77"/>
        <v>0</v>
      </c>
      <c r="S616" s="93">
        <f t="shared" si="78"/>
        <v>10000</v>
      </c>
    </row>
    <row r="617" spans="2:43" x14ac:dyDescent="0.2">
      <c r="B617" s="88">
        <f t="shared" si="80"/>
        <v>79</v>
      </c>
      <c r="C617" s="4"/>
      <c r="D617" s="4"/>
      <c r="E617" s="4"/>
      <c r="F617" s="30"/>
      <c r="G617" s="4"/>
      <c r="H617" s="50" t="s">
        <v>445</v>
      </c>
      <c r="I617" s="172"/>
      <c r="J617" s="172"/>
      <c r="K617" s="378"/>
      <c r="L617" s="259"/>
      <c r="M617" s="380">
        <v>50000</v>
      </c>
      <c r="N617" s="26"/>
      <c r="O617" s="376">
        <f t="shared" si="75"/>
        <v>50000</v>
      </c>
      <c r="P617" s="259"/>
      <c r="Q617" s="332">
        <f t="shared" si="76"/>
        <v>50000</v>
      </c>
      <c r="R617" s="93">
        <f t="shared" si="77"/>
        <v>0</v>
      </c>
      <c r="S617" s="93">
        <f t="shared" si="78"/>
        <v>50000</v>
      </c>
    </row>
    <row r="618" spans="2:43" x14ac:dyDescent="0.2">
      <c r="B618" s="88">
        <f t="shared" si="80"/>
        <v>80</v>
      </c>
      <c r="C618" s="4"/>
      <c r="D618" s="4"/>
      <c r="E618" s="4"/>
      <c r="F618" s="30"/>
      <c r="G618" s="4"/>
      <c r="H618" s="50" t="s">
        <v>529</v>
      </c>
      <c r="I618" s="172"/>
      <c r="J618" s="172"/>
      <c r="K618" s="378"/>
      <c r="L618" s="259"/>
      <c r="M618" s="380">
        <v>71000</v>
      </c>
      <c r="N618" s="26"/>
      <c r="O618" s="376">
        <f t="shared" si="75"/>
        <v>71000</v>
      </c>
      <c r="P618" s="259"/>
      <c r="Q618" s="332">
        <f t="shared" si="76"/>
        <v>71000</v>
      </c>
      <c r="R618" s="93">
        <f t="shared" si="77"/>
        <v>0</v>
      </c>
      <c r="S618" s="93">
        <f t="shared" si="78"/>
        <v>71000</v>
      </c>
    </row>
    <row r="619" spans="2:43" x14ac:dyDescent="0.2">
      <c r="B619" s="88">
        <f>B639+1</f>
        <v>101</v>
      </c>
      <c r="C619" s="5"/>
      <c r="D619" s="5"/>
      <c r="E619" s="5"/>
      <c r="F619" s="31"/>
      <c r="G619" s="5"/>
      <c r="H619" s="5" t="s">
        <v>490</v>
      </c>
      <c r="I619" s="25"/>
      <c r="J619" s="25"/>
      <c r="K619" s="251"/>
      <c r="L619" s="266"/>
      <c r="M619" s="337">
        <v>35000</v>
      </c>
      <c r="N619" s="25"/>
      <c r="O619" s="251">
        <f t="shared" si="75"/>
        <v>35000</v>
      </c>
      <c r="P619" s="266"/>
      <c r="Q619" s="332">
        <f>I619+M619</f>
        <v>35000</v>
      </c>
      <c r="R619" s="93">
        <f t="shared" si="77"/>
        <v>0</v>
      </c>
      <c r="S619" s="93">
        <f t="shared" si="78"/>
        <v>35000</v>
      </c>
    </row>
    <row r="620" spans="2:43" x14ac:dyDescent="0.2">
      <c r="B620" s="88">
        <f>B618+1</f>
        <v>81</v>
      </c>
      <c r="C620" s="4"/>
      <c r="D620" s="4"/>
      <c r="E620" s="4"/>
      <c r="F620" s="30"/>
      <c r="G620" s="4"/>
      <c r="H620" s="50" t="s">
        <v>297</v>
      </c>
      <c r="I620" s="172"/>
      <c r="J620" s="172"/>
      <c r="K620" s="378"/>
      <c r="L620" s="266"/>
      <c r="M620" s="380">
        <f>41000+1050-5000</f>
        <v>37050</v>
      </c>
      <c r="N620" s="26"/>
      <c r="O620" s="376">
        <f t="shared" si="75"/>
        <v>37050</v>
      </c>
      <c r="P620" s="260"/>
      <c r="Q620" s="332">
        <f t="shared" si="76"/>
        <v>37050</v>
      </c>
      <c r="R620" s="93">
        <f t="shared" si="77"/>
        <v>0</v>
      </c>
      <c r="S620" s="93">
        <f t="shared" si="78"/>
        <v>37050</v>
      </c>
    </row>
    <row r="621" spans="2:43" x14ac:dyDescent="0.2">
      <c r="B621" s="88">
        <f t="shared" si="80"/>
        <v>82</v>
      </c>
      <c r="C621" s="5"/>
      <c r="D621" s="5"/>
      <c r="E621" s="5"/>
      <c r="F621" s="31"/>
      <c r="G621" s="5"/>
      <c r="H621" s="50" t="s">
        <v>41</v>
      </c>
      <c r="I621" s="26"/>
      <c r="J621" s="26"/>
      <c r="K621" s="376"/>
      <c r="L621" s="259"/>
      <c r="M621" s="380">
        <v>140000</v>
      </c>
      <c r="N621" s="26"/>
      <c r="O621" s="376">
        <f t="shared" si="75"/>
        <v>140000</v>
      </c>
      <c r="P621" s="259"/>
      <c r="Q621" s="332">
        <f t="shared" si="76"/>
        <v>140000</v>
      </c>
      <c r="R621" s="93">
        <f t="shared" si="77"/>
        <v>0</v>
      </c>
      <c r="S621" s="93">
        <f t="shared" si="78"/>
        <v>140000</v>
      </c>
    </row>
    <row r="622" spans="2:43" x14ac:dyDescent="0.2">
      <c r="B622" s="88">
        <f t="shared" si="80"/>
        <v>83</v>
      </c>
      <c r="C622" s="5"/>
      <c r="D622" s="5"/>
      <c r="E622" s="5"/>
      <c r="F622" s="31"/>
      <c r="G622" s="5"/>
      <c r="H622" s="50" t="s">
        <v>382</v>
      </c>
      <c r="I622" s="26"/>
      <c r="J622" s="26"/>
      <c r="K622" s="376"/>
      <c r="L622" s="259"/>
      <c r="M622" s="380">
        <f>621000-22100-20300-35000</f>
        <v>543600</v>
      </c>
      <c r="N622" s="26"/>
      <c r="O622" s="376">
        <f t="shared" si="75"/>
        <v>543600</v>
      </c>
      <c r="P622" s="259"/>
      <c r="Q622" s="332">
        <f t="shared" si="76"/>
        <v>543600</v>
      </c>
      <c r="R622" s="93">
        <f t="shared" si="77"/>
        <v>0</v>
      </c>
      <c r="S622" s="93">
        <f t="shared" si="78"/>
        <v>543600</v>
      </c>
    </row>
    <row r="623" spans="2:43" x14ac:dyDescent="0.2">
      <c r="B623" s="88">
        <f t="shared" si="80"/>
        <v>84</v>
      </c>
      <c r="C623" s="5"/>
      <c r="D623" s="5"/>
      <c r="E623" s="5"/>
      <c r="F623" s="31"/>
      <c r="G623" s="5"/>
      <c r="H623" s="50" t="s">
        <v>47</v>
      </c>
      <c r="I623" s="26"/>
      <c r="J623" s="26"/>
      <c r="K623" s="376"/>
      <c r="L623" s="259"/>
      <c r="M623" s="380">
        <v>40000</v>
      </c>
      <c r="N623" s="26"/>
      <c r="O623" s="376">
        <f t="shared" si="75"/>
        <v>40000</v>
      </c>
      <c r="P623" s="259"/>
      <c r="Q623" s="332">
        <f t="shared" si="76"/>
        <v>40000</v>
      </c>
      <c r="R623" s="93">
        <f t="shared" si="77"/>
        <v>0</v>
      </c>
      <c r="S623" s="93">
        <f t="shared" si="78"/>
        <v>40000</v>
      </c>
    </row>
    <row r="624" spans="2:43" s="47" customFormat="1" ht="33.75" x14ac:dyDescent="0.2">
      <c r="B624" s="299">
        <f t="shared" si="80"/>
        <v>85</v>
      </c>
      <c r="C624" s="154"/>
      <c r="D624" s="154"/>
      <c r="E624" s="154"/>
      <c r="F624" s="155"/>
      <c r="G624" s="154"/>
      <c r="H624" s="300" t="s">
        <v>622</v>
      </c>
      <c r="I624" s="181"/>
      <c r="J624" s="181"/>
      <c r="K624" s="342"/>
      <c r="L624" s="335"/>
      <c r="M624" s="381">
        <v>19800</v>
      </c>
      <c r="N624" s="181"/>
      <c r="O624" s="342">
        <f t="shared" si="75"/>
        <v>19800</v>
      </c>
      <c r="P624" s="335"/>
      <c r="Q624" s="341">
        <f t="shared" si="76"/>
        <v>19800</v>
      </c>
      <c r="R624" s="157">
        <f t="shared" si="77"/>
        <v>0</v>
      </c>
      <c r="S624" s="157">
        <f t="shared" si="78"/>
        <v>19800</v>
      </c>
      <c r="T624" s="301"/>
      <c r="U624" s="301"/>
      <c r="V624" s="301"/>
      <c r="W624" s="301"/>
      <c r="X624" s="301"/>
      <c r="Y624" s="301"/>
      <c r="Z624" s="301"/>
      <c r="AA624" s="301"/>
      <c r="AB624" s="301"/>
      <c r="AC624" s="301"/>
      <c r="AD624" s="301"/>
      <c r="AE624" s="301"/>
      <c r="AF624" s="301"/>
      <c r="AG624" s="301"/>
      <c r="AH624" s="301"/>
      <c r="AI624" s="301"/>
      <c r="AJ624" s="301"/>
      <c r="AK624" s="301"/>
      <c r="AL624" s="301"/>
      <c r="AM624" s="301"/>
      <c r="AN624" s="301"/>
      <c r="AO624" s="301"/>
      <c r="AP624" s="301"/>
      <c r="AQ624" s="301"/>
    </row>
    <row r="625" spans="2:19" x14ac:dyDescent="0.2">
      <c r="B625" s="88">
        <f t="shared" si="80"/>
        <v>86</v>
      </c>
      <c r="C625" s="5"/>
      <c r="D625" s="5"/>
      <c r="E625" s="5"/>
      <c r="F625" s="31"/>
      <c r="G625" s="5"/>
      <c r="H625" s="50" t="s">
        <v>299</v>
      </c>
      <c r="I625" s="26"/>
      <c r="J625" s="26"/>
      <c r="K625" s="376"/>
      <c r="L625" s="259"/>
      <c r="M625" s="380">
        <v>50000</v>
      </c>
      <c r="N625" s="26"/>
      <c r="O625" s="376">
        <f t="shared" si="75"/>
        <v>50000</v>
      </c>
      <c r="P625" s="259"/>
      <c r="Q625" s="332">
        <f t="shared" si="76"/>
        <v>50000</v>
      </c>
      <c r="R625" s="93">
        <f t="shared" si="77"/>
        <v>0</v>
      </c>
      <c r="S625" s="93">
        <f t="shared" si="78"/>
        <v>50000</v>
      </c>
    </row>
    <row r="626" spans="2:19" x14ac:dyDescent="0.2">
      <c r="B626" s="88">
        <f t="shared" si="80"/>
        <v>87</v>
      </c>
      <c r="C626" s="5"/>
      <c r="D626" s="5"/>
      <c r="E626" s="5"/>
      <c r="F626" s="31"/>
      <c r="G626" s="5"/>
      <c r="H626" s="50" t="s">
        <v>528</v>
      </c>
      <c r="I626" s="26"/>
      <c r="J626" s="26"/>
      <c r="K626" s="376"/>
      <c r="L626" s="259"/>
      <c r="M626" s="380">
        <v>11500</v>
      </c>
      <c r="N626" s="26"/>
      <c r="O626" s="376">
        <f t="shared" si="75"/>
        <v>11500</v>
      </c>
      <c r="P626" s="259"/>
      <c r="Q626" s="332">
        <f t="shared" si="76"/>
        <v>11500</v>
      </c>
      <c r="R626" s="93">
        <f t="shared" si="77"/>
        <v>0</v>
      </c>
      <c r="S626" s="93">
        <f t="shared" si="78"/>
        <v>11500</v>
      </c>
    </row>
    <row r="627" spans="2:19" x14ac:dyDescent="0.2">
      <c r="B627" s="88">
        <f t="shared" si="80"/>
        <v>88</v>
      </c>
      <c r="C627" s="5"/>
      <c r="D627" s="5"/>
      <c r="E627" s="5"/>
      <c r="F627" s="31"/>
      <c r="G627" s="5"/>
      <c r="H627" s="50" t="s">
        <v>466</v>
      </c>
      <c r="I627" s="26"/>
      <c r="J627" s="26"/>
      <c r="K627" s="376"/>
      <c r="L627" s="259"/>
      <c r="M627" s="380">
        <f>90000-2500</f>
        <v>87500</v>
      </c>
      <c r="N627" s="26"/>
      <c r="O627" s="376">
        <f t="shared" si="75"/>
        <v>87500</v>
      </c>
      <c r="P627" s="259"/>
      <c r="Q627" s="332">
        <f t="shared" si="76"/>
        <v>87500</v>
      </c>
      <c r="R627" s="93">
        <f t="shared" si="77"/>
        <v>0</v>
      </c>
      <c r="S627" s="93">
        <f t="shared" si="78"/>
        <v>87500</v>
      </c>
    </row>
    <row r="628" spans="2:19" x14ac:dyDescent="0.2">
      <c r="B628" s="88">
        <f t="shared" si="80"/>
        <v>89</v>
      </c>
      <c r="C628" s="5"/>
      <c r="D628" s="5"/>
      <c r="E628" s="5"/>
      <c r="F628" s="31"/>
      <c r="G628" s="5"/>
      <c r="H628" s="50" t="s">
        <v>471</v>
      </c>
      <c r="I628" s="26"/>
      <c r="J628" s="26"/>
      <c r="K628" s="376"/>
      <c r="L628" s="259"/>
      <c r="M628" s="380">
        <f>50000-3000</f>
        <v>47000</v>
      </c>
      <c r="N628" s="26"/>
      <c r="O628" s="376">
        <f t="shared" si="75"/>
        <v>47000</v>
      </c>
      <c r="P628" s="259"/>
      <c r="Q628" s="332">
        <f t="shared" si="76"/>
        <v>47000</v>
      </c>
      <c r="R628" s="93">
        <f t="shared" si="77"/>
        <v>0</v>
      </c>
      <c r="S628" s="93">
        <f t="shared" si="78"/>
        <v>47000</v>
      </c>
    </row>
    <row r="629" spans="2:19" x14ac:dyDescent="0.2">
      <c r="B629" s="88">
        <f t="shared" si="80"/>
        <v>90</v>
      </c>
      <c r="C629" s="4"/>
      <c r="D629" s="4"/>
      <c r="E629" s="4"/>
      <c r="F629" s="30"/>
      <c r="G629" s="4"/>
      <c r="H629" s="50" t="s">
        <v>456</v>
      </c>
      <c r="I629" s="172"/>
      <c r="J629" s="172"/>
      <c r="K629" s="378"/>
      <c r="L629" s="259"/>
      <c r="M629" s="380">
        <f>50000-4700</f>
        <v>45300</v>
      </c>
      <c r="N629" s="26"/>
      <c r="O629" s="376">
        <f t="shared" si="75"/>
        <v>45300</v>
      </c>
      <c r="P629" s="259"/>
      <c r="Q629" s="332">
        <f t="shared" si="76"/>
        <v>45300</v>
      </c>
      <c r="R629" s="93">
        <f t="shared" si="77"/>
        <v>0</v>
      </c>
      <c r="S629" s="93">
        <f t="shared" si="78"/>
        <v>45300</v>
      </c>
    </row>
    <row r="630" spans="2:19" x14ac:dyDescent="0.2">
      <c r="B630" s="88">
        <f t="shared" si="80"/>
        <v>91</v>
      </c>
      <c r="C630" s="4"/>
      <c r="D630" s="4"/>
      <c r="E630" s="4"/>
      <c r="F630" s="30"/>
      <c r="G630" s="4"/>
      <c r="H630" s="50" t="s">
        <v>607</v>
      </c>
      <c r="I630" s="172"/>
      <c r="J630" s="172"/>
      <c r="K630" s="378"/>
      <c r="L630" s="259"/>
      <c r="M630" s="380">
        <v>93000</v>
      </c>
      <c r="N630" s="26"/>
      <c r="O630" s="376">
        <f t="shared" si="75"/>
        <v>93000</v>
      </c>
      <c r="P630" s="259"/>
      <c r="Q630" s="332">
        <f t="shared" si="76"/>
        <v>93000</v>
      </c>
      <c r="R630" s="93">
        <f t="shared" si="77"/>
        <v>0</v>
      </c>
      <c r="S630" s="93">
        <f t="shared" si="78"/>
        <v>93000</v>
      </c>
    </row>
    <row r="631" spans="2:19" x14ac:dyDescent="0.2">
      <c r="B631" s="88">
        <f t="shared" si="80"/>
        <v>92</v>
      </c>
      <c r="C631" s="5"/>
      <c r="D631" s="5"/>
      <c r="E631" s="5"/>
      <c r="F631" s="31"/>
      <c r="G631" s="5"/>
      <c r="H631" s="50" t="s">
        <v>300</v>
      </c>
      <c r="I631" s="26"/>
      <c r="J631" s="26"/>
      <c r="K631" s="376"/>
      <c r="L631" s="259"/>
      <c r="M631" s="380">
        <f>30000+5000</f>
        <v>35000</v>
      </c>
      <c r="N631" s="26"/>
      <c r="O631" s="376">
        <f t="shared" si="75"/>
        <v>35000</v>
      </c>
      <c r="P631" s="259"/>
      <c r="Q631" s="332">
        <f t="shared" si="76"/>
        <v>35000</v>
      </c>
      <c r="R631" s="93">
        <f t="shared" si="77"/>
        <v>0</v>
      </c>
      <c r="S631" s="93">
        <f t="shared" si="78"/>
        <v>35000</v>
      </c>
    </row>
    <row r="632" spans="2:19" x14ac:dyDescent="0.2">
      <c r="B632" s="88">
        <f t="shared" si="80"/>
        <v>93</v>
      </c>
      <c r="C632" s="5"/>
      <c r="D632" s="5"/>
      <c r="E632" s="5"/>
      <c r="F632" s="31"/>
      <c r="G632" s="5"/>
      <c r="H632" s="50" t="s">
        <v>487</v>
      </c>
      <c r="I632" s="26"/>
      <c r="J632" s="26"/>
      <c r="K632" s="376"/>
      <c r="L632" s="259"/>
      <c r="M632" s="380">
        <f>35000-3000</f>
        <v>32000</v>
      </c>
      <c r="N632" s="26"/>
      <c r="O632" s="376">
        <f t="shared" si="75"/>
        <v>32000</v>
      </c>
      <c r="P632" s="259"/>
      <c r="Q632" s="332">
        <f t="shared" si="76"/>
        <v>32000</v>
      </c>
      <c r="R632" s="93">
        <f t="shared" si="77"/>
        <v>0</v>
      </c>
      <c r="S632" s="93">
        <f t="shared" si="78"/>
        <v>32000</v>
      </c>
    </row>
    <row r="633" spans="2:19" x14ac:dyDescent="0.2">
      <c r="B633" s="88">
        <f t="shared" si="80"/>
        <v>94</v>
      </c>
      <c r="C633" s="5"/>
      <c r="D633" s="5"/>
      <c r="E633" s="5"/>
      <c r="F633" s="31"/>
      <c r="G633" s="5"/>
      <c r="H633" s="5" t="s">
        <v>496</v>
      </c>
      <c r="I633" s="25"/>
      <c r="J633" s="25"/>
      <c r="K633" s="251"/>
      <c r="L633" s="259"/>
      <c r="M633" s="349">
        <v>15000</v>
      </c>
      <c r="N633" s="44"/>
      <c r="O633" s="354">
        <f t="shared" si="75"/>
        <v>15000</v>
      </c>
      <c r="P633" s="259"/>
      <c r="Q633" s="332">
        <f t="shared" si="76"/>
        <v>15000</v>
      </c>
      <c r="R633" s="93">
        <f t="shared" si="77"/>
        <v>0</v>
      </c>
      <c r="S633" s="93">
        <f t="shared" si="78"/>
        <v>15000</v>
      </c>
    </row>
    <row r="634" spans="2:19" x14ac:dyDescent="0.2">
      <c r="B634" s="88">
        <f t="shared" si="80"/>
        <v>95</v>
      </c>
      <c r="C634" s="5"/>
      <c r="D634" s="5"/>
      <c r="E634" s="5"/>
      <c r="F634" s="31"/>
      <c r="G634" s="5"/>
      <c r="H634" s="5" t="s">
        <v>593</v>
      </c>
      <c r="I634" s="25"/>
      <c r="J634" s="25"/>
      <c r="K634" s="251"/>
      <c r="L634" s="259"/>
      <c r="M634" s="349">
        <f>10000+11650</f>
        <v>21650</v>
      </c>
      <c r="N634" s="44"/>
      <c r="O634" s="354">
        <f t="shared" si="75"/>
        <v>21650</v>
      </c>
      <c r="P634" s="259"/>
      <c r="Q634" s="332">
        <f t="shared" si="76"/>
        <v>21650</v>
      </c>
      <c r="R634" s="93">
        <f t="shared" si="77"/>
        <v>0</v>
      </c>
      <c r="S634" s="93">
        <f t="shared" si="78"/>
        <v>21650</v>
      </c>
    </row>
    <row r="635" spans="2:19" x14ac:dyDescent="0.2">
      <c r="B635" s="88">
        <f t="shared" si="80"/>
        <v>96</v>
      </c>
      <c r="C635" s="5"/>
      <c r="D635" s="5"/>
      <c r="E635" s="5"/>
      <c r="F635" s="31"/>
      <c r="G635" s="5"/>
      <c r="H635" s="5" t="s">
        <v>383</v>
      </c>
      <c r="I635" s="25"/>
      <c r="J635" s="25"/>
      <c r="K635" s="251"/>
      <c r="L635" s="259"/>
      <c r="M635" s="349">
        <v>2000</v>
      </c>
      <c r="N635" s="44"/>
      <c r="O635" s="354">
        <f t="shared" si="75"/>
        <v>2000</v>
      </c>
      <c r="P635" s="259"/>
      <c r="Q635" s="332">
        <f t="shared" si="76"/>
        <v>2000</v>
      </c>
      <c r="R635" s="93">
        <f t="shared" si="77"/>
        <v>0</v>
      </c>
      <c r="S635" s="93">
        <f t="shared" si="78"/>
        <v>2000</v>
      </c>
    </row>
    <row r="636" spans="2:19" x14ac:dyDescent="0.2">
      <c r="B636" s="88">
        <f t="shared" si="80"/>
        <v>97</v>
      </c>
      <c r="C636" s="5"/>
      <c r="D636" s="5"/>
      <c r="E636" s="5"/>
      <c r="F636" s="31"/>
      <c r="G636" s="5"/>
      <c r="H636" s="5" t="s">
        <v>470</v>
      </c>
      <c r="I636" s="25"/>
      <c r="J636" s="25"/>
      <c r="K636" s="251"/>
      <c r="L636" s="259"/>
      <c r="M636" s="349">
        <f>80000-37000-1500-17000</f>
        <v>24500</v>
      </c>
      <c r="N636" s="44"/>
      <c r="O636" s="354">
        <f t="shared" si="75"/>
        <v>24500</v>
      </c>
      <c r="P636" s="259"/>
      <c r="Q636" s="332">
        <f t="shared" si="76"/>
        <v>24500</v>
      </c>
      <c r="R636" s="93">
        <f t="shared" si="77"/>
        <v>0</v>
      </c>
      <c r="S636" s="93">
        <f t="shared" si="78"/>
        <v>24500</v>
      </c>
    </row>
    <row r="637" spans="2:19" x14ac:dyDescent="0.2">
      <c r="B637" s="88">
        <f t="shared" si="80"/>
        <v>98</v>
      </c>
      <c r="C637" s="5"/>
      <c r="D637" s="5"/>
      <c r="E637" s="5"/>
      <c r="F637" s="31"/>
      <c r="G637" s="5"/>
      <c r="H637" s="5" t="s">
        <v>467</v>
      </c>
      <c r="I637" s="25"/>
      <c r="J637" s="25"/>
      <c r="K637" s="251"/>
      <c r="L637" s="259"/>
      <c r="M637" s="349">
        <v>700000</v>
      </c>
      <c r="N637" s="44"/>
      <c r="O637" s="354">
        <f t="shared" si="75"/>
        <v>700000</v>
      </c>
      <c r="P637" s="259"/>
      <c r="Q637" s="332">
        <f t="shared" si="76"/>
        <v>700000</v>
      </c>
      <c r="R637" s="93">
        <f t="shared" si="77"/>
        <v>0</v>
      </c>
      <c r="S637" s="93">
        <f t="shared" si="78"/>
        <v>700000</v>
      </c>
    </row>
    <row r="638" spans="2:19" x14ac:dyDescent="0.2">
      <c r="B638" s="88">
        <f t="shared" si="80"/>
        <v>99</v>
      </c>
      <c r="C638" s="5"/>
      <c r="D638" s="5"/>
      <c r="E638" s="5"/>
      <c r="F638" s="31"/>
      <c r="G638" s="5"/>
      <c r="H638" s="5" t="s">
        <v>40</v>
      </c>
      <c r="I638" s="25"/>
      <c r="J638" s="25"/>
      <c r="K638" s="251"/>
      <c r="L638" s="259"/>
      <c r="M638" s="337">
        <f>1645700+20645+50000+12400+9200+14600</f>
        <v>1752545</v>
      </c>
      <c r="N638" s="25"/>
      <c r="O638" s="251">
        <f t="shared" si="75"/>
        <v>1752545</v>
      </c>
      <c r="P638" s="259"/>
      <c r="Q638" s="332">
        <f t="shared" si="76"/>
        <v>1752545</v>
      </c>
      <c r="R638" s="93">
        <f t="shared" si="77"/>
        <v>0</v>
      </c>
      <c r="S638" s="93">
        <f t="shared" si="78"/>
        <v>1752545</v>
      </c>
    </row>
    <row r="639" spans="2:19" x14ac:dyDescent="0.2">
      <c r="B639" s="88">
        <f t="shared" si="80"/>
        <v>100</v>
      </c>
      <c r="C639" s="5"/>
      <c r="D639" s="5"/>
      <c r="E639" s="5"/>
      <c r="F639" s="31"/>
      <c r="G639" s="5"/>
      <c r="H639" s="5" t="s">
        <v>494</v>
      </c>
      <c r="I639" s="25"/>
      <c r="J639" s="25"/>
      <c r="K639" s="251"/>
      <c r="L639" s="259"/>
      <c r="M639" s="337">
        <v>20000</v>
      </c>
      <c r="N639" s="25"/>
      <c r="O639" s="251">
        <f t="shared" si="75"/>
        <v>20000</v>
      </c>
      <c r="P639" s="259"/>
      <c r="Q639" s="332">
        <f t="shared" si="76"/>
        <v>20000</v>
      </c>
      <c r="R639" s="93">
        <f t="shared" si="77"/>
        <v>0</v>
      </c>
      <c r="S639" s="93">
        <f t="shared" si="78"/>
        <v>20000</v>
      </c>
    </row>
    <row r="640" spans="2:19" x14ac:dyDescent="0.2">
      <c r="B640" s="88">
        <f t="shared" si="80"/>
        <v>101</v>
      </c>
      <c r="C640" s="4"/>
      <c r="D640" s="4"/>
      <c r="E640" s="4"/>
      <c r="F640" s="30"/>
      <c r="G640" s="4"/>
      <c r="H640" s="5" t="s">
        <v>397</v>
      </c>
      <c r="I640" s="152"/>
      <c r="J640" s="152"/>
      <c r="K640" s="377"/>
      <c r="L640" s="259"/>
      <c r="M640" s="337">
        <v>42000</v>
      </c>
      <c r="N640" s="25"/>
      <c r="O640" s="251">
        <f t="shared" si="75"/>
        <v>42000</v>
      </c>
      <c r="P640" s="259"/>
      <c r="Q640" s="332">
        <f t="shared" si="76"/>
        <v>42000</v>
      </c>
      <c r="R640" s="93">
        <f t="shared" si="77"/>
        <v>0</v>
      </c>
      <c r="S640" s="93">
        <f t="shared" si="78"/>
        <v>42000</v>
      </c>
    </row>
    <row r="641" spans="2:19" x14ac:dyDescent="0.2">
      <c r="B641" s="88">
        <f t="shared" si="80"/>
        <v>102</v>
      </c>
      <c r="C641" s="4"/>
      <c r="D641" s="4"/>
      <c r="E641" s="4"/>
      <c r="F641" s="30"/>
      <c r="G641" s="4"/>
      <c r="H641" s="5" t="s">
        <v>453</v>
      </c>
      <c r="I641" s="152"/>
      <c r="J641" s="152"/>
      <c r="K641" s="377"/>
      <c r="L641" s="259"/>
      <c r="M641" s="337">
        <v>52000</v>
      </c>
      <c r="N641" s="25"/>
      <c r="O641" s="251">
        <f t="shared" si="75"/>
        <v>52000</v>
      </c>
      <c r="P641" s="259"/>
      <c r="Q641" s="332">
        <f t="shared" si="76"/>
        <v>52000</v>
      </c>
      <c r="R641" s="93">
        <f t="shared" si="77"/>
        <v>0</v>
      </c>
      <c r="S641" s="93">
        <f t="shared" si="78"/>
        <v>52000</v>
      </c>
    </row>
    <row r="642" spans="2:19" x14ac:dyDescent="0.2">
      <c r="B642" s="88">
        <f t="shared" si="80"/>
        <v>103</v>
      </c>
      <c r="C642" s="4"/>
      <c r="D642" s="4"/>
      <c r="E642" s="4"/>
      <c r="F642" s="30"/>
      <c r="G642" s="4"/>
      <c r="H642" s="5" t="s">
        <v>454</v>
      </c>
      <c r="I642" s="152"/>
      <c r="J642" s="152"/>
      <c r="K642" s="377"/>
      <c r="L642" s="259"/>
      <c r="M642" s="337">
        <v>80000</v>
      </c>
      <c r="N642" s="25"/>
      <c r="O642" s="251">
        <f t="shared" si="75"/>
        <v>80000</v>
      </c>
      <c r="P642" s="259"/>
      <c r="Q642" s="332">
        <f t="shared" si="76"/>
        <v>80000</v>
      </c>
      <c r="R642" s="93">
        <f t="shared" si="77"/>
        <v>0</v>
      </c>
      <c r="S642" s="93">
        <f t="shared" si="78"/>
        <v>80000</v>
      </c>
    </row>
    <row r="643" spans="2:19" x14ac:dyDescent="0.2">
      <c r="B643" s="88">
        <f t="shared" si="80"/>
        <v>104</v>
      </c>
      <c r="C643" s="4"/>
      <c r="D643" s="4"/>
      <c r="E643" s="4"/>
      <c r="F643" s="30"/>
      <c r="G643" s="4"/>
      <c r="H643" s="5" t="s">
        <v>455</v>
      </c>
      <c r="I643" s="152"/>
      <c r="J643" s="152"/>
      <c r="K643" s="377"/>
      <c r="L643" s="259"/>
      <c r="M643" s="337">
        <f>40000-2000</f>
        <v>38000</v>
      </c>
      <c r="N643" s="25"/>
      <c r="O643" s="251">
        <f t="shared" si="75"/>
        <v>38000</v>
      </c>
      <c r="P643" s="259"/>
      <c r="Q643" s="332">
        <f t="shared" si="76"/>
        <v>38000</v>
      </c>
      <c r="R643" s="93">
        <f t="shared" si="77"/>
        <v>0</v>
      </c>
      <c r="S643" s="93">
        <f t="shared" si="78"/>
        <v>38000</v>
      </c>
    </row>
    <row r="644" spans="2:19" x14ac:dyDescent="0.2">
      <c r="B644" s="88">
        <f t="shared" si="80"/>
        <v>105</v>
      </c>
      <c r="C644" s="4"/>
      <c r="D644" s="4"/>
      <c r="E644" s="4"/>
      <c r="F644" s="30"/>
      <c r="G644" s="4"/>
      <c r="H644" s="5" t="s">
        <v>398</v>
      </c>
      <c r="I644" s="152"/>
      <c r="J644" s="152"/>
      <c r="K644" s="377"/>
      <c r="L644" s="259"/>
      <c r="M644" s="337">
        <v>16000</v>
      </c>
      <c r="N644" s="25"/>
      <c r="O644" s="251">
        <f t="shared" si="75"/>
        <v>16000</v>
      </c>
      <c r="P644" s="259"/>
      <c r="Q644" s="332">
        <f t="shared" si="76"/>
        <v>16000</v>
      </c>
      <c r="R644" s="93">
        <f t="shared" si="77"/>
        <v>0</v>
      </c>
      <c r="S644" s="93">
        <f t="shared" si="78"/>
        <v>16000</v>
      </c>
    </row>
    <row r="645" spans="2:19" x14ac:dyDescent="0.2">
      <c r="B645" s="88">
        <f t="shared" si="80"/>
        <v>106</v>
      </c>
      <c r="C645" s="4"/>
      <c r="D645" s="4"/>
      <c r="E645" s="4"/>
      <c r="F645" s="30"/>
      <c r="G645" s="4"/>
      <c r="H645" s="5" t="s">
        <v>457</v>
      </c>
      <c r="I645" s="152"/>
      <c r="J645" s="152"/>
      <c r="K645" s="377"/>
      <c r="L645" s="259"/>
      <c r="M645" s="337">
        <f>92500-10500-1100</f>
        <v>80900</v>
      </c>
      <c r="N645" s="25"/>
      <c r="O645" s="251">
        <f t="shared" si="75"/>
        <v>80900</v>
      </c>
      <c r="P645" s="259"/>
      <c r="Q645" s="332">
        <f t="shared" si="76"/>
        <v>80900</v>
      </c>
      <c r="R645" s="93">
        <f t="shared" si="77"/>
        <v>0</v>
      </c>
      <c r="S645" s="93">
        <f t="shared" si="78"/>
        <v>80900</v>
      </c>
    </row>
    <row r="646" spans="2:19" x14ac:dyDescent="0.2">
      <c r="B646" s="88">
        <f t="shared" si="80"/>
        <v>107</v>
      </c>
      <c r="C646" s="4"/>
      <c r="D646" s="4"/>
      <c r="E646" s="4"/>
      <c r="F646" s="30"/>
      <c r="G646" s="4"/>
      <c r="H646" s="5" t="s">
        <v>452</v>
      </c>
      <c r="I646" s="152"/>
      <c r="J646" s="152"/>
      <c r="K646" s="377"/>
      <c r="L646" s="259"/>
      <c r="M646" s="337">
        <v>26000</v>
      </c>
      <c r="N646" s="25"/>
      <c r="O646" s="251">
        <f t="shared" si="75"/>
        <v>26000</v>
      </c>
      <c r="P646" s="259"/>
      <c r="Q646" s="332">
        <f t="shared" si="76"/>
        <v>26000</v>
      </c>
      <c r="R646" s="93">
        <f t="shared" si="77"/>
        <v>0</v>
      </c>
      <c r="S646" s="93">
        <f t="shared" si="78"/>
        <v>26000</v>
      </c>
    </row>
    <row r="647" spans="2:19" x14ac:dyDescent="0.2">
      <c r="B647" s="88">
        <f t="shared" si="80"/>
        <v>108</v>
      </c>
      <c r="C647" s="4"/>
      <c r="D647" s="4"/>
      <c r="E647" s="4"/>
      <c r="F647" s="30"/>
      <c r="G647" s="4"/>
      <c r="H647" s="5" t="s">
        <v>460</v>
      </c>
      <c r="I647" s="152"/>
      <c r="J647" s="152"/>
      <c r="K647" s="377"/>
      <c r="L647" s="259"/>
      <c r="M647" s="337">
        <f>47000+27000-2000</f>
        <v>72000</v>
      </c>
      <c r="N647" s="25"/>
      <c r="O647" s="251">
        <f t="shared" si="75"/>
        <v>72000</v>
      </c>
      <c r="P647" s="259"/>
      <c r="Q647" s="332">
        <f t="shared" si="76"/>
        <v>72000</v>
      </c>
      <c r="R647" s="93">
        <f t="shared" si="77"/>
        <v>0</v>
      </c>
      <c r="S647" s="93">
        <f t="shared" si="78"/>
        <v>72000</v>
      </c>
    </row>
    <row r="648" spans="2:19" x14ac:dyDescent="0.2">
      <c r="B648" s="88">
        <f t="shared" si="80"/>
        <v>109</v>
      </c>
      <c r="C648" s="4"/>
      <c r="D648" s="4"/>
      <c r="E648" s="4"/>
      <c r="F648" s="30"/>
      <c r="G648" s="4"/>
      <c r="H648" s="5" t="s">
        <v>462</v>
      </c>
      <c r="I648" s="152"/>
      <c r="J648" s="152"/>
      <c r="K648" s="377"/>
      <c r="L648" s="259"/>
      <c r="M648" s="337">
        <v>39000</v>
      </c>
      <c r="N648" s="25"/>
      <c r="O648" s="251">
        <f t="shared" si="75"/>
        <v>39000</v>
      </c>
      <c r="P648" s="259"/>
      <c r="Q648" s="332">
        <f t="shared" si="76"/>
        <v>39000</v>
      </c>
      <c r="R648" s="93">
        <f t="shared" si="77"/>
        <v>0</v>
      </c>
      <c r="S648" s="93">
        <f t="shared" si="78"/>
        <v>39000</v>
      </c>
    </row>
    <row r="649" spans="2:19" x14ac:dyDescent="0.2">
      <c r="B649" s="88">
        <f t="shared" si="80"/>
        <v>110</v>
      </c>
      <c r="C649" s="4"/>
      <c r="D649" s="4"/>
      <c r="E649" s="4"/>
      <c r="F649" s="30"/>
      <c r="G649" s="4"/>
      <c r="H649" s="5" t="s">
        <v>392</v>
      </c>
      <c r="I649" s="152"/>
      <c r="J649" s="152"/>
      <c r="K649" s="377"/>
      <c r="L649" s="259"/>
      <c r="M649" s="337">
        <v>78000</v>
      </c>
      <c r="N649" s="25"/>
      <c r="O649" s="251">
        <f t="shared" si="75"/>
        <v>78000</v>
      </c>
      <c r="P649" s="259"/>
      <c r="Q649" s="332">
        <f t="shared" si="76"/>
        <v>78000</v>
      </c>
      <c r="R649" s="93">
        <f t="shared" si="77"/>
        <v>0</v>
      </c>
      <c r="S649" s="93">
        <f t="shared" si="78"/>
        <v>78000</v>
      </c>
    </row>
    <row r="650" spans="2:19" x14ac:dyDescent="0.2">
      <c r="B650" s="88">
        <f t="shared" si="80"/>
        <v>111</v>
      </c>
      <c r="C650" s="4"/>
      <c r="D650" s="4"/>
      <c r="E650" s="4"/>
      <c r="F650" s="30"/>
      <c r="G650" s="4"/>
      <c r="H650" s="5" t="s">
        <v>399</v>
      </c>
      <c r="I650" s="152"/>
      <c r="J650" s="152"/>
      <c r="K650" s="377"/>
      <c r="L650" s="259"/>
      <c r="M650" s="337">
        <v>18000</v>
      </c>
      <c r="N650" s="25"/>
      <c r="O650" s="251">
        <f t="shared" si="75"/>
        <v>18000</v>
      </c>
      <c r="P650" s="259"/>
      <c r="Q650" s="332">
        <f t="shared" si="76"/>
        <v>18000</v>
      </c>
      <c r="R650" s="93">
        <f t="shared" si="77"/>
        <v>0</v>
      </c>
      <c r="S650" s="93">
        <f t="shared" si="78"/>
        <v>18000</v>
      </c>
    </row>
    <row r="651" spans="2:19" x14ac:dyDescent="0.2">
      <c r="B651" s="88">
        <f t="shared" ref="B651:B661" si="81">B650+1</f>
        <v>112</v>
      </c>
      <c r="C651" s="4"/>
      <c r="D651" s="4"/>
      <c r="E651" s="4"/>
      <c r="F651" s="30"/>
      <c r="G651" s="4"/>
      <c r="H651" s="5" t="s">
        <v>395</v>
      </c>
      <c r="I651" s="152"/>
      <c r="J651" s="152"/>
      <c r="K651" s="377"/>
      <c r="L651" s="259"/>
      <c r="M651" s="337">
        <f>29000-5950-1000</f>
        <v>22050</v>
      </c>
      <c r="N651" s="25"/>
      <c r="O651" s="251">
        <f t="shared" si="75"/>
        <v>22050</v>
      </c>
      <c r="P651" s="259"/>
      <c r="Q651" s="332">
        <f t="shared" si="76"/>
        <v>22050</v>
      </c>
      <c r="R651" s="93">
        <f t="shared" si="77"/>
        <v>0</v>
      </c>
      <c r="S651" s="93">
        <f t="shared" si="78"/>
        <v>22050</v>
      </c>
    </row>
    <row r="652" spans="2:19" x14ac:dyDescent="0.2">
      <c r="B652" s="88">
        <f t="shared" si="81"/>
        <v>113</v>
      </c>
      <c r="C652" s="4"/>
      <c r="D652" s="4"/>
      <c r="E652" s="4"/>
      <c r="F652" s="30"/>
      <c r="G652" s="4"/>
      <c r="H652" s="5" t="s">
        <v>385</v>
      </c>
      <c r="I652" s="152"/>
      <c r="J652" s="152"/>
      <c r="K652" s="377"/>
      <c r="L652" s="259"/>
      <c r="M652" s="337">
        <v>24000</v>
      </c>
      <c r="N652" s="25"/>
      <c r="O652" s="251">
        <f t="shared" si="75"/>
        <v>24000</v>
      </c>
      <c r="P652" s="259"/>
      <c r="Q652" s="332">
        <f t="shared" si="76"/>
        <v>24000</v>
      </c>
      <c r="R652" s="93">
        <f t="shared" si="77"/>
        <v>0</v>
      </c>
      <c r="S652" s="93">
        <f t="shared" si="78"/>
        <v>24000</v>
      </c>
    </row>
    <row r="653" spans="2:19" x14ac:dyDescent="0.2">
      <c r="B653" s="88">
        <f t="shared" si="81"/>
        <v>114</v>
      </c>
      <c r="C653" s="4"/>
      <c r="D653" s="4"/>
      <c r="E653" s="4"/>
      <c r="F653" s="30"/>
      <c r="G653" s="4"/>
      <c r="H653" s="5" t="s">
        <v>386</v>
      </c>
      <c r="I653" s="152"/>
      <c r="J653" s="152"/>
      <c r="K653" s="377"/>
      <c r="L653" s="259"/>
      <c r="M653" s="337">
        <f>300000-25000</f>
        <v>275000</v>
      </c>
      <c r="N653" s="25"/>
      <c r="O653" s="251">
        <f t="shared" si="75"/>
        <v>275000</v>
      </c>
      <c r="P653" s="259"/>
      <c r="Q653" s="332">
        <f t="shared" si="76"/>
        <v>275000</v>
      </c>
      <c r="R653" s="93">
        <f t="shared" si="77"/>
        <v>0</v>
      </c>
      <c r="S653" s="93">
        <f t="shared" si="78"/>
        <v>275000</v>
      </c>
    </row>
    <row r="654" spans="2:19" x14ac:dyDescent="0.2">
      <c r="B654" s="88">
        <f t="shared" si="81"/>
        <v>115</v>
      </c>
      <c r="C654" s="4"/>
      <c r="D654" s="4"/>
      <c r="E654" s="4"/>
      <c r="F654" s="30"/>
      <c r="G654" s="4"/>
      <c r="H654" s="5" t="s">
        <v>387</v>
      </c>
      <c r="I654" s="152"/>
      <c r="J654" s="152"/>
      <c r="K654" s="377"/>
      <c r="L654" s="259"/>
      <c r="M654" s="337">
        <v>40000</v>
      </c>
      <c r="N654" s="25"/>
      <c r="O654" s="251">
        <f t="shared" si="75"/>
        <v>40000</v>
      </c>
      <c r="P654" s="259"/>
      <c r="Q654" s="332">
        <f t="shared" si="76"/>
        <v>40000</v>
      </c>
      <c r="R654" s="93">
        <f t="shared" si="77"/>
        <v>0</v>
      </c>
      <c r="S654" s="93">
        <f t="shared" si="78"/>
        <v>40000</v>
      </c>
    </row>
    <row r="655" spans="2:19" x14ac:dyDescent="0.2">
      <c r="B655" s="88">
        <f t="shared" si="81"/>
        <v>116</v>
      </c>
      <c r="C655" s="4"/>
      <c r="D655" s="4"/>
      <c r="E655" s="4"/>
      <c r="F655" s="30"/>
      <c r="G655" s="4"/>
      <c r="H655" s="5" t="s">
        <v>459</v>
      </c>
      <c r="I655" s="152"/>
      <c r="J655" s="152"/>
      <c r="K655" s="377"/>
      <c r="L655" s="259"/>
      <c r="M655" s="337">
        <v>47000</v>
      </c>
      <c r="N655" s="25"/>
      <c r="O655" s="251">
        <f t="shared" si="75"/>
        <v>47000</v>
      </c>
      <c r="P655" s="259"/>
      <c r="Q655" s="332">
        <f t="shared" si="76"/>
        <v>47000</v>
      </c>
      <c r="R655" s="93">
        <f t="shared" si="77"/>
        <v>0</v>
      </c>
      <c r="S655" s="93">
        <f t="shared" si="78"/>
        <v>47000</v>
      </c>
    </row>
    <row r="656" spans="2:19" x14ac:dyDescent="0.2">
      <c r="B656" s="88">
        <f t="shared" si="81"/>
        <v>117</v>
      </c>
      <c r="C656" s="4"/>
      <c r="D656" s="4"/>
      <c r="E656" s="4"/>
      <c r="F656" s="30"/>
      <c r="G656" s="4"/>
      <c r="H656" s="5" t="s">
        <v>461</v>
      </c>
      <c r="I656" s="152"/>
      <c r="J656" s="152"/>
      <c r="K656" s="377"/>
      <c r="L656" s="259"/>
      <c r="M656" s="337">
        <f>47000-4800-150-11000</f>
        <v>31050</v>
      </c>
      <c r="N656" s="25"/>
      <c r="O656" s="251">
        <f t="shared" si="75"/>
        <v>31050</v>
      </c>
      <c r="P656" s="259"/>
      <c r="Q656" s="332">
        <f t="shared" si="76"/>
        <v>31050</v>
      </c>
      <c r="R656" s="93">
        <f t="shared" si="77"/>
        <v>0</v>
      </c>
      <c r="S656" s="93">
        <f t="shared" si="78"/>
        <v>31050</v>
      </c>
    </row>
    <row r="657" spans="2:19" x14ac:dyDescent="0.2">
      <c r="B657" s="88">
        <f t="shared" si="81"/>
        <v>118</v>
      </c>
      <c r="C657" s="4"/>
      <c r="D657" s="4"/>
      <c r="E657" s="4"/>
      <c r="F657" s="30"/>
      <c r="G657" s="4"/>
      <c r="H657" s="5" t="s">
        <v>463</v>
      </c>
      <c r="I657" s="152"/>
      <c r="J657" s="152"/>
      <c r="K657" s="377"/>
      <c r="L657" s="259"/>
      <c r="M657" s="337">
        <v>45000</v>
      </c>
      <c r="N657" s="25"/>
      <c r="O657" s="251">
        <f t="shared" si="75"/>
        <v>45000</v>
      </c>
      <c r="P657" s="259"/>
      <c r="Q657" s="332">
        <f t="shared" si="76"/>
        <v>45000</v>
      </c>
      <c r="R657" s="93">
        <f t="shared" si="77"/>
        <v>0</v>
      </c>
      <c r="S657" s="93">
        <f t="shared" si="78"/>
        <v>45000</v>
      </c>
    </row>
    <row r="658" spans="2:19" x14ac:dyDescent="0.2">
      <c r="B658" s="88">
        <f t="shared" si="81"/>
        <v>119</v>
      </c>
      <c r="C658" s="4"/>
      <c r="D658" s="4"/>
      <c r="E658" s="4"/>
      <c r="F658" s="30"/>
      <c r="G658" s="4"/>
      <c r="H658" s="5" t="s">
        <v>394</v>
      </c>
      <c r="I658" s="152"/>
      <c r="J658" s="152"/>
      <c r="K658" s="377"/>
      <c r="L658" s="259"/>
      <c r="M658" s="337">
        <f>16000-6500</f>
        <v>9500</v>
      </c>
      <c r="N658" s="25"/>
      <c r="O658" s="251">
        <f t="shared" si="75"/>
        <v>9500</v>
      </c>
      <c r="P658" s="259"/>
      <c r="Q658" s="332">
        <f t="shared" si="76"/>
        <v>9500</v>
      </c>
      <c r="R658" s="93">
        <f t="shared" si="77"/>
        <v>0</v>
      </c>
      <c r="S658" s="93">
        <f t="shared" si="78"/>
        <v>9500</v>
      </c>
    </row>
    <row r="659" spans="2:19" x14ac:dyDescent="0.2">
      <c r="B659" s="88">
        <f t="shared" si="81"/>
        <v>120</v>
      </c>
      <c r="C659" s="4"/>
      <c r="D659" s="4"/>
      <c r="E659" s="4"/>
      <c r="F659" s="30"/>
      <c r="G659" s="4"/>
      <c r="H659" s="5" t="s">
        <v>396</v>
      </c>
      <c r="I659" s="152"/>
      <c r="J659" s="152"/>
      <c r="K659" s="377"/>
      <c r="L659" s="259"/>
      <c r="M659" s="337">
        <v>200000</v>
      </c>
      <c r="N659" s="25"/>
      <c r="O659" s="251">
        <f t="shared" si="75"/>
        <v>200000</v>
      </c>
      <c r="P659" s="259"/>
      <c r="Q659" s="332">
        <f t="shared" si="76"/>
        <v>200000</v>
      </c>
      <c r="R659" s="93">
        <f t="shared" si="77"/>
        <v>0</v>
      </c>
      <c r="S659" s="93">
        <f t="shared" si="78"/>
        <v>200000</v>
      </c>
    </row>
    <row r="660" spans="2:19" x14ac:dyDescent="0.2">
      <c r="B660" s="88">
        <f t="shared" si="81"/>
        <v>121</v>
      </c>
      <c r="C660" s="4"/>
      <c r="D660" s="4"/>
      <c r="E660" s="4"/>
      <c r="F660" s="30"/>
      <c r="G660" s="4"/>
      <c r="H660" s="5" t="s">
        <v>384</v>
      </c>
      <c r="I660" s="152"/>
      <c r="J660" s="152"/>
      <c r="K660" s="377"/>
      <c r="L660" s="259"/>
      <c r="M660" s="337">
        <v>16000</v>
      </c>
      <c r="N660" s="25"/>
      <c r="O660" s="251">
        <f t="shared" si="75"/>
        <v>16000</v>
      </c>
      <c r="P660" s="259"/>
      <c r="Q660" s="332">
        <f>I660+M660</f>
        <v>16000</v>
      </c>
      <c r="R660" s="93">
        <f t="shared" si="77"/>
        <v>0</v>
      </c>
      <c r="S660" s="93">
        <f t="shared" si="78"/>
        <v>16000</v>
      </c>
    </row>
    <row r="661" spans="2:19" ht="13.5" thickBot="1" x14ac:dyDescent="0.25">
      <c r="B661" s="94">
        <f t="shared" si="81"/>
        <v>122</v>
      </c>
      <c r="C661" s="17"/>
      <c r="D661" s="17"/>
      <c r="E661" s="17"/>
      <c r="F661" s="95"/>
      <c r="G661" s="17"/>
      <c r="H661" s="100" t="s">
        <v>393</v>
      </c>
      <c r="I661" s="177"/>
      <c r="J661" s="177"/>
      <c r="K661" s="379"/>
      <c r="L661" s="259"/>
      <c r="M661" s="351">
        <v>55000</v>
      </c>
      <c r="N661" s="103"/>
      <c r="O661" s="254">
        <f t="shared" si="75"/>
        <v>55000</v>
      </c>
      <c r="P661" s="259"/>
      <c r="Q661" s="334">
        <f>I661+M661</f>
        <v>55000</v>
      </c>
      <c r="R661" s="104">
        <f t="shared" si="77"/>
        <v>0</v>
      </c>
      <c r="S661" s="104">
        <f t="shared" si="78"/>
        <v>55000</v>
      </c>
    </row>
    <row r="713" spans="2:19" ht="27.75" thickBot="1" x14ac:dyDescent="0.4">
      <c r="B713" s="480" t="s">
        <v>28</v>
      </c>
      <c r="C713" s="481"/>
      <c r="D713" s="481"/>
      <c r="E713" s="481"/>
      <c r="F713" s="481"/>
      <c r="G713" s="481"/>
      <c r="H713" s="481"/>
      <c r="I713" s="481"/>
      <c r="J713" s="481"/>
      <c r="K713" s="481"/>
      <c r="L713" s="481"/>
      <c r="M713" s="481"/>
      <c r="N713" s="481"/>
      <c r="O713" s="481"/>
      <c r="P713" s="481"/>
      <c r="Q713" s="481"/>
    </row>
    <row r="714" spans="2:19" ht="13.5" customHeight="1" thickBot="1" x14ac:dyDescent="0.25">
      <c r="B714" s="482" t="s">
        <v>353</v>
      </c>
      <c r="C714" s="483"/>
      <c r="D714" s="483"/>
      <c r="E714" s="483"/>
      <c r="F714" s="483"/>
      <c r="G714" s="483"/>
      <c r="H714" s="483"/>
      <c r="I714" s="484"/>
      <c r="J714" s="484"/>
      <c r="K714" s="484"/>
      <c r="L714" s="484"/>
      <c r="M714" s="484"/>
      <c r="N714" s="244"/>
      <c r="O714" s="244"/>
      <c r="P714" s="259"/>
      <c r="Q714" s="485" t="s">
        <v>651</v>
      </c>
      <c r="R714" s="471" t="s">
        <v>648</v>
      </c>
      <c r="S714" s="474" t="s">
        <v>652</v>
      </c>
    </row>
    <row r="715" spans="2:19" ht="13.5" customHeight="1" thickBot="1" x14ac:dyDescent="0.25">
      <c r="B715" s="488"/>
      <c r="C715" s="489" t="s">
        <v>126</v>
      </c>
      <c r="D715" s="489" t="s">
        <v>127</v>
      </c>
      <c r="E715" s="489"/>
      <c r="F715" s="489" t="s">
        <v>128</v>
      </c>
      <c r="G715" s="492" t="s">
        <v>129</v>
      </c>
      <c r="H715" s="495" t="s">
        <v>130</v>
      </c>
      <c r="I715" s="516" t="s">
        <v>647</v>
      </c>
      <c r="J715" s="504" t="s">
        <v>648</v>
      </c>
      <c r="K715" s="477" t="s">
        <v>649</v>
      </c>
      <c r="L715" s="269"/>
      <c r="M715" s="517" t="s">
        <v>650</v>
      </c>
      <c r="N715" s="471" t="s">
        <v>648</v>
      </c>
      <c r="O715" s="477" t="s">
        <v>649</v>
      </c>
      <c r="P715" s="259"/>
      <c r="Q715" s="486"/>
      <c r="R715" s="472"/>
      <c r="S715" s="475"/>
    </row>
    <row r="716" spans="2:19" ht="13.5" thickBot="1" x14ac:dyDescent="0.25">
      <c r="B716" s="488"/>
      <c r="C716" s="490"/>
      <c r="D716" s="490"/>
      <c r="E716" s="490"/>
      <c r="F716" s="490"/>
      <c r="G716" s="493"/>
      <c r="H716" s="495"/>
      <c r="I716" s="496"/>
      <c r="J716" s="502"/>
      <c r="K716" s="478"/>
      <c r="L716" s="259"/>
      <c r="M716" s="500"/>
      <c r="N716" s="472"/>
      <c r="O716" s="478"/>
      <c r="P716" s="259"/>
      <c r="Q716" s="486"/>
      <c r="R716" s="472"/>
      <c r="S716" s="475"/>
    </row>
    <row r="717" spans="2:19" ht="13.5" thickBot="1" x14ac:dyDescent="0.25">
      <c r="B717" s="488"/>
      <c r="C717" s="490"/>
      <c r="D717" s="490"/>
      <c r="E717" s="490"/>
      <c r="F717" s="490"/>
      <c r="G717" s="493"/>
      <c r="H717" s="495"/>
      <c r="I717" s="496"/>
      <c r="J717" s="502"/>
      <c r="K717" s="478"/>
      <c r="L717" s="259"/>
      <c r="M717" s="500"/>
      <c r="N717" s="472"/>
      <c r="O717" s="478"/>
      <c r="P717" s="259"/>
      <c r="Q717" s="486"/>
      <c r="R717" s="472"/>
      <c r="S717" s="475"/>
    </row>
    <row r="718" spans="2:19" ht="13.5" thickBot="1" x14ac:dyDescent="0.25">
      <c r="B718" s="488"/>
      <c r="C718" s="491"/>
      <c r="D718" s="491"/>
      <c r="E718" s="491"/>
      <c r="F718" s="491"/>
      <c r="G718" s="494"/>
      <c r="H718" s="495"/>
      <c r="I718" s="497"/>
      <c r="J718" s="503"/>
      <c r="K718" s="479"/>
      <c r="L718" s="259"/>
      <c r="M718" s="501"/>
      <c r="N718" s="473"/>
      <c r="O718" s="479"/>
      <c r="P718" s="259"/>
      <c r="Q718" s="487"/>
      <c r="R718" s="473"/>
      <c r="S718" s="476"/>
    </row>
    <row r="719" spans="2:19" ht="16.5" thickTop="1" x14ac:dyDescent="0.2">
      <c r="B719" s="88">
        <v>1</v>
      </c>
      <c r="C719" s="505" t="s">
        <v>28</v>
      </c>
      <c r="D719" s="506"/>
      <c r="E719" s="506"/>
      <c r="F719" s="506"/>
      <c r="G719" s="506"/>
      <c r="H719" s="507"/>
      <c r="I719" s="39">
        <f>I720+I905+I1101+I1207+I1452</f>
        <v>17980825</v>
      </c>
      <c r="J719" s="39">
        <f>J720+J905+J1101+J1207+J1452</f>
        <v>9646</v>
      </c>
      <c r="K719" s="253">
        <f>I719+J719</f>
        <v>17990471</v>
      </c>
      <c r="L719" s="259"/>
      <c r="M719" s="336">
        <f>M720+M905+M1101+M1207+M1452</f>
        <v>2769060</v>
      </c>
      <c r="N719" s="39">
        <f>N720+N905+N1101+N1207+N1452</f>
        <v>901884</v>
      </c>
      <c r="O719" s="253">
        <f>M719+N719</f>
        <v>3670944</v>
      </c>
      <c r="P719" s="259"/>
      <c r="Q719" s="331">
        <f t="shared" ref="Q719:Q787" si="82">I719+M719</f>
        <v>20749885</v>
      </c>
      <c r="R719" s="98">
        <f t="shared" ref="R719:R787" si="83">J719+N719</f>
        <v>911530</v>
      </c>
      <c r="S719" s="98">
        <f t="shared" ref="S719:S787" si="84">K719+O719</f>
        <v>21661415</v>
      </c>
    </row>
    <row r="720" spans="2:19" ht="15" x14ac:dyDescent="0.2">
      <c r="B720" s="88">
        <f>B719+1</f>
        <v>2</v>
      </c>
      <c r="C720" s="242">
        <v>1</v>
      </c>
      <c r="D720" s="511" t="s">
        <v>204</v>
      </c>
      <c r="E720" s="509"/>
      <c r="F720" s="509"/>
      <c r="G720" s="509"/>
      <c r="H720" s="510"/>
      <c r="I720" s="40">
        <f>I721+I723+I735+I748</f>
        <v>4329612</v>
      </c>
      <c r="J720" s="40">
        <f>J721+J723+J735+J748</f>
        <v>0</v>
      </c>
      <c r="K720" s="248">
        <f t="shared" ref="K720:K783" si="85">I720+J720</f>
        <v>4329612</v>
      </c>
      <c r="L720" s="365"/>
      <c r="M720" s="318">
        <f>M735+M748</f>
        <v>2255585</v>
      </c>
      <c r="N720" s="40">
        <f t="shared" ref="N720" si="86">N735+N748</f>
        <v>901884</v>
      </c>
      <c r="O720" s="248">
        <f t="shared" ref="O720:O783" si="87">M720+N720</f>
        <v>3157469</v>
      </c>
      <c r="P720" s="365"/>
      <c r="Q720" s="313">
        <f t="shared" si="82"/>
        <v>6585197</v>
      </c>
      <c r="R720" s="89">
        <f t="shared" si="83"/>
        <v>901884</v>
      </c>
      <c r="S720" s="89">
        <f t="shared" si="84"/>
        <v>7487081</v>
      </c>
    </row>
    <row r="721" spans="2:19" x14ac:dyDescent="0.2">
      <c r="B721" s="88">
        <f t="shared" ref="B721:B784" si="88">B720+1</f>
        <v>3</v>
      </c>
      <c r="C721" s="10"/>
      <c r="D721" s="10"/>
      <c r="E721" s="10"/>
      <c r="F721" s="29" t="s">
        <v>203</v>
      </c>
      <c r="G721" s="10">
        <v>630</v>
      </c>
      <c r="H721" s="10" t="s">
        <v>133</v>
      </c>
      <c r="I721" s="27">
        <f>I722</f>
        <v>6056</v>
      </c>
      <c r="J721" s="27">
        <f>J722</f>
        <v>-700</v>
      </c>
      <c r="K721" s="250">
        <f t="shared" si="85"/>
        <v>5356</v>
      </c>
      <c r="L721" s="265"/>
      <c r="M721" s="315"/>
      <c r="N721" s="27"/>
      <c r="O721" s="250">
        <f t="shared" si="87"/>
        <v>0</v>
      </c>
      <c r="P721" s="260"/>
      <c r="Q721" s="309">
        <f t="shared" si="82"/>
        <v>6056</v>
      </c>
      <c r="R721" s="91">
        <f t="shared" si="83"/>
        <v>-700</v>
      </c>
      <c r="S721" s="91">
        <f t="shared" si="84"/>
        <v>5356</v>
      </c>
    </row>
    <row r="722" spans="2:19" x14ac:dyDescent="0.2">
      <c r="B722" s="88">
        <f t="shared" si="88"/>
        <v>4</v>
      </c>
      <c r="C722" s="4"/>
      <c r="D722" s="4"/>
      <c r="E722" s="4"/>
      <c r="F722" s="30" t="s">
        <v>203</v>
      </c>
      <c r="G722" s="4">
        <v>635</v>
      </c>
      <c r="H722" s="4" t="s">
        <v>145</v>
      </c>
      <c r="I722" s="23">
        <f>30000-3000-2600-5344-13000</f>
        <v>6056</v>
      </c>
      <c r="J722" s="23">
        <v>-700</v>
      </c>
      <c r="K722" s="220">
        <f t="shared" si="85"/>
        <v>5356</v>
      </c>
      <c r="L722" s="259"/>
      <c r="M722" s="227"/>
      <c r="N722" s="23"/>
      <c r="O722" s="220">
        <f t="shared" si="87"/>
        <v>0</v>
      </c>
      <c r="P722" s="259"/>
      <c r="Q722" s="308">
        <f t="shared" si="82"/>
        <v>6056</v>
      </c>
      <c r="R722" s="92">
        <f t="shared" si="83"/>
        <v>-700</v>
      </c>
      <c r="S722" s="92">
        <f t="shared" si="84"/>
        <v>5356</v>
      </c>
    </row>
    <row r="723" spans="2:19" x14ac:dyDescent="0.2">
      <c r="B723" s="88">
        <f t="shared" si="88"/>
        <v>5</v>
      </c>
      <c r="C723" s="10"/>
      <c r="D723" s="10"/>
      <c r="E723" s="10"/>
      <c r="F723" s="29" t="s">
        <v>203</v>
      </c>
      <c r="G723" s="10">
        <v>640</v>
      </c>
      <c r="H723" s="10" t="s">
        <v>141</v>
      </c>
      <c r="I723" s="27">
        <f>I724+I726</f>
        <v>597354</v>
      </c>
      <c r="J723" s="27">
        <f>J724+J726</f>
        <v>-1710</v>
      </c>
      <c r="K723" s="250">
        <f t="shared" si="85"/>
        <v>595644</v>
      </c>
      <c r="L723" s="259"/>
      <c r="M723" s="315"/>
      <c r="N723" s="27"/>
      <c r="O723" s="250">
        <f t="shared" si="87"/>
        <v>0</v>
      </c>
      <c r="P723" s="259"/>
      <c r="Q723" s="309">
        <f t="shared" si="82"/>
        <v>597354</v>
      </c>
      <c r="R723" s="91">
        <f t="shared" si="83"/>
        <v>-1710</v>
      </c>
      <c r="S723" s="91">
        <f t="shared" si="84"/>
        <v>595644</v>
      </c>
    </row>
    <row r="724" spans="2:19" x14ac:dyDescent="0.2">
      <c r="B724" s="88">
        <f t="shared" si="88"/>
        <v>6</v>
      </c>
      <c r="C724" s="4"/>
      <c r="D724" s="4"/>
      <c r="E724" s="4"/>
      <c r="F724" s="30" t="s">
        <v>203</v>
      </c>
      <c r="G724" s="4">
        <v>641</v>
      </c>
      <c r="H724" s="4" t="s">
        <v>195</v>
      </c>
      <c r="I724" s="23">
        <f>I725</f>
        <v>2850</v>
      </c>
      <c r="J724" s="23">
        <f>J725</f>
        <v>-1710</v>
      </c>
      <c r="K724" s="220">
        <f t="shared" si="85"/>
        <v>1140</v>
      </c>
      <c r="L724" s="259"/>
      <c r="M724" s="227"/>
      <c r="N724" s="23"/>
      <c r="O724" s="220">
        <f t="shared" si="87"/>
        <v>0</v>
      </c>
      <c r="P724" s="259"/>
      <c r="Q724" s="308">
        <f t="shared" si="82"/>
        <v>2850</v>
      </c>
      <c r="R724" s="92">
        <f t="shared" si="83"/>
        <v>-1710</v>
      </c>
      <c r="S724" s="92">
        <f t="shared" si="84"/>
        <v>1140</v>
      </c>
    </row>
    <row r="725" spans="2:19" x14ac:dyDescent="0.2">
      <c r="B725" s="88">
        <f t="shared" si="88"/>
        <v>7</v>
      </c>
      <c r="C725" s="5"/>
      <c r="D725" s="5"/>
      <c r="E725" s="5"/>
      <c r="F725" s="31"/>
      <c r="G725" s="5"/>
      <c r="H725" s="5" t="s">
        <v>295</v>
      </c>
      <c r="I725" s="25">
        <f>3050-200</f>
        <v>2850</v>
      </c>
      <c r="J725" s="25">
        <f>-1625-85</f>
        <v>-1710</v>
      </c>
      <c r="K725" s="251">
        <f t="shared" si="85"/>
        <v>1140</v>
      </c>
      <c r="L725" s="259"/>
      <c r="M725" s="337"/>
      <c r="N725" s="25"/>
      <c r="O725" s="251">
        <f t="shared" si="87"/>
        <v>0</v>
      </c>
      <c r="P725" s="259"/>
      <c r="Q725" s="332">
        <f t="shared" si="82"/>
        <v>2850</v>
      </c>
      <c r="R725" s="93">
        <f t="shared" si="83"/>
        <v>-1710</v>
      </c>
      <c r="S725" s="93">
        <f t="shared" si="84"/>
        <v>1140</v>
      </c>
    </row>
    <row r="726" spans="2:19" x14ac:dyDescent="0.2">
      <c r="B726" s="88">
        <f t="shared" si="88"/>
        <v>8</v>
      </c>
      <c r="C726" s="4"/>
      <c r="D726" s="4"/>
      <c r="E726" s="4"/>
      <c r="F726" s="30" t="s">
        <v>203</v>
      </c>
      <c r="G726" s="4">
        <v>642</v>
      </c>
      <c r="H726" s="4" t="s">
        <v>142</v>
      </c>
      <c r="I726" s="68">
        <f>SUM(I727:I734)</f>
        <v>594504</v>
      </c>
      <c r="J726" s="68">
        <f>SUM(J727:J734)</f>
        <v>0</v>
      </c>
      <c r="K726" s="358">
        <f t="shared" si="85"/>
        <v>594504</v>
      </c>
      <c r="L726" s="259"/>
      <c r="M726" s="227"/>
      <c r="N726" s="23"/>
      <c r="O726" s="220">
        <f t="shared" si="87"/>
        <v>0</v>
      </c>
      <c r="P726" s="259"/>
      <c r="Q726" s="308">
        <f t="shared" si="82"/>
        <v>594504</v>
      </c>
      <c r="R726" s="92">
        <f t="shared" si="83"/>
        <v>0</v>
      </c>
      <c r="S726" s="92">
        <f t="shared" si="84"/>
        <v>594504</v>
      </c>
    </row>
    <row r="727" spans="2:19" x14ac:dyDescent="0.2">
      <c r="B727" s="88">
        <f t="shared" si="88"/>
        <v>9</v>
      </c>
      <c r="C727" s="5"/>
      <c r="D727" s="5"/>
      <c r="E727" s="5"/>
      <c r="F727" s="31"/>
      <c r="G727" s="5"/>
      <c r="H727" s="5" t="s">
        <v>565</v>
      </c>
      <c r="I727" s="44">
        <f>148800+837</f>
        <v>149637</v>
      </c>
      <c r="J727" s="44"/>
      <c r="K727" s="354">
        <f t="shared" si="85"/>
        <v>149637</v>
      </c>
      <c r="L727" s="259"/>
      <c r="M727" s="337"/>
      <c r="N727" s="25"/>
      <c r="O727" s="251">
        <f t="shared" si="87"/>
        <v>0</v>
      </c>
      <c r="P727" s="259"/>
      <c r="Q727" s="332">
        <f t="shared" si="82"/>
        <v>149637</v>
      </c>
      <c r="R727" s="93">
        <f t="shared" si="83"/>
        <v>0</v>
      </c>
      <c r="S727" s="93">
        <f t="shared" si="84"/>
        <v>149637</v>
      </c>
    </row>
    <row r="728" spans="2:19" x14ac:dyDescent="0.2">
      <c r="B728" s="88">
        <f t="shared" si="88"/>
        <v>10</v>
      </c>
      <c r="C728" s="5"/>
      <c r="D728" s="5"/>
      <c r="E728" s="5"/>
      <c r="F728" s="31"/>
      <c r="G728" s="5"/>
      <c r="H728" s="50" t="s">
        <v>545</v>
      </c>
      <c r="I728" s="44">
        <f>66357+373</f>
        <v>66730</v>
      </c>
      <c r="J728" s="44"/>
      <c r="K728" s="354">
        <f t="shared" si="85"/>
        <v>66730</v>
      </c>
      <c r="L728" s="259"/>
      <c r="M728" s="337"/>
      <c r="N728" s="25"/>
      <c r="O728" s="251">
        <f t="shared" si="87"/>
        <v>0</v>
      </c>
      <c r="P728" s="259"/>
      <c r="Q728" s="332">
        <f t="shared" si="82"/>
        <v>66730</v>
      </c>
      <c r="R728" s="93">
        <f t="shared" si="83"/>
        <v>0</v>
      </c>
      <c r="S728" s="93">
        <f t="shared" si="84"/>
        <v>66730</v>
      </c>
    </row>
    <row r="729" spans="2:19" x14ac:dyDescent="0.2">
      <c r="B729" s="88">
        <f t="shared" si="88"/>
        <v>11</v>
      </c>
      <c r="C729" s="5"/>
      <c r="D729" s="5"/>
      <c r="E729" s="5"/>
      <c r="F729" s="31"/>
      <c r="G729" s="5"/>
      <c r="H729" s="50" t="s">
        <v>546</v>
      </c>
      <c r="I729" s="44">
        <f>52282+293</f>
        <v>52575</v>
      </c>
      <c r="J729" s="44"/>
      <c r="K729" s="354">
        <f t="shared" si="85"/>
        <v>52575</v>
      </c>
      <c r="L729" s="259"/>
      <c r="M729" s="337"/>
      <c r="N729" s="25"/>
      <c r="O729" s="251">
        <f t="shared" si="87"/>
        <v>0</v>
      </c>
      <c r="P729" s="259"/>
      <c r="Q729" s="332">
        <f t="shared" si="82"/>
        <v>52575</v>
      </c>
      <c r="R729" s="93">
        <f t="shared" si="83"/>
        <v>0</v>
      </c>
      <c r="S729" s="93">
        <f t="shared" si="84"/>
        <v>52575</v>
      </c>
    </row>
    <row r="730" spans="2:19" x14ac:dyDescent="0.2">
      <c r="B730" s="88">
        <f t="shared" si="88"/>
        <v>12</v>
      </c>
      <c r="C730" s="5"/>
      <c r="D730" s="5"/>
      <c r="E730" s="5"/>
      <c r="F730" s="31"/>
      <c r="G730" s="5"/>
      <c r="H730" s="5" t="s">
        <v>547</v>
      </c>
      <c r="I730" s="44">
        <f>22119+125</f>
        <v>22244</v>
      </c>
      <c r="J730" s="44"/>
      <c r="K730" s="354">
        <f t="shared" si="85"/>
        <v>22244</v>
      </c>
      <c r="L730" s="259"/>
      <c r="M730" s="337"/>
      <c r="N730" s="25"/>
      <c r="O730" s="251">
        <f t="shared" si="87"/>
        <v>0</v>
      </c>
      <c r="P730" s="259"/>
      <c r="Q730" s="332">
        <f t="shared" si="82"/>
        <v>22244</v>
      </c>
      <c r="R730" s="93">
        <f t="shared" si="83"/>
        <v>0</v>
      </c>
      <c r="S730" s="93">
        <f t="shared" si="84"/>
        <v>22244</v>
      </c>
    </row>
    <row r="731" spans="2:19" x14ac:dyDescent="0.2">
      <c r="B731" s="88">
        <f t="shared" si="88"/>
        <v>13</v>
      </c>
      <c r="C731" s="5"/>
      <c r="D731" s="5"/>
      <c r="E731" s="5"/>
      <c r="F731" s="31"/>
      <c r="G731" s="5"/>
      <c r="H731" s="5" t="s">
        <v>548</v>
      </c>
      <c r="I731" s="44">
        <f>76411+430</f>
        <v>76841</v>
      </c>
      <c r="J731" s="44"/>
      <c r="K731" s="354">
        <f t="shared" si="85"/>
        <v>76841</v>
      </c>
      <c r="L731" s="259"/>
      <c r="M731" s="337"/>
      <c r="N731" s="25"/>
      <c r="O731" s="251">
        <f t="shared" si="87"/>
        <v>0</v>
      </c>
      <c r="P731" s="259"/>
      <c r="Q731" s="332">
        <f t="shared" si="82"/>
        <v>76841</v>
      </c>
      <c r="R731" s="93">
        <f t="shared" si="83"/>
        <v>0</v>
      </c>
      <c r="S731" s="93">
        <f t="shared" si="84"/>
        <v>76841</v>
      </c>
    </row>
    <row r="732" spans="2:19" x14ac:dyDescent="0.2">
      <c r="B732" s="88">
        <f t="shared" si="88"/>
        <v>14</v>
      </c>
      <c r="C732" s="5"/>
      <c r="D732" s="5"/>
      <c r="E732" s="5"/>
      <c r="F732" s="31"/>
      <c r="G732" s="5"/>
      <c r="H732" s="5" t="s">
        <v>549</v>
      </c>
      <c r="I732" s="44">
        <f>90487+508</f>
        <v>90995</v>
      </c>
      <c r="J732" s="44"/>
      <c r="K732" s="354">
        <f t="shared" si="85"/>
        <v>90995</v>
      </c>
      <c r="L732" s="259"/>
      <c r="M732" s="337"/>
      <c r="N732" s="25"/>
      <c r="O732" s="251">
        <f t="shared" si="87"/>
        <v>0</v>
      </c>
      <c r="P732" s="259"/>
      <c r="Q732" s="332">
        <f t="shared" si="82"/>
        <v>90995</v>
      </c>
      <c r="R732" s="93">
        <f t="shared" si="83"/>
        <v>0</v>
      </c>
      <c r="S732" s="93">
        <f t="shared" si="84"/>
        <v>90995</v>
      </c>
    </row>
    <row r="733" spans="2:19" x14ac:dyDescent="0.2">
      <c r="B733" s="88">
        <f t="shared" si="88"/>
        <v>15</v>
      </c>
      <c r="C733" s="5"/>
      <c r="D733" s="5"/>
      <c r="E733" s="5"/>
      <c r="F733" s="31"/>
      <c r="G733" s="5"/>
      <c r="H733" s="5" t="s">
        <v>550</v>
      </c>
      <c r="I733" s="44">
        <f>88476+497</f>
        <v>88973</v>
      </c>
      <c r="J733" s="44"/>
      <c r="K733" s="354">
        <f t="shared" si="85"/>
        <v>88973</v>
      </c>
      <c r="L733" s="259"/>
      <c r="M733" s="337"/>
      <c r="N733" s="25"/>
      <c r="O733" s="251">
        <f t="shared" si="87"/>
        <v>0</v>
      </c>
      <c r="P733" s="259"/>
      <c r="Q733" s="332">
        <f t="shared" si="82"/>
        <v>88973</v>
      </c>
      <c r="R733" s="93">
        <f t="shared" si="83"/>
        <v>0</v>
      </c>
      <c r="S733" s="93">
        <f t="shared" si="84"/>
        <v>88973</v>
      </c>
    </row>
    <row r="734" spans="2:19" x14ac:dyDescent="0.2">
      <c r="B734" s="88">
        <f t="shared" si="88"/>
        <v>16</v>
      </c>
      <c r="C734" s="5"/>
      <c r="D734" s="5"/>
      <c r="E734" s="5"/>
      <c r="F734" s="31"/>
      <c r="G734" s="5"/>
      <c r="H734" s="5" t="s">
        <v>551</v>
      </c>
      <c r="I734" s="44">
        <f>46249+260</f>
        <v>46509</v>
      </c>
      <c r="J734" s="44"/>
      <c r="K734" s="354">
        <f t="shared" si="85"/>
        <v>46509</v>
      </c>
      <c r="L734" s="259"/>
      <c r="M734" s="337"/>
      <c r="N734" s="25"/>
      <c r="O734" s="251">
        <f t="shared" si="87"/>
        <v>0</v>
      </c>
      <c r="P734" s="259"/>
      <c r="Q734" s="332">
        <f t="shared" si="82"/>
        <v>46509</v>
      </c>
      <c r="R734" s="93">
        <f t="shared" si="83"/>
        <v>0</v>
      </c>
      <c r="S734" s="93">
        <f t="shared" si="84"/>
        <v>46509</v>
      </c>
    </row>
    <row r="735" spans="2:19" ht="15" x14ac:dyDescent="0.25">
      <c r="B735" s="88">
        <f t="shared" si="88"/>
        <v>17</v>
      </c>
      <c r="C735" s="13"/>
      <c r="D735" s="13"/>
      <c r="E735" s="13">
        <v>3</v>
      </c>
      <c r="F735" s="32"/>
      <c r="G735" s="13"/>
      <c r="H735" s="13" t="s">
        <v>403</v>
      </c>
      <c r="I735" s="42">
        <f>I736+I737+I738+I744</f>
        <v>504451</v>
      </c>
      <c r="J735" s="42">
        <f>J736+J737+J738+J744</f>
        <v>85</v>
      </c>
      <c r="K735" s="255">
        <f t="shared" si="85"/>
        <v>504536</v>
      </c>
      <c r="L735" s="259"/>
      <c r="M735" s="317">
        <f>M745</f>
        <v>1235818</v>
      </c>
      <c r="N735" s="42">
        <f t="shared" ref="N735" si="89">N745</f>
        <v>0</v>
      </c>
      <c r="O735" s="255">
        <f t="shared" si="87"/>
        <v>1235818</v>
      </c>
      <c r="P735" s="259"/>
      <c r="Q735" s="312">
        <f t="shared" si="82"/>
        <v>1740269</v>
      </c>
      <c r="R735" s="99">
        <f t="shared" si="83"/>
        <v>85</v>
      </c>
      <c r="S735" s="99">
        <f t="shared" si="84"/>
        <v>1740354</v>
      </c>
    </row>
    <row r="736" spans="2:19" x14ac:dyDescent="0.2">
      <c r="B736" s="88">
        <f t="shared" si="88"/>
        <v>18</v>
      </c>
      <c r="C736" s="10"/>
      <c r="D736" s="10"/>
      <c r="E736" s="10"/>
      <c r="F736" s="29" t="s">
        <v>203</v>
      </c>
      <c r="G736" s="10">
        <v>610</v>
      </c>
      <c r="H736" s="10" t="s">
        <v>143</v>
      </c>
      <c r="I736" s="27">
        <f>271673+19076+2398+3000+50</f>
        <v>296197</v>
      </c>
      <c r="J736" s="27">
        <v>4585</v>
      </c>
      <c r="K736" s="250">
        <f t="shared" si="85"/>
        <v>300782</v>
      </c>
      <c r="L736" s="259"/>
      <c r="M736" s="315"/>
      <c r="N736" s="27"/>
      <c r="O736" s="250">
        <f t="shared" si="87"/>
        <v>0</v>
      </c>
      <c r="P736" s="259"/>
      <c r="Q736" s="309">
        <f t="shared" si="82"/>
        <v>296197</v>
      </c>
      <c r="R736" s="91">
        <f t="shared" si="83"/>
        <v>4585</v>
      </c>
      <c r="S736" s="91">
        <f t="shared" si="84"/>
        <v>300782</v>
      </c>
    </row>
    <row r="737" spans="2:19" x14ac:dyDescent="0.2">
      <c r="B737" s="88">
        <f t="shared" si="88"/>
        <v>19</v>
      </c>
      <c r="C737" s="10"/>
      <c r="D737" s="10"/>
      <c r="E737" s="10"/>
      <c r="F737" s="29" t="s">
        <v>203</v>
      </c>
      <c r="G737" s="10">
        <v>620</v>
      </c>
      <c r="H737" s="10" t="s">
        <v>136</v>
      </c>
      <c r="I737" s="27">
        <f>102430+7049+886+10</f>
        <v>110375</v>
      </c>
      <c r="J737" s="27"/>
      <c r="K737" s="250">
        <f t="shared" si="85"/>
        <v>110375</v>
      </c>
      <c r="L737" s="259"/>
      <c r="M737" s="315"/>
      <c r="N737" s="27"/>
      <c r="O737" s="250">
        <f t="shared" si="87"/>
        <v>0</v>
      </c>
      <c r="P737" s="259"/>
      <c r="Q737" s="309">
        <f t="shared" si="82"/>
        <v>110375</v>
      </c>
      <c r="R737" s="91">
        <f t="shared" si="83"/>
        <v>0</v>
      </c>
      <c r="S737" s="91">
        <f t="shared" si="84"/>
        <v>110375</v>
      </c>
    </row>
    <row r="738" spans="2:19" x14ac:dyDescent="0.2">
      <c r="B738" s="88">
        <f t="shared" si="88"/>
        <v>20</v>
      </c>
      <c r="C738" s="10"/>
      <c r="D738" s="10"/>
      <c r="E738" s="10"/>
      <c r="F738" s="29" t="s">
        <v>203</v>
      </c>
      <c r="G738" s="10">
        <v>630</v>
      </c>
      <c r="H738" s="10" t="s">
        <v>133</v>
      </c>
      <c r="I738" s="27">
        <f>SUM(I739:I743)</f>
        <v>92015</v>
      </c>
      <c r="J738" s="27">
        <f>SUM(J739:J743)</f>
        <v>-4500</v>
      </c>
      <c r="K738" s="250">
        <f t="shared" si="85"/>
        <v>87515</v>
      </c>
      <c r="L738" s="259"/>
      <c r="M738" s="315"/>
      <c r="N738" s="27"/>
      <c r="O738" s="250">
        <f t="shared" si="87"/>
        <v>0</v>
      </c>
      <c r="P738" s="259"/>
      <c r="Q738" s="309">
        <f t="shared" si="82"/>
        <v>92015</v>
      </c>
      <c r="R738" s="91">
        <f t="shared" si="83"/>
        <v>-4500</v>
      </c>
      <c r="S738" s="91">
        <f t="shared" si="84"/>
        <v>87515</v>
      </c>
    </row>
    <row r="739" spans="2:19" x14ac:dyDescent="0.2">
      <c r="B739" s="88">
        <f t="shared" si="88"/>
        <v>21</v>
      </c>
      <c r="C739" s="4"/>
      <c r="D739" s="4"/>
      <c r="E739" s="4"/>
      <c r="F739" s="30" t="s">
        <v>203</v>
      </c>
      <c r="G739" s="4">
        <v>632</v>
      </c>
      <c r="H739" s="4" t="s">
        <v>146</v>
      </c>
      <c r="I739" s="23">
        <v>49600</v>
      </c>
      <c r="J739" s="23"/>
      <c r="K739" s="220">
        <f t="shared" si="85"/>
        <v>49600</v>
      </c>
      <c r="L739" s="259"/>
      <c r="M739" s="227"/>
      <c r="N739" s="23"/>
      <c r="O739" s="220">
        <f t="shared" si="87"/>
        <v>0</v>
      </c>
      <c r="P739" s="259"/>
      <c r="Q739" s="308">
        <f t="shared" si="82"/>
        <v>49600</v>
      </c>
      <c r="R739" s="92">
        <f t="shared" si="83"/>
        <v>0</v>
      </c>
      <c r="S739" s="92">
        <f t="shared" si="84"/>
        <v>49600</v>
      </c>
    </row>
    <row r="740" spans="2:19" x14ac:dyDescent="0.2">
      <c r="B740" s="88">
        <f t="shared" si="88"/>
        <v>22</v>
      </c>
      <c r="C740" s="4"/>
      <c r="D740" s="4"/>
      <c r="E740" s="4"/>
      <c r="F740" s="30" t="s">
        <v>203</v>
      </c>
      <c r="G740" s="4">
        <v>633</v>
      </c>
      <c r="H740" s="4" t="s">
        <v>137</v>
      </c>
      <c r="I740" s="23">
        <f>24830-165-12400</f>
        <v>12265</v>
      </c>
      <c r="J740" s="23">
        <v>-4585</v>
      </c>
      <c r="K740" s="220">
        <f t="shared" si="85"/>
        <v>7680</v>
      </c>
      <c r="L740" s="259"/>
      <c r="M740" s="227"/>
      <c r="N740" s="23"/>
      <c r="O740" s="220">
        <f t="shared" si="87"/>
        <v>0</v>
      </c>
      <c r="P740" s="259"/>
      <c r="Q740" s="308">
        <f t="shared" si="82"/>
        <v>12265</v>
      </c>
      <c r="R740" s="92">
        <f t="shared" si="83"/>
        <v>-4585</v>
      </c>
      <c r="S740" s="92">
        <f t="shared" si="84"/>
        <v>7680</v>
      </c>
    </row>
    <row r="741" spans="2:19" x14ac:dyDescent="0.2">
      <c r="B741" s="88">
        <f t="shared" si="88"/>
        <v>23</v>
      </c>
      <c r="C741" s="4"/>
      <c r="D741" s="4"/>
      <c r="E741" s="4"/>
      <c r="F741" s="30" t="s">
        <v>203</v>
      </c>
      <c r="G741" s="4">
        <v>635</v>
      </c>
      <c r="H741" s="4" t="s">
        <v>145</v>
      </c>
      <c r="I741" s="23">
        <f>2000+12400</f>
        <v>14400</v>
      </c>
      <c r="J741" s="23"/>
      <c r="K741" s="220">
        <f t="shared" si="85"/>
        <v>14400</v>
      </c>
      <c r="L741" s="259"/>
      <c r="M741" s="227"/>
      <c r="N741" s="23"/>
      <c r="O741" s="220">
        <f t="shared" si="87"/>
        <v>0</v>
      </c>
      <c r="P741" s="259"/>
      <c r="Q741" s="308">
        <f t="shared" si="82"/>
        <v>14400</v>
      </c>
      <c r="R741" s="92">
        <f t="shared" si="83"/>
        <v>0</v>
      </c>
      <c r="S741" s="92">
        <f t="shared" si="84"/>
        <v>14400</v>
      </c>
    </row>
    <row r="742" spans="2:19" x14ac:dyDescent="0.2">
      <c r="B742" s="88">
        <f t="shared" si="88"/>
        <v>24</v>
      </c>
      <c r="C742" s="4"/>
      <c r="D742" s="4"/>
      <c r="E742" s="4"/>
      <c r="F742" s="30" t="s">
        <v>203</v>
      </c>
      <c r="G742" s="4">
        <v>636</v>
      </c>
      <c r="H742" s="4" t="s">
        <v>138</v>
      </c>
      <c r="I742" s="23">
        <v>7200</v>
      </c>
      <c r="J742" s="23"/>
      <c r="K742" s="220">
        <f t="shared" si="85"/>
        <v>7200</v>
      </c>
      <c r="L742" s="259"/>
      <c r="M742" s="227"/>
      <c r="N742" s="23"/>
      <c r="O742" s="220">
        <f t="shared" si="87"/>
        <v>0</v>
      </c>
      <c r="P742" s="259"/>
      <c r="Q742" s="308">
        <f t="shared" si="82"/>
        <v>7200</v>
      </c>
      <c r="R742" s="92">
        <f t="shared" si="83"/>
        <v>0</v>
      </c>
      <c r="S742" s="92">
        <f t="shared" si="84"/>
        <v>7200</v>
      </c>
    </row>
    <row r="743" spans="2:19" x14ac:dyDescent="0.2">
      <c r="B743" s="88">
        <f t="shared" si="88"/>
        <v>25</v>
      </c>
      <c r="C743" s="4"/>
      <c r="D743" s="4"/>
      <c r="E743" s="4"/>
      <c r="F743" s="30" t="s">
        <v>203</v>
      </c>
      <c r="G743" s="4">
        <v>637</v>
      </c>
      <c r="H743" s="4" t="s">
        <v>134</v>
      </c>
      <c r="I743" s="23">
        <f>8350+200</f>
        <v>8550</v>
      </c>
      <c r="J743" s="23">
        <v>85</v>
      </c>
      <c r="K743" s="220">
        <f t="shared" si="85"/>
        <v>8635</v>
      </c>
      <c r="L743" s="259"/>
      <c r="M743" s="227"/>
      <c r="N743" s="23"/>
      <c r="O743" s="220">
        <f t="shared" si="87"/>
        <v>0</v>
      </c>
      <c r="P743" s="259"/>
      <c r="Q743" s="308">
        <f t="shared" si="82"/>
        <v>8550</v>
      </c>
      <c r="R743" s="92">
        <f t="shared" si="83"/>
        <v>85</v>
      </c>
      <c r="S743" s="92">
        <f t="shared" si="84"/>
        <v>8635</v>
      </c>
    </row>
    <row r="744" spans="2:19" x14ac:dyDescent="0.2">
      <c r="B744" s="88">
        <f t="shared" si="88"/>
        <v>26</v>
      </c>
      <c r="C744" s="10"/>
      <c r="D744" s="10"/>
      <c r="E744" s="10"/>
      <c r="F744" s="29" t="s">
        <v>203</v>
      </c>
      <c r="G744" s="10">
        <v>640</v>
      </c>
      <c r="H744" s="10" t="s">
        <v>141</v>
      </c>
      <c r="I744" s="27">
        <v>5864</v>
      </c>
      <c r="J744" s="27"/>
      <c r="K744" s="250">
        <f t="shared" si="85"/>
        <v>5864</v>
      </c>
      <c r="L744" s="259"/>
      <c r="M744" s="315"/>
      <c r="N744" s="27"/>
      <c r="O744" s="250">
        <f t="shared" si="87"/>
        <v>0</v>
      </c>
      <c r="P744" s="259"/>
      <c r="Q744" s="309">
        <f t="shared" si="82"/>
        <v>5864</v>
      </c>
      <c r="R744" s="91">
        <f t="shared" si="83"/>
        <v>0</v>
      </c>
      <c r="S744" s="91">
        <f t="shared" si="84"/>
        <v>5864</v>
      </c>
    </row>
    <row r="745" spans="2:19" x14ac:dyDescent="0.2">
      <c r="B745" s="88">
        <f t="shared" si="88"/>
        <v>27</v>
      </c>
      <c r="C745" s="10"/>
      <c r="D745" s="10"/>
      <c r="E745" s="10"/>
      <c r="F745" s="29" t="s">
        <v>203</v>
      </c>
      <c r="G745" s="10">
        <v>710</v>
      </c>
      <c r="H745" s="10" t="s">
        <v>188</v>
      </c>
      <c r="I745" s="27"/>
      <c r="J745" s="27"/>
      <c r="K745" s="250">
        <f t="shared" si="85"/>
        <v>0</v>
      </c>
      <c r="L745" s="259"/>
      <c r="M745" s="315">
        <f>M746</f>
        <v>1235818</v>
      </c>
      <c r="N745" s="27">
        <f t="shared" ref="N745:N746" si="90">N746</f>
        <v>0</v>
      </c>
      <c r="O745" s="250">
        <f t="shared" si="87"/>
        <v>1235818</v>
      </c>
      <c r="P745" s="259"/>
      <c r="Q745" s="309">
        <f t="shared" si="82"/>
        <v>1235818</v>
      </c>
      <c r="R745" s="91">
        <f t="shared" si="83"/>
        <v>0</v>
      </c>
      <c r="S745" s="91">
        <f t="shared" si="84"/>
        <v>1235818</v>
      </c>
    </row>
    <row r="746" spans="2:19" x14ac:dyDescent="0.2">
      <c r="B746" s="88">
        <f t="shared" si="88"/>
        <v>28</v>
      </c>
      <c r="C746" s="4"/>
      <c r="D746" s="4"/>
      <c r="E746" s="4"/>
      <c r="F746" s="30" t="s">
        <v>203</v>
      </c>
      <c r="G746" s="4">
        <v>717</v>
      </c>
      <c r="H746" s="4" t="s">
        <v>198</v>
      </c>
      <c r="I746" s="23"/>
      <c r="J746" s="23"/>
      <c r="K746" s="220">
        <f t="shared" si="85"/>
        <v>0</v>
      </c>
      <c r="L746" s="259"/>
      <c r="M746" s="227">
        <f>M747</f>
        <v>1235818</v>
      </c>
      <c r="N746" s="23">
        <f t="shared" si="90"/>
        <v>0</v>
      </c>
      <c r="O746" s="220">
        <f t="shared" si="87"/>
        <v>1235818</v>
      </c>
      <c r="P746" s="259"/>
      <c r="Q746" s="370">
        <f t="shared" si="82"/>
        <v>1235818</v>
      </c>
      <c r="R746" s="116">
        <f t="shared" si="83"/>
        <v>0</v>
      </c>
      <c r="S746" s="116">
        <f t="shared" si="84"/>
        <v>1235818</v>
      </c>
    </row>
    <row r="747" spans="2:19" x14ac:dyDescent="0.2">
      <c r="B747" s="88">
        <f t="shared" si="88"/>
        <v>29</v>
      </c>
      <c r="C747" s="5"/>
      <c r="D747" s="5"/>
      <c r="E747" s="5"/>
      <c r="F747" s="35"/>
      <c r="G747" s="5"/>
      <c r="H747" s="5" t="s">
        <v>366</v>
      </c>
      <c r="I747" s="25"/>
      <c r="J747" s="25"/>
      <c r="K747" s="251">
        <f t="shared" si="85"/>
        <v>0</v>
      </c>
      <c r="L747" s="259"/>
      <c r="M747" s="337">
        <f>1253208+11640-5040-23990</f>
        <v>1235818</v>
      </c>
      <c r="N747" s="25"/>
      <c r="O747" s="251">
        <f t="shared" si="87"/>
        <v>1235818</v>
      </c>
      <c r="P747" s="259"/>
      <c r="Q747" s="371">
        <f t="shared" si="82"/>
        <v>1235818</v>
      </c>
      <c r="R747" s="117">
        <f t="shared" si="83"/>
        <v>0</v>
      </c>
      <c r="S747" s="117">
        <f t="shared" si="84"/>
        <v>1235818</v>
      </c>
    </row>
    <row r="748" spans="2:19" ht="15" x14ac:dyDescent="0.25">
      <c r="B748" s="88">
        <f t="shared" si="88"/>
        <v>30</v>
      </c>
      <c r="C748" s="13"/>
      <c r="D748" s="13"/>
      <c r="E748" s="13">
        <v>4</v>
      </c>
      <c r="F748" s="32"/>
      <c r="G748" s="13"/>
      <c r="H748" s="13" t="s">
        <v>404</v>
      </c>
      <c r="I748" s="42">
        <f>I751+I760+I769+I780+I788+I797+I806+I818+I827+I840+I853+I864+I875+I883+I895+I749</f>
        <v>3221751</v>
      </c>
      <c r="J748" s="42">
        <f>J751+J760+J769+J780+J788+J797+J806+J818+J827+J840+J853+J864+J875+J883+J895+J749</f>
        <v>2325</v>
      </c>
      <c r="K748" s="255">
        <f t="shared" si="85"/>
        <v>3224076</v>
      </c>
      <c r="L748" s="259"/>
      <c r="M748" s="317">
        <f>M751+M760+M769+M780+M788+M797+M806+M818+M827+M840+M853+M864+M875+M883+M895</f>
        <v>1019767</v>
      </c>
      <c r="N748" s="42">
        <f>N751+N760+N769+N780+N788+N797+N806+N818+N827+N840+N853+N864+N875+N883+N895</f>
        <v>901884</v>
      </c>
      <c r="O748" s="255">
        <f t="shared" si="87"/>
        <v>1921651</v>
      </c>
      <c r="P748" s="259"/>
      <c r="Q748" s="312">
        <f t="shared" si="82"/>
        <v>4241518</v>
      </c>
      <c r="R748" s="99">
        <f t="shared" si="83"/>
        <v>904209</v>
      </c>
      <c r="S748" s="99">
        <f t="shared" si="84"/>
        <v>5145727</v>
      </c>
    </row>
    <row r="749" spans="2:19" x14ac:dyDescent="0.2">
      <c r="B749" s="88">
        <f t="shared" si="88"/>
        <v>31</v>
      </c>
      <c r="C749" s="4"/>
      <c r="D749" s="4"/>
      <c r="E749" s="4"/>
      <c r="F749" s="29" t="s">
        <v>203</v>
      </c>
      <c r="G749" s="10">
        <v>630</v>
      </c>
      <c r="H749" s="10" t="s">
        <v>133</v>
      </c>
      <c r="I749" s="27">
        <f>I750</f>
        <v>311</v>
      </c>
      <c r="J749" s="27">
        <f>J750</f>
        <v>0</v>
      </c>
      <c r="K749" s="250">
        <f t="shared" si="85"/>
        <v>311</v>
      </c>
      <c r="L749" s="259"/>
      <c r="M749" s="227"/>
      <c r="N749" s="23"/>
      <c r="O749" s="220">
        <f t="shared" si="87"/>
        <v>0</v>
      </c>
      <c r="P749" s="259"/>
      <c r="Q749" s="308">
        <f t="shared" si="82"/>
        <v>311</v>
      </c>
      <c r="R749" s="92">
        <f t="shared" si="83"/>
        <v>0</v>
      </c>
      <c r="S749" s="92">
        <f t="shared" si="84"/>
        <v>311</v>
      </c>
    </row>
    <row r="750" spans="2:19" x14ac:dyDescent="0.2">
      <c r="B750" s="88">
        <f t="shared" si="88"/>
        <v>32</v>
      </c>
      <c r="C750" s="4"/>
      <c r="D750" s="4"/>
      <c r="E750" s="4"/>
      <c r="F750" s="30" t="s">
        <v>203</v>
      </c>
      <c r="G750" s="4">
        <v>630</v>
      </c>
      <c r="H750" s="4" t="s">
        <v>594</v>
      </c>
      <c r="I750" s="23">
        <v>311</v>
      </c>
      <c r="J750" s="23"/>
      <c r="K750" s="220">
        <f t="shared" si="85"/>
        <v>311</v>
      </c>
      <c r="L750" s="259"/>
      <c r="M750" s="227"/>
      <c r="N750" s="23"/>
      <c r="O750" s="220">
        <f t="shared" si="87"/>
        <v>0</v>
      </c>
      <c r="P750" s="259"/>
      <c r="Q750" s="308">
        <f t="shared" si="82"/>
        <v>311</v>
      </c>
      <c r="R750" s="92">
        <f t="shared" si="83"/>
        <v>0</v>
      </c>
      <c r="S750" s="92">
        <f t="shared" si="84"/>
        <v>311</v>
      </c>
    </row>
    <row r="751" spans="2:19" x14ac:dyDescent="0.2">
      <c r="B751" s="88">
        <f t="shared" si="88"/>
        <v>33</v>
      </c>
      <c r="C751" s="9"/>
      <c r="D751" s="9"/>
      <c r="E751" s="9" t="s">
        <v>101</v>
      </c>
      <c r="F751" s="33"/>
      <c r="G751" s="9"/>
      <c r="H751" s="9" t="s">
        <v>72</v>
      </c>
      <c r="I751" s="45">
        <f>I752+I753+I754+I759</f>
        <v>158299</v>
      </c>
      <c r="J751" s="45">
        <f>J752+J753+J754+J759</f>
        <v>75</v>
      </c>
      <c r="K751" s="359">
        <f t="shared" si="85"/>
        <v>158374</v>
      </c>
      <c r="L751" s="259"/>
      <c r="M751" s="362">
        <v>0</v>
      </c>
      <c r="N751" s="45">
        <v>0</v>
      </c>
      <c r="O751" s="359">
        <f t="shared" si="87"/>
        <v>0</v>
      </c>
      <c r="P751" s="259"/>
      <c r="Q751" s="372">
        <f t="shared" si="82"/>
        <v>158299</v>
      </c>
      <c r="R751" s="105">
        <f t="shared" si="83"/>
        <v>75</v>
      </c>
      <c r="S751" s="105">
        <f t="shared" si="84"/>
        <v>158374</v>
      </c>
    </row>
    <row r="752" spans="2:19" x14ac:dyDescent="0.2">
      <c r="B752" s="88">
        <f t="shared" si="88"/>
        <v>34</v>
      </c>
      <c r="C752" s="10"/>
      <c r="D752" s="10"/>
      <c r="E752" s="10"/>
      <c r="F752" s="29" t="s">
        <v>203</v>
      </c>
      <c r="G752" s="10">
        <v>610</v>
      </c>
      <c r="H752" s="10" t="s">
        <v>143</v>
      </c>
      <c r="I752" s="27">
        <f>87139+5602-1093</f>
        <v>91648</v>
      </c>
      <c r="J752" s="27"/>
      <c r="K752" s="250">
        <f t="shared" si="85"/>
        <v>91648</v>
      </c>
      <c r="L752" s="259"/>
      <c r="M752" s="315"/>
      <c r="N752" s="27"/>
      <c r="O752" s="250">
        <f t="shared" si="87"/>
        <v>0</v>
      </c>
      <c r="P752" s="259"/>
      <c r="Q752" s="309">
        <f t="shared" si="82"/>
        <v>91648</v>
      </c>
      <c r="R752" s="91">
        <f t="shared" si="83"/>
        <v>0</v>
      </c>
      <c r="S752" s="91">
        <f t="shared" si="84"/>
        <v>91648</v>
      </c>
    </row>
    <row r="753" spans="2:19" x14ac:dyDescent="0.2">
      <c r="B753" s="88">
        <f t="shared" si="88"/>
        <v>35</v>
      </c>
      <c r="C753" s="10"/>
      <c r="D753" s="10"/>
      <c r="E753" s="10"/>
      <c r="F753" s="29" t="s">
        <v>203</v>
      </c>
      <c r="G753" s="10">
        <v>620</v>
      </c>
      <c r="H753" s="10" t="s">
        <v>136</v>
      </c>
      <c r="I753" s="27">
        <f>33362+2070-273</f>
        <v>35159</v>
      </c>
      <c r="J753" s="27"/>
      <c r="K753" s="250">
        <f t="shared" si="85"/>
        <v>35159</v>
      </c>
      <c r="L753" s="259"/>
      <c r="M753" s="315"/>
      <c r="N753" s="27"/>
      <c r="O753" s="250">
        <f t="shared" si="87"/>
        <v>0</v>
      </c>
      <c r="P753" s="259"/>
      <c r="Q753" s="309">
        <f t="shared" si="82"/>
        <v>35159</v>
      </c>
      <c r="R753" s="91">
        <f t="shared" si="83"/>
        <v>0</v>
      </c>
      <c r="S753" s="91">
        <f t="shared" si="84"/>
        <v>35159</v>
      </c>
    </row>
    <row r="754" spans="2:19" x14ac:dyDescent="0.2">
      <c r="B754" s="88">
        <f t="shared" si="88"/>
        <v>36</v>
      </c>
      <c r="C754" s="10"/>
      <c r="D754" s="10"/>
      <c r="E754" s="10"/>
      <c r="F754" s="29" t="s">
        <v>203</v>
      </c>
      <c r="G754" s="10">
        <v>630</v>
      </c>
      <c r="H754" s="10" t="s">
        <v>133</v>
      </c>
      <c r="I754" s="27">
        <f>SUM(I755:I758)</f>
        <v>27878</v>
      </c>
      <c r="J754" s="27">
        <f>SUM(J755:J758)</f>
        <v>75</v>
      </c>
      <c r="K754" s="250">
        <f t="shared" si="85"/>
        <v>27953</v>
      </c>
      <c r="L754" s="259"/>
      <c r="M754" s="315"/>
      <c r="N754" s="27"/>
      <c r="O754" s="250">
        <f t="shared" si="87"/>
        <v>0</v>
      </c>
      <c r="P754" s="259"/>
      <c r="Q754" s="309">
        <f t="shared" si="82"/>
        <v>27878</v>
      </c>
      <c r="R754" s="91">
        <f t="shared" si="83"/>
        <v>75</v>
      </c>
      <c r="S754" s="91">
        <f t="shared" si="84"/>
        <v>27953</v>
      </c>
    </row>
    <row r="755" spans="2:19" x14ac:dyDescent="0.2">
      <c r="B755" s="88">
        <f t="shared" si="88"/>
        <v>37</v>
      </c>
      <c r="C755" s="4"/>
      <c r="D755" s="4"/>
      <c r="E755" s="4"/>
      <c r="F755" s="30" t="s">
        <v>203</v>
      </c>
      <c r="G755" s="4">
        <v>632</v>
      </c>
      <c r="H755" s="4" t="s">
        <v>146</v>
      </c>
      <c r="I755" s="23">
        <v>15100</v>
      </c>
      <c r="J755" s="23"/>
      <c r="K755" s="220">
        <f t="shared" si="85"/>
        <v>15100</v>
      </c>
      <c r="L755" s="259"/>
      <c r="M755" s="227"/>
      <c r="N755" s="23"/>
      <c r="O755" s="220">
        <f t="shared" si="87"/>
        <v>0</v>
      </c>
      <c r="P755" s="259"/>
      <c r="Q755" s="308">
        <f t="shared" si="82"/>
        <v>15100</v>
      </c>
      <c r="R755" s="92">
        <f t="shared" si="83"/>
        <v>0</v>
      </c>
      <c r="S755" s="92">
        <f t="shared" si="84"/>
        <v>15100</v>
      </c>
    </row>
    <row r="756" spans="2:19" x14ac:dyDescent="0.2">
      <c r="B756" s="88">
        <f t="shared" si="88"/>
        <v>38</v>
      </c>
      <c r="C756" s="4"/>
      <c r="D756" s="4"/>
      <c r="E756" s="4"/>
      <c r="F756" s="30" t="s">
        <v>203</v>
      </c>
      <c r="G756" s="4">
        <v>633</v>
      </c>
      <c r="H756" s="4" t="s">
        <v>137</v>
      </c>
      <c r="I756" s="23">
        <f>6536+1802</f>
        <v>8338</v>
      </c>
      <c r="J756" s="23"/>
      <c r="K756" s="220">
        <f t="shared" si="85"/>
        <v>8338</v>
      </c>
      <c r="L756" s="259"/>
      <c r="M756" s="227"/>
      <c r="N756" s="23"/>
      <c r="O756" s="220">
        <f t="shared" si="87"/>
        <v>0</v>
      </c>
      <c r="P756" s="259"/>
      <c r="Q756" s="308">
        <f t="shared" si="82"/>
        <v>8338</v>
      </c>
      <c r="R756" s="92">
        <f t="shared" si="83"/>
        <v>0</v>
      </c>
      <c r="S756" s="92">
        <f t="shared" si="84"/>
        <v>8338</v>
      </c>
    </row>
    <row r="757" spans="2:19" x14ac:dyDescent="0.2">
      <c r="B757" s="88">
        <f t="shared" si="88"/>
        <v>39</v>
      </c>
      <c r="C757" s="4"/>
      <c r="D757" s="4"/>
      <c r="E757" s="4"/>
      <c r="F757" s="30" t="s">
        <v>203</v>
      </c>
      <c r="G757" s="4">
        <v>635</v>
      </c>
      <c r="H757" s="4" t="s">
        <v>145</v>
      </c>
      <c r="I757" s="23">
        <v>1700</v>
      </c>
      <c r="J757" s="23"/>
      <c r="K757" s="220">
        <f t="shared" si="85"/>
        <v>1700</v>
      </c>
      <c r="L757" s="259"/>
      <c r="M757" s="227"/>
      <c r="N757" s="23"/>
      <c r="O757" s="220">
        <f t="shared" si="87"/>
        <v>0</v>
      </c>
      <c r="P757" s="259"/>
      <c r="Q757" s="308">
        <f t="shared" si="82"/>
        <v>1700</v>
      </c>
      <c r="R757" s="92">
        <f t="shared" si="83"/>
        <v>0</v>
      </c>
      <c r="S757" s="92">
        <f t="shared" si="84"/>
        <v>1700</v>
      </c>
    </row>
    <row r="758" spans="2:19" x14ac:dyDescent="0.2">
      <c r="B758" s="88">
        <f t="shared" si="88"/>
        <v>40</v>
      </c>
      <c r="C758" s="4"/>
      <c r="D758" s="4"/>
      <c r="E758" s="4"/>
      <c r="F758" s="30" t="s">
        <v>203</v>
      </c>
      <c r="G758" s="4">
        <v>637</v>
      </c>
      <c r="H758" s="4" t="s">
        <v>134</v>
      </c>
      <c r="I758" s="23">
        <v>2740</v>
      </c>
      <c r="J758" s="23">
        <v>75</v>
      </c>
      <c r="K758" s="220">
        <f t="shared" si="85"/>
        <v>2815</v>
      </c>
      <c r="L758" s="259"/>
      <c r="M758" s="227"/>
      <c r="N758" s="23"/>
      <c r="O758" s="220">
        <f t="shared" si="87"/>
        <v>0</v>
      </c>
      <c r="P758" s="259"/>
      <c r="Q758" s="308">
        <f t="shared" si="82"/>
        <v>2740</v>
      </c>
      <c r="R758" s="92">
        <f t="shared" si="83"/>
        <v>75</v>
      </c>
      <c r="S758" s="92">
        <f t="shared" si="84"/>
        <v>2815</v>
      </c>
    </row>
    <row r="759" spans="2:19" x14ac:dyDescent="0.2">
      <c r="B759" s="88">
        <f t="shared" si="88"/>
        <v>41</v>
      </c>
      <c r="C759" s="10"/>
      <c r="D759" s="10"/>
      <c r="E759" s="10"/>
      <c r="F759" s="29" t="s">
        <v>203</v>
      </c>
      <c r="G759" s="10">
        <v>640</v>
      </c>
      <c r="H759" s="10" t="s">
        <v>141</v>
      </c>
      <c r="I759" s="27">
        <v>3614</v>
      </c>
      <c r="J759" s="27"/>
      <c r="K759" s="250">
        <f t="shared" si="85"/>
        <v>3614</v>
      </c>
      <c r="L759" s="259"/>
      <c r="M759" s="315"/>
      <c r="N759" s="27"/>
      <c r="O759" s="250">
        <f t="shared" si="87"/>
        <v>0</v>
      </c>
      <c r="P759" s="259"/>
      <c r="Q759" s="309">
        <f t="shared" si="82"/>
        <v>3614</v>
      </c>
      <c r="R759" s="91">
        <f t="shared" si="83"/>
        <v>0</v>
      </c>
      <c r="S759" s="91">
        <f t="shared" si="84"/>
        <v>3614</v>
      </c>
    </row>
    <row r="760" spans="2:19" x14ac:dyDescent="0.2">
      <c r="B760" s="88">
        <f t="shared" si="88"/>
        <v>42</v>
      </c>
      <c r="C760" s="9"/>
      <c r="D760" s="9"/>
      <c r="E760" s="9" t="s">
        <v>100</v>
      </c>
      <c r="F760" s="33"/>
      <c r="G760" s="9"/>
      <c r="H760" s="9" t="s">
        <v>241</v>
      </c>
      <c r="I760" s="45">
        <f>I761+I762+I763+I768</f>
        <v>299307</v>
      </c>
      <c r="J760" s="45">
        <f>J761+J762+J763+J768</f>
        <v>100</v>
      </c>
      <c r="K760" s="359">
        <f t="shared" si="85"/>
        <v>299407</v>
      </c>
      <c r="L760" s="259"/>
      <c r="M760" s="362">
        <v>0</v>
      </c>
      <c r="N760" s="45">
        <v>0</v>
      </c>
      <c r="O760" s="359">
        <f t="shared" si="87"/>
        <v>0</v>
      </c>
      <c r="P760" s="259"/>
      <c r="Q760" s="372">
        <f t="shared" si="82"/>
        <v>299307</v>
      </c>
      <c r="R760" s="105">
        <f t="shared" si="83"/>
        <v>100</v>
      </c>
      <c r="S760" s="105">
        <f t="shared" si="84"/>
        <v>299407</v>
      </c>
    </row>
    <row r="761" spans="2:19" x14ac:dyDescent="0.2">
      <c r="B761" s="88">
        <f t="shared" si="88"/>
        <v>43</v>
      </c>
      <c r="C761" s="10"/>
      <c r="D761" s="10"/>
      <c r="E761" s="10"/>
      <c r="F761" s="29" t="s">
        <v>203</v>
      </c>
      <c r="G761" s="10">
        <v>610</v>
      </c>
      <c r="H761" s="10" t="s">
        <v>143</v>
      </c>
      <c r="I761" s="27">
        <f>154811+10432-3084</f>
        <v>162159</v>
      </c>
      <c r="J761" s="27"/>
      <c r="K761" s="250">
        <f t="shared" si="85"/>
        <v>162159</v>
      </c>
      <c r="L761" s="259"/>
      <c r="M761" s="315"/>
      <c r="N761" s="27"/>
      <c r="O761" s="250">
        <f t="shared" si="87"/>
        <v>0</v>
      </c>
      <c r="P761" s="259"/>
      <c r="Q761" s="309">
        <f t="shared" si="82"/>
        <v>162159</v>
      </c>
      <c r="R761" s="91">
        <f t="shared" si="83"/>
        <v>0</v>
      </c>
      <c r="S761" s="91">
        <f t="shared" si="84"/>
        <v>162159</v>
      </c>
    </row>
    <row r="762" spans="2:19" x14ac:dyDescent="0.2">
      <c r="B762" s="88">
        <f t="shared" si="88"/>
        <v>44</v>
      </c>
      <c r="C762" s="10"/>
      <c r="D762" s="10"/>
      <c r="E762" s="10"/>
      <c r="F762" s="29" t="s">
        <v>203</v>
      </c>
      <c r="G762" s="10">
        <v>620</v>
      </c>
      <c r="H762" s="10" t="s">
        <v>136</v>
      </c>
      <c r="I762" s="27">
        <f>60222+3855-1086</f>
        <v>62991</v>
      </c>
      <c r="J762" s="27"/>
      <c r="K762" s="250">
        <f t="shared" si="85"/>
        <v>62991</v>
      </c>
      <c r="L762" s="259"/>
      <c r="M762" s="315"/>
      <c r="N762" s="27"/>
      <c r="O762" s="250">
        <f t="shared" si="87"/>
        <v>0</v>
      </c>
      <c r="P762" s="259"/>
      <c r="Q762" s="309">
        <f t="shared" si="82"/>
        <v>62991</v>
      </c>
      <c r="R762" s="91">
        <f t="shared" si="83"/>
        <v>0</v>
      </c>
      <c r="S762" s="91">
        <f t="shared" si="84"/>
        <v>62991</v>
      </c>
    </row>
    <row r="763" spans="2:19" x14ac:dyDescent="0.2">
      <c r="B763" s="88">
        <f t="shared" si="88"/>
        <v>45</v>
      </c>
      <c r="C763" s="10"/>
      <c r="D763" s="10"/>
      <c r="E763" s="10"/>
      <c r="F763" s="29" t="s">
        <v>203</v>
      </c>
      <c r="G763" s="10">
        <v>630</v>
      </c>
      <c r="H763" s="10" t="s">
        <v>133</v>
      </c>
      <c r="I763" s="27">
        <f>SUM(I764:I767)</f>
        <v>65716</v>
      </c>
      <c r="J763" s="27">
        <f>SUM(J764:J767)</f>
        <v>100</v>
      </c>
      <c r="K763" s="250">
        <f t="shared" si="85"/>
        <v>65816</v>
      </c>
      <c r="L763" s="259"/>
      <c r="M763" s="315"/>
      <c r="N763" s="27"/>
      <c r="O763" s="250">
        <f t="shared" si="87"/>
        <v>0</v>
      </c>
      <c r="P763" s="259"/>
      <c r="Q763" s="309">
        <f t="shared" si="82"/>
        <v>65716</v>
      </c>
      <c r="R763" s="91">
        <f t="shared" si="83"/>
        <v>100</v>
      </c>
      <c r="S763" s="91">
        <f t="shared" si="84"/>
        <v>65816</v>
      </c>
    </row>
    <row r="764" spans="2:19" x14ac:dyDescent="0.2">
      <c r="B764" s="88">
        <f t="shared" si="88"/>
        <v>46</v>
      </c>
      <c r="C764" s="4"/>
      <c r="D764" s="4"/>
      <c r="E764" s="4"/>
      <c r="F764" s="30" t="s">
        <v>203</v>
      </c>
      <c r="G764" s="4">
        <v>632</v>
      </c>
      <c r="H764" s="4" t="s">
        <v>146</v>
      </c>
      <c r="I764" s="23">
        <v>36700</v>
      </c>
      <c r="J764" s="23"/>
      <c r="K764" s="220">
        <f t="shared" si="85"/>
        <v>36700</v>
      </c>
      <c r="L764" s="259"/>
      <c r="M764" s="227"/>
      <c r="N764" s="23"/>
      <c r="O764" s="220">
        <f t="shared" si="87"/>
        <v>0</v>
      </c>
      <c r="P764" s="259"/>
      <c r="Q764" s="308">
        <f t="shared" si="82"/>
        <v>36700</v>
      </c>
      <c r="R764" s="92">
        <f t="shared" si="83"/>
        <v>0</v>
      </c>
      <c r="S764" s="92">
        <f t="shared" si="84"/>
        <v>36700</v>
      </c>
    </row>
    <row r="765" spans="2:19" x14ac:dyDescent="0.2">
      <c r="B765" s="88">
        <f t="shared" si="88"/>
        <v>47</v>
      </c>
      <c r="C765" s="4"/>
      <c r="D765" s="4"/>
      <c r="E765" s="4"/>
      <c r="F765" s="30" t="s">
        <v>203</v>
      </c>
      <c r="G765" s="4">
        <v>633</v>
      </c>
      <c r="H765" s="4" t="s">
        <v>137</v>
      </c>
      <c r="I765" s="23">
        <f>14399+4557</f>
        <v>18956</v>
      </c>
      <c r="J765" s="23"/>
      <c r="K765" s="220">
        <f t="shared" si="85"/>
        <v>18956</v>
      </c>
      <c r="L765" s="259"/>
      <c r="M765" s="227"/>
      <c r="N765" s="23"/>
      <c r="O765" s="220">
        <f t="shared" si="87"/>
        <v>0</v>
      </c>
      <c r="P765" s="259"/>
      <c r="Q765" s="308">
        <f t="shared" si="82"/>
        <v>18956</v>
      </c>
      <c r="R765" s="92">
        <f t="shared" si="83"/>
        <v>0</v>
      </c>
      <c r="S765" s="92">
        <f t="shared" si="84"/>
        <v>18956</v>
      </c>
    </row>
    <row r="766" spans="2:19" x14ac:dyDescent="0.2">
      <c r="B766" s="88">
        <f t="shared" si="88"/>
        <v>48</v>
      </c>
      <c r="C766" s="4"/>
      <c r="D766" s="4"/>
      <c r="E766" s="4"/>
      <c r="F766" s="30" t="s">
        <v>203</v>
      </c>
      <c r="G766" s="4">
        <v>635</v>
      </c>
      <c r="H766" s="4" t="s">
        <v>145</v>
      </c>
      <c r="I766" s="23">
        <v>5000</v>
      </c>
      <c r="J766" s="23"/>
      <c r="K766" s="220">
        <f t="shared" si="85"/>
        <v>5000</v>
      </c>
      <c r="L766" s="259"/>
      <c r="M766" s="227"/>
      <c r="N766" s="23"/>
      <c r="O766" s="220">
        <f t="shared" si="87"/>
        <v>0</v>
      </c>
      <c r="P766" s="259"/>
      <c r="Q766" s="308">
        <f t="shared" si="82"/>
        <v>5000</v>
      </c>
      <c r="R766" s="92">
        <f t="shared" si="83"/>
        <v>0</v>
      </c>
      <c r="S766" s="92">
        <f t="shared" si="84"/>
        <v>5000</v>
      </c>
    </row>
    <row r="767" spans="2:19" x14ac:dyDescent="0.2">
      <c r="B767" s="88">
        <f t="shared" si="88"/>
        <v>49</v>
      </c>
      <c r="C767" s="4"/>
      <c r="D767" s="4"/>
      <c r="E767" s="4"/>
      <c r="F767" s="30" t="s">
        <v>203</v>
      </c>
      <c r="G767" s="4">
        <v>637</v>
      </c>
      <c r="H767" s="4" t="s">
        <v>134</v>
      </c>
      <c r="I767" s="23">
        <v>5060</v>
      </c>
      <c r="J767" s="23">
        <v>100</v>
      </c>
      <c r="K767" s="220">
        <f t="shared" si="85"/>
        <v>5160</v>
      </c>
      <c r="L767" s="259"/>
      <c r="M767" s="227"/>
      <c r="N767" s="23"/>
      <c r="O767" s="220">
        <f t="shared" si="87"/>
        <v>0</v>
      </c>
      <c r="P767" s="259"/>
      <c r="Q767" s="308">
        <f t="shared" si="82"/>
        <v>5060</v>
      </c>
      <c r="R767" s="92">
        <f t="shared" si="83"/>
        <v>100</v>
      </c>
      <c r="S767" s="92">
        <f t="shared" si="84"/>
        <v>5160</v>
      </c>
    </row>
    <row r="768" spans="2:19" x14ac:dyDescent="0.2">
      <c r="B768" s="88">
        <f t="shared" si="88"/>
        <v>50</v>
      </c>
      <c r="C768" s="10"/>
      <c r="D768" s="10"/>
      <c r="E768" s="10"/>
      <c r="F768" s="29" t="s">
        <v>203</v>
      </c>
      <c r="G768" s="10">
        <v>640</v>
      </c>
      <c r="H768" s="10" t="s">
        <v>141</v>
      </c>
      <c r="I768" s="27">
        <v>8441</v>
      </c>
      <c r="J768" s="27"/>
      <c r="K768" s="250">
        <f t="shared" si="85"/>
        <v>8441</v>
      </c>
      <c r="L768" s="259"/>
      <c r="M768" s="315"/>
      <c r="N768" s="27"/>
      <c r="O768" s="250">
        <f t="shared" si="87"/>
        <v>0</v>
      </c>
      <c r="P768" s="259"/>
      <c r="Q768" s="309">
        <f t="shared" si="82"/>
        <v>8441</v>
      </c>
      <c r="R768" s="91">
        <f t="shared" si="83"/>
        <v>0</v>
      </c>
      <c r="S768" s="91">
        <f t="shared" si="84"/>
        <v>8441</v>
      </c>
    </row>
    <row r="769" spans="2:19" x14ac:dyDescent="0.2">
      <c r="B769" s="88">
        <f t="shared" si="88"/>
        <v>51</v>
      </c>
      <c r="C769" s="9"/>
      <c r="D769" s="9"/>
      <c r="E769" s="9" t="s">
        <v>93</v>
      </c>
      <c r="F769" s="33"/>
      <c r="G769" s="9"/>
      <c r="H769" s="9" t="s">
        <v>71</v>
      </c>
      <c r="I769" s="45">
        <f>I770+I771+I772</f>
        <v>153102</v>
      </c>
      <c r="J769" s="45">
        <f>J770+J771+J772</f>
        <v>0</v>
      </c>
      <c r="K769" s="359">
        <f t="shared" si="85"/>
        <v>153102</v>
      </c>
      <c r="L769" s="259"/>
      <c r="M769" s="362">
        <f>M777</f>
        <v>14300</v>
      </c>
      <c r="N769" s="45">
        <f t="shared" ref="N769" si="91">N777</f>
        <v>0</v>
      </c>
      <c r="O769" s="359">
        <f t="shared" si="87"/>
        <v>14300</v>
      </c>
      <c r="P769" s="259"/>
      <c r="Q769" s="372">
        <f t="shared" si="82"/>
        <v>167402</v>
      </c>
      <c r="R769" s="105">
        <f t="shared" si="83"/>
        <v>0</v>
      </c>
      <c r="S769" s="105">
        <f t="shared" si="84"/>
        <v>167402</v>
      </c>
    </row>
    <row r="770" spans="2:19" x14ac:dyDescent="0.2">
      <c r="B770" s="88">
        <f t="shared" si="88"/>
        <v>52</v>
      </c>
      <c r="C770" s="10"/>
      <c r="D770" s="10"/>
      <c r="E770" s="10"/>
      <c r="F770" s="29" t="s">
        <v>203</v>
      </c>
      <c r="G770" s="10">
        <v>610</v>
      </c>
      <c r="H770" s="10" t="s">
        <v>143</v>
      </c>
      <c r="I770" s="27">
        <f>86333+5222-1749</f>
        <v>89806</v>
      </c>
      <c r="J770" s="27"/>
      <c r="K770" s="250">
        <f t="shared" si="85"/>
        <v>89806</v>
      </c>
      <c r="L770" s="259"/>
      <c r="M770" s="315"/>
      <c r="N770" s="27"/>
      <c r="O770" s="250">
        <f t="shared" si="87"/>
        <v>0</v>
      </c>
      <c r="P770" s="259"/>
      <c r="Q770" s="309">
        <f t="shared" si="82"/>
        <v>89806</v>
      </c>
      <c r="R770" s="91">
        <f t="shared" si="83"/>
        <v>0</v>
      </c>
      <c r="S770" s="91">
        <f t="shared" si="84"/>
        <v>89806</v>
      </c>
    </row>
    <row r="771" spans="2:19" x14ac:dyDescent="0.2">
      <c r="B771" s="88">
        <f t="shared" si="88"/>
        <v>53</v>
      </c>
      <c r="C771" s="10"/>
      <c r="D771" s="10"/>
      <c r="E771" s="10"/>
      <c r="F771" s="29" t="s">
        <v>203</v>
      </c>
      <c r="G771" s="10">
        <v>620</v>
      </c>
      <c r="H771" s="10" t="s">
        <v>136</v>
      </c>
      <c r="I771" s="27">
        <f>31793+1930-611</f>
        <v>33112</v>
      </c>
      <c r="J771" s="27"/>
      <c r="K771" s="250">
        <f t="shared" si="85"/>
        <v>33112</v>
      </c>
      <c r="L771" s="259"/>
      <c r="M771" s="315"/>
      <c r="N771" s="27"/>
      <c r="O771" s="250">
        <f t="shared" si="87"/>
        <v>0</v>
      </c>
      <c r="P771" s="259"/>
      <c r="Q771" s="309">
        <f t="shared" si="82"/>
        <v>33112</v>
      </c>
      <c r="R771" s="91">
        <f t="shared" si="83"/>
        <v>0</v>
      </c>
      <c r="S771" s="91">
        <f t="shared" si="84"/>
        <v>33112</v>
      </c>
    </row>
    <row r="772" spans="2:19" x14ac:dyDescent="0.2">
      <c r="B772" s="88">
        <f t="shared" si="88"/>
        <v>54</v>
      </c>
      <c r="C772" s="10"/>
      <c r="D772" s="10"/>
      <c r="E772" s="10"/>
      <c r="F772" s="29" t="s">
        <v>203</v>
      </c>
      <c r="G772" s="10">
        <v>630</v>
      </c>
      <c r="H772" s="10" t="s">
        <v>133</v>
      </c>
      <c r="I772" s="27">
        <f>SUM(I773:I776)</f>
        <v>30184</v>
      </c>
      <c r="J772" s="27">
        <f>SUM(J773:J776)</f>
        <v>0</v>
      </c>
      <c r="K772" s="250">
        <f t="shared" si="85"/>
        <v>30184</v>
      </c>
      <c r="L772" s="259"/>
      <c r="M772" s="315"/>
      <c r="N772" s="27"/>
      <c r="O772" s="250">
        <f t="shared" si="87"/>
        <v>0</v>
      </c>
      <c r="P772" s="259"/>
      <c r="Q772" s="309">
        <f t="shared" si="82"/>
        <v>30184</v>
      </c>
      <c r="R772" s="91">
        <f t="shared" si="83"/>
        <v>0</v>
      </c>
      <c r="S772" s="91">
        <f t="shared" si="84"/>
        <v>30184</v>
      </c>
    </row>
    <row r="773" spans="2:19" x14ac:dyDescent="0.2">
      <c r="B773" s="88">
        <f t="shared" si="88"/>
        <v>55</v>
      </c>
      <c r="C773" s="4"/>
      <c r="D773" s="4"/>
      <c r="E773" s="4"/>
      <c r="F773" s="30" t="s">
        <v>203</v>
      </c>
      <c r="G773" s="4">
        <v>632</v>
      </c>
      <c r="H773" s="4" t="s">
        <v>146</v>
      </c>
      <c r="I773" s="23">
        <v>18320</v>
      </c>
      <c r="J773" s="23"/>
      <c r="K773" s="220">
        <f t="shared" si="85"/>
        <v>18320</v>
      </c>
      <c r="L773" s="259"/>
      <c r="M773" s="227"/>
      <c r="N773" s="23"/>
      <c r="O773" s="220">
        <f t="shared" si="87"/>
        <v>0</v>
      </c>
      <c r="P773" s="259"/>
      <c r="Q773" s="308">
        <f t="shared" si="82"/>
        <v>18320</v>
      </c>
      <c r="R773" s="92">
        <f t="shared" si="83"/>
        <v>0</v>
      </c>
      <c r="S773" s="92">
        <f t="shared" si="84"/>
        <v>18320</v>
      </c>
    </row>
    <row r="774" spans="2:19" x14ac:dyDescent="0.2">
      <c r="B774" s="88">
        <f t="shared" si="88"/>
        <v>56</v>
      </c>
      <c r="C774" s="4"/>
      <c r="D774" s="4"/>
      <c r="E774" s="4"/>
      <c r="F774" s="30" t="s">
        <v>203</v>
      </c>
      <c r="G774" s="4">
        <v>633</v>
      </c>
      <c r="H774" s="4" t="s">
        <v>137</v>
      </c>
      <c r="I774" s="23">
        <f>9424+2360-5000</f>
        <v>6784</v>
      </c>
      <c r="J774" s="23"/>
      <c r="K774" s="220">
        <f t="shared" si="85"/>
        <v>6784</v>
      </c>
      <c r="L774" s="259"/>
      <c r="M774" s="227"/>
      <c r="N774" s="23"/>
      <c r="O774" s="220">
        <f t="shared" si="87"/>
        <v>0</v>
      </c>
      <c r="P774" s="259"/>
      <c r="Q774" s="308">
        <f t="shared" si="82"/>
        <v>6784</v>
      </c>
      <c r="R774" s="92">
        <f t="shared" si="83"/>
        <v>0</v>
      </c>
      <c r="S774" s="92">
        <f t="shared" si="84"/>
        <v>6784</v>
      </c>
    </row>
    <row r="775" spans="2:19" x14ac:dyDescent="0.2">
      <c r="B775" s="88">
        <f t="shared" si="88"/>
        <v>57</v>
      </c>
      <c r="C775" s="4"/>
      <c r="D775" s="4"/>
      <c r="E775" s="4"/>
      <c r="F775" s="30" t="s">
        <v>203</v>
      </c>
      <c r="G775" s="4">
        <v>635</v>
      </c>
      <c r="H775" s="4" t="s">
        <v>145</v>
      </c>
      <c r="I775" s="23">
        <f>6300+3000-6700</f>
        <v>2600</v>
      </c>
      <c r="J775" s="23"/>
      <c r="K775" s="220">
        <f t="shared" si="85"/>
        <v>2600</v>
      </c>
      <c r="L775" s="259"/>
      <c r="M775" s="227"/>
      <c r="N775" s="23"/>
      <c r="O775" s="220">
        <f t="shared" si="87"/>
        <v>0</v>
      </c>
      <c r="P775" s="259"/>
      <c r="Q775" s="308">
        <f t="shared" si="82"/>
        <v>2600</v>
      </c>
      <c r="R775" s="92">
        <f t="shared" si="83"/>
        <v>0</v>
      </c>
      <c r="S775" s="92">
        <f t="shared" si="84"/>
        <v>2600</v>
      </c>
    </row>
    <row r="776" spans="2:19" x14ac:dyDescent="0.2">
      <c r="B776" s="88">
        <f t="shared" si="88"/>
        <v>58</v>
      </c>
      <c r="C776" s="4"/>
      <c r="D776" s="4"/>
      <c r="E776" s="4"/>
      <c r="F776" s="30" t="s">
        <v>203</v>
      </c>
      <c r="G776" s="4">
        <v>637</v>
      </c>
      <c r="H776" s="4" t="s">
        <v>134</v>
      </c>
      <c r="I776" s="23">
        <v>2480</v>
      </c>
      <c r="J776" s="23"/>
      <c r="K776" s="220">
        <f t="shared" si="85"/>
        <v>2480</v>
      </c>
      <c r="L776" s="259"/>
      <c r="M776" s="227"/>
      <c r="N776" s="23"/>
      <c r="O776" s="220">
        <f t="shared" si="87"/>
        <v>0</v>
      </c>
      <c r="P776" s="259"/>
      <c r="Q776" s="308">
        <f t="shared" si="82"/>
        <v>2480</v>
      </c>
      <c r="R776" s="92">
        <f t="shared" si="83"/>
        <v>0</v>
      </c>
      <c r="S776" s="92">
        <f t="shared" si="84"/>
        <v>2480</v>
      </c>
    </row>
    <row r="777" spans="2:19" x14ac:dyDescent="0.2">
      <c r="B777" s="88">
        <f t="shared" si="88"/>
        <v>59</v>
      </c>
      <c r="C777" s="4"/>
      <c r="D777" s="4"/>
      <c r="E777" s="4"/>
      <c r="F777" s="29" t="s">
        <v>203</v>
      </c>
      <c r="G777" s="10">
        <v>710</v>
      </c>
      <c r="H777" s="222" t="s">
        <v>188</v>
      </c>
      <c r="I777" s="27">
        <f>I778</f>
        <v>0</v>
      </c>
      <c r="J777" s="27">
        <f>J778</f>
        <v>0</v>
      </c>
      <c r="K777" s="250">
        <f t="shared" si="85"/>
        <v>0</v>
      </c>
      <c r="L777" s="259"/>
      <c r="M777" s="315">
        <f>M778</f>
        <v>14300</v>
      </c>
      <c r="N777" s="27">
        <f t="shared" ref="N777:N778" si="92">N778</f>
        <v>0</v>
      </c>
      <c r="O777" s="250">
        <f t="shared" si="87"/>
        <v>14300</v>
      </c>
      <c r="P777" s="259"/>
      <c r="Q777" s="373">
        <f t="shared" si="82"/>
        <v>14300</v>
      </c>
      <c r="R777" s="118">
        <f t="shared" si="83"/>
        <v>0</v>
      </c>
      <c r="S777" s="118">
        <f t="shared" si="84"/>
        <v>14300</v>
      </c>
    </row>
    <row r="778" spans="2:19" x14ac:dyDescent="0.2">
      <c r="B778" s="88">
        <f t="shared" si="88"/>
        <v>60</v>
      </c>
      <c r="C778" s="4"/>
      <c r="D778" s="4"/>
      <c r="E778" s="4"/>
      <c r="F778" s="30"/>
      <c r="G778" s="4">
        <v>717</v>
      </c>
      <c r="H778" s="136" t="s">
        <v>198</v>
      </c>
      <c r="I778" s="23">
        <f>I779</f>
        <v>0</v>
      </c>
      <c r="J778" s="23">
        <f>J779</f>
        <v>0</v>
      </c>
      <c r="K778" s="220">
        <f t="shared" si="85"/>
        <v>0</v>
      </c>
      <c r="L778" s="259"/>
      <c r="M778" s="227">
        <f>M779</f>
        <v>14300</v>
      </c>
      <c r="N778" s="23">
        <f t="shared" si="92"/>
        <v>0</v>
      </c>
      <c r="O778" s="220">
        <f t="shared" si="87"/>
        <v>14300</v>
      </c>
      <c r="P778" s="259"/>
      <c r="Q778" s="308">
        <f t="shared" si="82"/>
        <v>14300</v>
      </c>
      <c r="R778" s="92">
        <f t="shared" si="83"/>
        <v>0</v>
      </c>
      <c r="S778" s="92">
        <f t="shared" si="84"/>
        <v>14300</v>
      </c>
    </row>
    <row r="779" spans="2:19" x14ac:dyDescent="0.2">
      <c r="B779" s="88">
        <f t="shared" si="88"/>
        <v>61</v>
      </c>
      <c r="C779" s="4"/>
      <c r="D779" s="4"/>
      <c r="E779" s="4"/>
      <c r="F779" s="35"/>
      <c r="G779" s="5"/>
      <c r="H779" s="15" t="s">
        <v>595</v>
      </c>
      <c r="I779" s="25">
        <v>0</v>
      </c>
      <c r="J779" s="25"/>
      <c r="K779" s="251">
        <f t="shared" si="85"/>
        <v>0</v>
      </c>
      <c r="L779" s="259"/>
      <c r="M779" s="337">
        <v>14300</v>
      </c>
      <c r="N779" s="25"/>
      <c r="O779" s="251">
        <f t="shared" si="87"/>
        <v>14300</v>
      </c>
      <c r="P779" s="259"/>
      <c r="Q779" s="308">
        <f t="shared" si="82"/>
        <v>14300</v>
      </c>
      <c r="R779" s="92">
        <f t="shared" si="83"/>
        <v>0</v>
      </c>
      <c r="S779" s="92">
        <f t="shared" si="84"/>
        <v>14300</v>
      </c>
    </row>
    <row r="780" spans="2:19" x14ac:dyDescent="0.2">
      <c r="B780" s="88">
        <f t="shared" si="88"/>
        <v>62</v>
      </c>
      <c r="C780" s="9"/>
      <c r="D780" s="9"/>
      <c r="E780" s="9" t="s">
        <v>104</v>
      </c>
      <c r="F780" s="33"/>
      <c r="G780" s="9"/>
      <c r="H780" s="9" t="s">
        <v>105</v>
      </c>
      <c r="I780" s="45">
        <f>I781+I782+I783</f>
        <v>206141</v>
      </c>
      <c r="J780" s="45">
        <f>J781+J782+J783</f>
        <v>100</v>
      </c>
      <c r="K780" s="359">
        <f t="shared" si="85"/>
        <v>206241</v>
      </c>
      <c r="L780" s="259"/>
      <c r="M780" s="362">
        <v>0</v>
      </c>
      <c r="N780" s="45">
        <v>0</v>
      </c>
      <c r="O780" s="359">
        <f t="shared" si="87"/>
        <v>0</v>
      </c>
      <c r="P780" s="259"/>
      <c r="Q780" s="372">
        <f t="shared" si="82"/>
        <v>206141</v>
      </c>
      <c r="R780" s="105">
        <f t="shared" si="83"/>
        <v>100</v>
      </c>
      <c r="S780" s="105">
        <f t="shared" si="84"/>
        <v>206241</v>
      </c>
    </row>
    <row r="781" spans="2:19" x14ac:dyDescent="0.2">
      <c r="B781" s="88">
        <f t="shared" si="88"/>
        <v>63</v>
      </c>
      <c r="C781" s="10"/>
      <c r="D781" s="10"/>
      <c r="E781" s="10"/>
      <c r="F781" s="29" t="s">
        <v>203</v>
      </c>
      <c r="G781" s="10">
        <v>610</v>
      </c>
      <c r="H781" s="10" t="s">
        <v>143</v>
      </c>
      <c r="I781" s="27">
        <f>105495+7419-2114</f>
        <v>110800</v>
      </c>
      <c r="J781" s="27"/>
      <c r="K781" s="250">
        <f t="shared" si="85"/>
        <v>110800</v>
      </c>
      <c r="L781" s="259"/>
      <c r="M781" s="315"/>
      <c r="N781" s="27"/>
      <c r="O781" s="250">
        <f t="shared" si="87"/>
        <v>0</v>
      </c>
      <c r="P781" s="259"/>
      <c r="Q781" s="309">
        <f t="shared" si="82"/>
        <v>110800</v>
      </c>
      <c r="R781" s="91">
        <f t="shared" si="83"/>
        <v>0</v>
      </c>
      <c r="S781" s="91">
        <f t="shared" si="84"/>
        <v>110800</v>
      </c>
    </row>
    <row r="782" spans="2:19" x14ac:dyDescent="0.2">
      <c r="B782" s="88">
        <f t="shared" si="88"/>
        <v>64</v>
      </c>
      <c r="C782" s="10"/>
      <c r="D782" s="10"/>
      <c r="E782" s="10"/>
      <c r="F782" s="29" t="s">
        <v>203</v>
      </c>
      <c r="G782" s="10">
        <v>620</v>
      </c>
      <c r="H782" s="10" t="s">
        <v>136</v>
      </c>
      <c r="I782" s="27">
        <f>38866+2741-739</f>
        <v>40868</v>
      </c>
      <c r="J782" s="27"/>
      <c r="K782" s="250">
        <f t="shared" si="85"/>
        <v>40868</v>
      </c>
      <c r="L782" s="259"/>
      <c r="M782" s="315"/>
      <c r="N782" s="27"/>
      <c r="O782" s="250">
        <f t="shared" si="87"/>
        <v>0</v>
      </c>
      <c r="P782" s="259"/>
      <c r="Q782" s="309">
        <f t="shared" si="82"/>
        <v>40868</v>
      </c>
      <c r="R782" s="91">
        <f t="shared" si="83"/>
        <v>0</v>
      </c>
      <c r="S782" s="91">
        <f t="shared" si="84"/>
        <v>40868</v>
      </c>
    </row>
    <row r="783" spans="2:19" x14ac:dyDescent="0.2">
      <c r="B783" s="88">
        <f t="shared" si="88"/>
        <v>65</v>
      </c>
      <c r="C783" s="10"/>
      <c r="D783" s="10"/>
      <c r="E783" s="10"/>
      <c r="F783" s="29" t="s">
        <v>203</v>
      </c>
      <c r="G783" s="10">
        <v>630</v>
      </c>
      <c r="H783" s="10" t="s">
        <v>133</v>
      </c>
      <c r="I783" s="27">
        <f>SUM(I784:I787)</f>
        <v>54473</v>
      </c>
      <c r="J783" s="27">
        <f>SUM(J784:J787)</f>
        <v>100</v>
      </c>
      <c r="K783" s="250">
        <f t="shared" si="85"/>
        <v>54573</v>
      </c>
      <c r="L783" s="259"/>
      <c r="M783" s="315"/>
      <c r="N783" s="27"/>
      <c r="O783" s="250">
        <f t="shared" si="87"/>
        <v>0</v>
      </c>
      <c r="P783" s="259"/>
      <c r="Q783" s="309">
        <f t="shared" si="82"/>
        <v>54473</v>
      </c>
      <c r="R783" s="91">
        <f t="shared" si="83"/>
        <v>100</v>
      </c>
      <c r="S783" s="91">
        <f t="shared" si="84"/>
        <v>54573</v>
      </c>
    </row>
    <row r="784" spans="2:19" x14ac:dyDescent="0.2">
      <c r="B784" s="88">
        <f t="shared" si="88"/>
        <v>66</v>
      </c>
      <c r="C784" s="4"/>
      <c r="D784" s="4"/>
      <c r="E784" s="4"/>
      <c r="F784" s="30" t="s">
        <v>203</v>
      </c>
      <c r="G784" s="4">
        <v>632</v>
      </c>
      <c r="H784" s="4" t="s">
        <v>146</v>
      </c>
      <c r="I784" s="23">
        <v>32500</v>
      </c>
      <c r="J784" s="23"/>
      <c r="K784" s="220">
        <f t="shared" ref="K784:K855" si="93">I784+J784</f>
        <v>32500</v>
      </c>
      <c r="L784" s="259"/>
      <c r="M784" s="227"/>
      <c r="N784" s="23"/>
      <c r="O784" s="220">
        <f t="shared" ref="O784:O855" si="94">M784+N784</f>
        <v>0</v>
      </c>
      <c r="P784" s="259"/>
      <c r="Q784" s="308">
        <f t="shared" si="82"/>
        <v>32500</v>
      </c>
      <c r="R784" s="92">
        <f t="shared" si="83"/>
        <v>0</v>
      </c>
      <c r="S784" s="92">
        <f t="shared" si="84"/>
        <v>32500</v>
      </c>
    </row>
    <row r="785" spans="2:19" x14ac:dyDescent="0.2">
      <c r="B785" s="88">
        <f t="shared" ref="B785:B856" si="95">B784+1</f>
        <v>67</v>
      </c>
      <c r="C785" s="4"/>
      <c r="D785" s="4"/>
      <c r="E785" s="4"/>
      <c r="F785" s="30" t="s">
        <v>203</v>
      </c>
      <c r="G785" s="4">
        <v>633</v>
      </c>
      <c r="H785" s="4" t="s">
        <v>137</v>
      </c>
      <c r="I785" s="23">
        <f>9021+2852</f>
        <v>11873</v>
      </c>
      <c r="J785" s="23"/>
      <c r="K785" s="220">
        <f t="shared" si="93"/>
        <v>11873</v>
      </c>
      <c r="L785" s="259"/>
      <c r="M785" s="227"/>
      <c r="N785" s="23"/>
      <c r="O785" s="220">
        <f t="shared" si="94"/>
        <v>0</v>
      </c>
      <c r="P785" s="259"/>
      <c r="Q785" s="308">
        <f t="shared" si="82"/>
        <v>11873</v>
      </c>
      <c r="R785" s="92">
        <f t="shared" si="83"/>
        <v>0</v>
      </c>
      <c r="S785" s="92">
        <f t="shared" si="84"/>
        <v>11873</v>
      </c>
    </row>
    <row r="786" spans="2:19" x14ac:dyDescent="0.2">
      <c r="B786" s="88">
        <f t="shared" si="95"/>
        <v>68</v>
      </c>
      <c r="C786" s="4"/>
      <c r="D786" s="4"/>
      <c r="E786" s="4"/>
      <c r="F786" s="30" t="s">
        <v>203</v>
      </c>
      <c r="G786" s="4">
        <v>635</v>
      </c>
      <c r="H786" s="4" t="s">
        <v>145</v>
      </c>
      <c r="I786" s="23">
        <v>7150</v>
      </c>
      <c r="J786" s="23"/>
      <c r="K786" s="220">
        <f t="shared" si="93"/>
        <v>7150</v>
      </c>
      <c r="L786" s="259"/>
      <c r="M786" s="227"/>
      <c r="N786" s="23"/>
      <c r="O786" s="220">
        <f t="shared" si="94"/>
        <v>0</v>
      </c>
      <c r="P786" s="259"/>
      <c r="Q786" s="308">
        <f t="shared" si="82"/>
        <v>7150</v>
      </c>
      <c r="R786" s="92">
        <f t="shared" si="83"/>
        <v>0</v>
      </c>
      <c r="S786" s="92">
        <f t="shared" si="84"/>
        <v>7150</v>
      </c>
    </row>
    <row r="787" spans="2:19" x14ac:dyDescent="0.2">
      <c r="B787" s="88">
        <f t="shared" si="95"/>
        <v>69</v>
      </c>
      <c r="C787" s="4"/>
      <c r="D787" s="4"/>
      <c r="E787" s="4"/>
      <c r="F787" s="30" t="s">
        <v>203</v>
      </c>
      <c r="G787" s="4">
        <v>637</v>
      </c>
      <c r="H787" s="4" t="s">
        <v>134</v>
      </c>
      <c r="I787" s="23">
        <v>2950</v>
      </c>
      <c r="J787" s="23">
        <v>100</v>
      </c>
      <c r="K787" s="220">
        <f t="shared" si="93"/>
        <v>3050</v>
      </c>
      <c r="L787" s="259"/>
      <c r="M787" s="227"/>
      <c r="N787" s="23"/>
      <c r="O787" s="220">
        <f t="shared" si="94"/>
        <v>0</v>
      </c>
      <c r="P787" s="259"/>
      <c r="Q787" s="308">
        <f t="shared" si="82"/>
        <v>2950</v>
      </c>
      <c r="R787" s="92">
        <f t="shared" si="83"/>
        <v>100</v>
      </c>
      <c r="S787" s="92">
        <f t="shared" si="84"/>
        <v>3050</v>
      </c>
    </row>
    <row r="788" spans="2:19" x14ac:dyDescent="0.2">
      <c r="B788" s="88">
        <f t="shared" si="95"/>
        <v>70</v>
      </c>
      <c r="C788" s="9"/>
      <c r="D788" s="9"/>
      <c r="E788" s="9" t="s">
        <v>107</v>
      </c>
      <c r="F788" s="33"/>
      <c r="G788" s="9"/>
      <c r="H788" s="9" t="s">
        <v>108</v>
      </c>
      <c r="I788" s="45">
        <f>I789+I790+I791+I796</f>
        <v>200641</v>
      </c>
      <c r="J788" s="45">
        <f>J789+J790+J791+J796</f>
        <v>140</v>
      </c>
      <c r="K788" s="359">
        <f t="shared" si="93"/>
        <v>200781</v>
      </c>
      <c r="L788" s="259"/>
      <c r="M788" s="362">
        <v>0</v>
      </c>
      <c r="N788" s="45">
        <v>0</v>
      </c>
      <c r="O788" s="359">
        <f t="shared" si="94"/>
        <v>0</v>
      </c>
      <c r="P788" s="259"/>
      <c r="Q788" s="372">
        <f t="shared" ref="Q788:Q860" si="96">I788+M788</f>
        <v>200641</v>
      </c>
      <c r="R788" s="105">
        <f t="shared" ref="R788:R860" si="97">J788+N788</f>
        <v>140</v>
      </c>
      <c r="S788" s="105">
        <f t="shared" ref="S788:S860" si="98">K788+O788</f>
        <v>200781</v>
      </c>
    </row>
    <row r="789" spans="2:19" x14ac:dyDescent="0.2">
      <c r="B789" s="88">
        <f t="shared" si="95"/>
        <v>71</v>
      </c>
      <c r="C789" s="10"/>
      <c r="D789" s="10"/>
      <c r="E789" s="10"/>
      <c r="F789" s="29" t="s">
        <v>203</v>
      </c>
      <c r="G789" s="10">
        <v>610</v>
      </c>
      <c r="H789" s="10" t="s">
        <v>143</v>
      </c>
      <c r="I789" s="27">
        <f>106642+7835-2186</f>
        <v>112291</v>
      </c>
      <c r="J789" s="27"/>
      <c r="K789" s="250">
        <f t="shared" si="93"/>
        <v>112291</v>
      </c>
      <c r="L789" s="259"/>
      <c r="M789" s="315"/>
      <c r="N789" s="27"/>
      <c r="O789" s="250">
        <f t="shared" si="94"/>
        <v>0</v>
      </c>
      <c r="P789" s="259"/>
      <c r="Q789" s="309">
        <f t="shared" si="96"/>
        <v>112291</v>
      </c>
      <c r="R789" s="91">
        <f t="shared" si="97"/>
        <v>0</v>
      </c>
      <c r="S789" s="91">
        <f t="shared" si="98"/>
        <v>112291</v>
      </c>
    </row>
    <row r="790" spans="2:19" x14ac:dyDescent="0.2">
      <c r="B790" s="88">
        <f t="shared" si="95"/>
        <v>72</v>
      </c>
      <c r="C790" s="10"/>
      <c r="D790" s="10"/>
      <c r="E790" s="10"/>
      <c r="F790" s="29" t="s">
        <v>203</v>
      </c>
      <c r="G790" s="10">
        <v>620</v>
      </c>
      <c r="H790" s="10" t="s">
        <v>136</v>
      </c>
      <c r="I790" s="27">
        <f>39288+2895-764</f>
        <v>41419</v>
      </c>
      <c r="J790" s="27"/>
      <c r="K790" s="250">
        <f t="shared" si="93"/>
        <v>41419</v>
      </c>
      <c r="L790" s="259"/>
      <c r="M790" s="315"/>
      <c r="N790" s="27"/>
      <c r="O790" s="250">
        <f t="shared" si="94"/>
        <v>0</v>
      </c>
      <c r="P790" s="259"/>
      <c r="Q790" s="309">
        <f t="shared" si="96"/>
        <v>41419</v>
      </c>
      <c r="R790" s="91">
        <f t="shared" si="97"/>
        <v>0</v>
      </c>
      <c r="S790" s="91">
        <f t="shared" si="98"/>
        <v>41419</v>
      </c>
    </row>
    <row r="791" spans="2:19" x14ac:dyDescent="0.2">
      <c r="B791" s="88">
        <f t="shared" si="95"/>
        <v>73</v>
      </c>
      <c r="C791" s="10"/>
      <c r="D791" s="10"/>
      <c r="E791" s="10"/>
      <c r="F791" s="29" t="s">
        <v>203</v>
      </c>
      <c r="G791" s="10">
        <v>630</v>
      </c>
      <c r="H791" s="10" t="s">
        <v>133</v>
      </c>
      <c r="I791" s="27">
        <f>SUM(I792:I795)</f>
        <v>43761</v>
      </c>
      <c r="J791" s="27">
        <f>SUM(J792:J795)</f>
        <v>140</v>
      </c>
      <c r="K791" s="250">
        <f t="shared" si="93"/>
        <v>43901</v>
      </c>
      <c r="L791" s="259"/>
      <c r="M791" s="315"/>
      <c r="N791" s="27"/>
      <c r="O791" s="250">
        <f t="shared" si="94"/>
        <v>0</v>
      </c>
      <c r="P791" s="259"/>
      <c r="Q791" s="309">
        <f t="shared" si="96"/>
        <v>43761</v>
      </c>
      <c r="R791" s="91">
        <f t="shared" si="97"/>
        <v>140</v>
      </c>
      <c r="S791" s="91">
        <f t="shared" si="98"/>
        <v>43901</v>
      </c>
    </row>
    <row r="792" spans="2:19" x14ac:dyDescent="0.2">
      <c r="B792" s="88">
        <f t="shared" si="95"/>
        <v>74</v>
      </c>
      <c r="C792" s="4"/>
      <c r="D792" s="4"/>
      <c r="E792" s="4"/>
      <c r="F792" s="30" t="s">
        <v>203</v>
      </c>
      <c r="G792" s="4">
        <v>632</v>
      </c>
      <c r="H792" s="4" t="s">
        <v>146</v>
      </c>
      <c r="I792" s="23">
        <v>24560</v>
      </c>
      <c r="J792" s="23"/>
      <c r="K792" s="220">
        <f t="shared" si="93"/>
        <v>24560</v>
      </c>
      <c r="L792" s="259"/>
      <c r="M792" s="227"/>
      <c r="N792" s="23"/>
      <c r="O792" s="220">
        <f t="shared" si="94"/>
        <v>0</v>
      </c>
      <c r="P792" s="259"/>
      <c r="Q792" s="308">
        <f t="shared" si="96"/>
        <v>24560</v>
      </c>
      <c r="R792" s="92">
        <f t="shared" si="97"/>
        <v>0</v>
      </c>
      <c r="S792" s="92">
        <f t="shared" si="98"/>
        <v>24560</v>
      </c>
    </row>
    <row r="793" spans="2:19" x14ac:dyDescent="0.2">
      <c r="B793" s="88">
        <f t="shared" si="95"/>
        <v>75</v>
      </c>
      <c r="C793" s="4"/>
      <c r="D793" s="4"/>
      <c r="E793" s="4"/>
      <c r="F793" s="30" t="s">
        <v>203</v>
      </c>
      <c r="G793" s="4">
        <v>633</v>
      </c>
      <c r="H793" s="4" t="s">
        <v>137</v>
      </c>
      <c r="I793" s="23">
        <f>9768+3113</f>
        <v>12881</v>
      </c>
      <c r="J793" s="23">
        <v>-3539</v>
      </c>
      <c r="K793" s="220">
        <f t="shared" si="93"/>
        <v>9342</v>
      </c>
      <c r="L793" s="259"/>
      <c r="M793" s="227"/>
      <c r="N793" s="23"/>
      <c r="O793" s="220">
        <f t="shared" si="94"/>
        <v>0</v>
      </c>
      <c r="P793" s="259"/>
      <c r="Q793" s="308">
        <f t="shared" si="96"/>
        <v>12881</v>
      </c>
      <c r="R793" s="92">
        <f t="shared" si="97"/>
        <v>-3539</v>
      </c>
      <c r="S793" s="92">
        <f t="shared" si="98"/>
        <v>9342</v>
      </c>
    </row>
    <row r="794" spans="2:19" x14ac:dyDescent="0.2">
      <c r="B794" s="88">
        <f t="shared" si="95"/>
        <v>76</v>
      </c>
      <c r="C794" s="4"/>
      <c r="D794" s="4"/>
      <c r="E794" s="4"/>
      <c r="F794" s="30" t="s">
        <v>203</v>
      </c>
      <c r="G794" s="4">
        <v>635</v>
      </c>
      <c r="H794" s="4" t="s">
        <v>145</v>
      </c>
      <c r="I794" s="23">
        <v>3100</v>
      </c>
      <c r="J794" s="23">
        <v>3539</v>
      </c>
      <c r="K794" s="220">
        <f t="shared" si="93"/>
        <v>6639</v>
      </c>
      <c r="L794" s="259"/>
      <c r="M794" s="227"/>
      <c r="N794" s="23"/>
      <c r="O794" s="220">
        <f t="shared" si="94"/>
        <v>0</v>
      </c>
      <c r="P794" s="259"/>
      <c r="Q794" s="308">
        <f t="shared" si="96"/>
        <v>3100</v>
      </c>
      <c r="R794" s="92">
        <f t="shared" si="97"/>
        <v>3539</v>
      </c>
      <c r="S794" s="92">
        <f t="shared" si="98"/>
        <v>6639</v>
      </c>
    </row>
    <row r="795" spans="2:19" x14ac:dyDescent="0.2">
      <c r="B795" s="88">
        <f t="shared" si="95"/>
        <v>77</v>
      </c>
      <c r="C795" s="4"/>
      <c r="D795" s="4"/>
      <c r="E795" s="4"/>
      <c r="F795" s="30" t="s">
        <v>203</v>
      </c>
      <c r="G795" s="4">
        <v>637</v>
      </c>
      <c r="H795" s="4" t="s">
        <v>134</v>
      </c>
      <c r="I795" s="23">
        <v>3220</v>
      </c>
      <c r="J795" s="23">
        <v>140</v>
      </c>
      <c r="K795" s="220">
        <f t="shared" si="93"/>
        <v>3360</v>
      </c>
      <c r="L795" s="259"/>
      <c r="M795" s="227"/>
      <c r="N795" s="23"/>
      <c r="O795" s="220">
        <f t="shared" si="94"/>
        <v>0</v>
      </c>
      <c r="P795" s="259"/>
      <c r="Q795" s="308">
        <f t="shared" si="96"/>
        <v>3220</v>
      </c>
      <c r="R795" s="92">
        <f t="shared" si="97"/>
        <v>140</v>
      </c>
      <c r="S795" s="92">
        <f t="shared" si="98"/>
        <v>3360</v>
      </c>
    </row>
    <row r="796" spans="2:19" x14ac:dyDescent="0.2">
      <c r="B796" s="88">
        <f t="shared" si="95"/>
        <v>78</v>
      </c>
      <c r="C796" s="10"/>
      <c r="D796" s="10"/>
      <c r="E796" s="10"/>
      <c r="F796" s="29" t="s">
        <v>203</v>
      </c>
      <c r="G796" s="10">
        <v>640</v>
      </c>
      <c r="H796" s="10" t="s">
        <v>141</v>
      </c>
      <c r="I796" s="27">
        <v>3170</v>
      </c>
      <c r="J796" s="27"/>
      <c r="K796" s="250">
        <f t="shared" si="93"/>
        <v>3170</v>
      </c>
      <c r="L796" s="259"/>
      <c r="M796" s="315"/>
      <c r="N796" s="27"/>
      <c r="O796" s="250">
        <f t="shared" si="94"/>
        <v>0</v>
      </c>
      <c r="P796" s="259"/>
      <c r="Q796" s="309">
        <f t="shared" si="96"/>
        <v>3170</v>
      </c>
      <c r="R796" s="91">
        <f t="shared" si="97"/>
        <v>0</v>
      </c>
      <c r="S796" s="91">
        <f t="shared" si="98"/>
        <v>3170</v>
      </c>
    </row>
    <row r="797" spans="2:19" x14ac:dyDescent="0.2">
      <c r="B797" s="88">
        <f t="shared" si="95"/>
        <v>79</v>
      </c>
      <c r="C797" s="9"/>
      <c r="D797" s="9"/>
      <c r="E797" s="9" t="s">
        <v>91</v>
      </c>
      <c r="F797" s="33"/>
      <c r="G797" s="9"/>
      <c r="H797" s="9" t="s">
        <v>92</v>
      </c>
      <c r="I797" s="45">
        <f>I798+I799+I800+I805</f>
        <v>296909</v>
      </c>
      <c r="J797" s="45">
        <f>J798+J799+J800+J805</f>
        <v>180</v>
      </c>
      <c r="K797" s="359">
        <f t="shared" si="93"/>
        <v>297089</v>
      </c>
      <c r="L797" s="259"/>
      <c r="M797" s="362">
        <v>0</v>
      </c>
      <c r="N797" s="45">
        <v>0</v>
      </c>
      <c r="O797" s="359">
        <f t="shared" si="94"/>
        <v>0</v>
      </c>
      <c r="P797" s="259"/>
      <c r="Q797" s="372">
        <f t="shared" si="96"/>
        <v>296909</v>
      </c>
      <c r="R797" s="105">
        <f t="shared" si="97"/>
        <v>180</v>
      </c>
      <c r="S797" s="105">
        <f t="shared" si="98"/>
        <v>297089</v>
      </c>
    </row>
    <row r="798" spans="2:19" x14ac:dyDescent="0.2">
      <c r="B798" s="88">
        <f t="shared" si="95"/>
        <v>80</v>
      </c>
      <c r="C798" s="10"/>
      <c r="D798" s="10"/>
      <c r="E798" s="10"/>
      <c r="F798" s="29" t="s">
        <v>203</v>
      </c>
      <c r="G798" s="10">
        <v>610</v>
      </c>
      <c r="H798" s="10" t="s">
        <v>143</v>
      </c>
      <c r="I798" s="27">
        <f>158713+11046-3157</f>
        <v>166602</v>
      </c>
      <c r="J798" s="27"/>
      <c r="K798" s="250">
        <f t="shared" si="93"/>
        <v>166602</v>
      </c>
      <c r="L798" s="259"/>
      <c r="M798" s="315"/>
      <c r="N798" s="27"/>
      <c r="O798" s="250">
        <f t="shared" si="94"/>
        <v>0</v>
      </c>
      <c r="P798" s="259"/>
      <c r="Q798" s="309">
        <f t="shared" si="96"/>
        <v>166602</v>
      </c>
      <c r="R798" s="91">
        <f t="shared" si="97"/>
        <v>0</v>
      </c>
      <c r="S798" s="91">
        <f t="shared" si="98"/>
        <v>166602</v>
      </c>
    </row>
    <row r="799" spans="2:19" x14ac:dyDescent="0.2">
      <c r="B799" s="88">
        <f t="shared" si="95"/>
        <v>81</v>
      </c>
      <c r="C799" s="10"/>
      <c r="D799" s="10"/>
      <c r="E799" s="10"/>
      <c r="F799" s="29" t="s">
        <v>203</v>
      </c>
      <c r="G799" s="10">
        <v>620</v>
      </c>
      <c r="H799" s="10" t="s">
        <v>136</v>
      </c>
      <c r="I799" s="27">
        <f>60173+4082-1110</f>
        <v>63145</v>
      </c>
      <c r="J799" s="27"/>
      <c r="K799" s="250">
        <f t="shared" si="93"/>
        <v>63145</v>
      </c>
      <c r="L799" s="259"/>
      <c r="M799" s="315"/>
      <c r="N799" s="27"/>
      <c r="O799" s="250">
        <f t="shared" si="94"/>
        <v>0</v>
      </c>
      <c r="P799" s="259"/>
      <c r="Q799" s="309">
        <f t="shared" si="96"/>
        <v>63145</v>
      </c>
      <c r="R799" s="91">
        <f t="shared" si="97"/>
        <v>0</v>
      </c>
      <c r="S799" s="91">
        <f t="shared" si="98"/>
        <v>63145</v>
      </c>
    </row>
    <row r="800" spans="2:19" x14ac:dyDescent="0.2">
      <c r="B800" s="88">
        <f t="shared" si="95"/>
        <v>82</v>
      </c>
      <c r="C800" s="10"/>
      <c r="D800" s="10"/>
      <c r="E800" s="10"/>
      <c r="F800" s="29" t="s">
        <v>203</v>
      </c>
      <c r="G800" s="10">
        <v>630</v>
      </c>
      <c r="H800" s="10" t="s">
        <v>133</v>
      </c>
      <c r="I800" s="27">
        <f>SUM(I801:I804)</f>
        <v>62654</v>
      </c>
      <c r="J800" s="27">
        <f>SUM(J801:J804)</f>
        <v>180</v>
      </c>
      <c r="K800" s="250">
        <f t="shared" si="93"/>
        <v>62834</v>
      </c>
      <c r="L800" s="259"/>
      <c r="M800" s="315"/>
      <c r="N800" s="27"/>
      <c r="O800" s="250">
        <f t="shared" si="94"/>
        <v>0</v>
      </c>
      <c r="P800" s="259"/>
      <c r="Q800" s="309">
        <f t="shared" si="96"/>
        <v>62654</v>
      </c>
      <c r="R800" s="91">
        <f t="shared" si="97"/>
        <v>180</v>
      </c>
      <c r="S800" s="91">
        <f t="shared" si="98"/>
        <v>62834</v>
      </c>
    </row>
    <row r="801" spans="2:19" x14ac:dyDescent="0.2">
      <c r="B801" s="88">
        <f t="shared" si="95"/>
        <v>83</v>
      </c>
      <c r="C801" s="4"/>
      <c r="D801" s="4"/>
      <c r="E801" s="4"/>
      <c r="F801" s="30" t="s">
        <v>203</v>
      </c>
      <c r="G801" s="4">
        <v>632</v>
      </c>
      <c r="H801" s="4" t="s">
        <v>146</v>
      </c>
      <c r="I801" s="23">
        <v>40100</v>
      </c>
      <c r="J801" s="23"/>
      <c r="K801" s="220">
        <f t="shared" si="93"/>
        <v>40100</v>
      </c>
      <c r="L801" s="259"/>
      <c r="M801" s="227"/>
      <c r="N801" s="23"/>
      <c r="O801" s="220">
        <f t="shared" si="94"/>
        <v>0</v>
      </c>
      <c r="P801" s="259"/>
      <c r="Q801" s="308">
        <f t="shared" si="96"/>
        <v>40100</v>
      </c>
      <c r="R801" s="92">
        <f t="shared" si="97"/>
        <v>0</v>
      </c>
      <c r="S801" s="92">
        <f t="shared" si="98"/>
        <v>40100</v>
      </c>
    </row>
    <row r="802" spans="2:19" x14ac:dyDescent="0.2">
      <c r="B802" s="88">
        <f t="shared" si="95"/>
        <v>84</v>
      </c>
      <c r="C802" s="4"/>
      <c r="D802" s="4"/>
      <c r="E802" s="4"/>
      <c r="F802" s="30" t="s">
        <v>203</v>
      </c>
      <c r="G802" s="4">
        <v>633</v>
      </c>
      <c r="H802" s="4" t="s">
        <v>137</v>
      </c>
      <c r="I802" s="23">
        <f>10385+3999</f>
        <v>14384</v>
      </c>
      <c r="J802" s="23"/>
      <c r="K802" s="220">
        <f t="shared" si="93"/>
        <v>14384</v>
      </c>
      <c r="L802" s="259"/>
      <c r="M802" s="227"/>
      <c r="N802" s="23"/>
      <c r="O802" s="220">
        <f t="shared" si="94"/>
        <v>0</v>
      </c>
      <c r="P802" s="259"/>
      <c r="Q802" s="308">
        <f t="shared" si="96"/>
        <v>14384</v>
      </c>
      <c r="R802" s="92">
        <f t="shared" si="97"/>
        <v>0</v>
      </c>
      <c r="S802" s="92">
        <f t="shared" si="98"/>
        <v>14384</v>
      </c>
    </row>
    <row r="803" spans="2:19" x14ac:dyDescent="0.2">
      <c r="B803" s="88">
        <f t="shared" si="95"/>
        <v>85</v>
      </c>
      <c r="C803" s="4"/>
      <c r="D803" s="4"/>
      <c r="E803" s="4"/>
      <c r="F803" s="30" t="s">
        <v>203</v>
      </c>
      <c r="G803" s="4">
        <v>635</v>
      </c>
      <c r="H803" s="4" t="s">
        <v>145</v>
      </c>
      <c r="I803" s="23">
        <v>3600</v>
      </c>
      <c r="J803" s="23"/>
      <c r="K803" s="220">
        <f t="shared" si="93"/>
        <v>3600</v>
      </c>
      <c r="L803" s="259"/>
      <c r="M803" s="227"/>
      <c r="N803" s="23"/>
      <c r="O803" s="220">
        <f t="shared" si="94"/>
        <v>0</v>
      </c>
      <c r="P803" s="259"/>
      <c r="Q803" s="308">
        <f t="shared" si="96"/>
        <v>3600</v>
      </c>
      <c r="R803" s="92">
        <f t="shared" si="97"/>
        <v>0</v>
      </c>
      <c r="S803" s="92">
        <f t="shared" si="98"/>
        <v>3600</v>
      </c>
    </row>
    <row r="804" spans="2:19" x14ac:dyDescent="0.2">
      <c r="B804" s="88">
        <f t="shared" si="95"/>
        <v>86</v>
      </c>
      <c r="C804" s="4"/>
      <c r="D804" s="4"/>
      <c r="E804" s="4"/>
      <c r="F804" s="30" t="s">
        <v>203</v>
      </c>
      <c r="G804" s="4">
        <v>637</v>
      </c>
      <c r="H804" s="4" t="s">
        <v>134</v>
      </c>
      <c r="I804" s="23">
        <v>4570</v>
      </c>
      <c r="J804" s="23">
        <v>180</v>
      </c>
      <c r="K804" s="220">
        <f t="shared" si="93"/>
        <v>4750</v>
      </c>
      <c r="L804" s="259"/>
      <c r="M804" s="227"/>
      <c r="N804" s="23"/>
      <c r="O804" s="220">
        <f t="shared" si="94"/>
        <v>0</v>
      </c>
      <c r="P804" s="259"/>
      <c r="Q804" s="308">
        <f t="shared" si="96"/>
        <v>4570</v>
      </c>
      <c r="R804" s="92">
        <f t="shared" si="97"/>
        <v>180</v>
      </c>
      <c r="S804" s="92">
        <f t="shared" si="98"/>
        <v>4750</v>
      </c>
    </row>
    <row r="805" spans="2:19" x14ac:dyDescent="0.2">
      <c r="B805" s="88">
        <f t="shared" si="95"/>
        <v>87</v>
      </c>
      <c r="C805" s="10"/>
      <c r="D805" s="10"/>
      <c r="E805" s="10"/>
      <c r="F805" s="29" t="s">
        <v>203</v>
      </c>
      <c r="G805" s="10">
        <v>640</v>
      </c>
      <c r="H805" s="10" t="s">
        <v>141</v>
      </c>
      <c r="I805" s="27">
        <v>4508</v>
      </c>
      <c r="J805" s="27"/>
      <c r="K805" s="250">
        <f t="shared" si="93"/>
        <v>4508</v>
      </c>
      <c r="L805" s="259"/>
      <c r="M805" s="315"/>
      <c r="N805" s="27"/>
      <c r="O805" s="250">
        <f t="shared" si="94"/>
        <v>0</v>
      </c>
      <c r="P805" s="259"/>
      <c r="Q805" s="309">
        <f t="shared" si="96"/>
        <v>4508</v>
      </c>
      <c r="R805" s="91">
        <f t="shared" si="97"/>
        <v>0</v>
      </c>
      <c r="S805" s="91">
        <f t="shared" si="98"/>
        <v>4508</v>
      </c>
    </row>
    <row r="806" spans="2:19" x14ac:dyDescent="0.2">
      <c r="B806" s="88">
        <f t="shared" si="95"/>
        <v>88</v>
      </c>
      <c r="C806" s="9"/>
      <c r="D806" s="9"/>
      <c r="E806" s="9" t="s">
        <v>88</v>
      </c>
      <c r="F806" s="33"/>
      <c r="G806" s="9"/>
      <c r="H806" s="9" t="s">
        <v>89</v>
      </c>
      <c r="I806" s="45">
        <f>I807+I808+I809+I814</f>
        <v>301947</v>
      </c>
      <c r="J806" s="45">
        <f>J807+J808+J809+J814</f>
        <v>200</v>
      </c>
      <c r="K806" s="359">
        <f t="shared" si="93"/>
        <v>302147</v>
      </c>
      <c r="L806" s="259"/>
      <c r="M806" s="362">
        <v>0</v>
      </c>
      <c r="N806" s="45">
        <f>N815</f>
        <v>45600</v>
      </c>
      <c r="O806" s="359">
        <f t="shared" si="94"/>
        <v>45600</v>
      </c>
      <c r="P806" s="259"/>
      <c r="Q806" s="372">
        <f t="shared" si="96"/>
        <v>301947</v>
      </c>
      <c r="R806" s="105">
        <f t="shared" si="97"/>
        <v>45800</v>
      </c>
      <c r="S806" s="105">
        <f t="shared" si="98"/>
        <v>347747</v>
      </c>
    </row>
    <row r="807" spans="2:19" x14ac:dyDescent="0.2">
      <c r="B807" s="88">
        <f t="shared" si="95"/>
        <v>89</v>
      </c>
      <c r="C807" s="10"/>
      <c r="D807" s="10"/>
      <c r="E807" s="10"/>
      <c r="F807" s="29" t="s">
        <v>203</v>
      </c>
      <c r="G807" s="10">
        <v>610</v>
      </c>
      <c r="H807" s="10" t="s">
        <v>143</v>
      </c>
      <c r="I807" s="27">
        <f>157097+10717-3448</f>
        <v>164366</v>
      </c>
      <c r="J807" s="27"/>
      <c r="K807" s="250">
        <f t="shared" si="93"/>
        <v>164366</v>
      </c>
      <c r="L807" s="259"/>
      <c r="M807" s="315"/>
      <c r="N807" s="27"/>
      <c r="O807" s="250">
        <f t="shared" si="94"/>
        <v>0</v>
      </c>
      <c r="P807" s="259"/>
      <c r="Q807" s="309">
        <f t="shared" si="96"/>
        <v>164366</v>
      </c>
      <c r="R807" s="91">
        <f t="shared" si="97"/>
        <v>0</v>
      </c>
      <c r="S807" s="91">
        <f t="shared" si="98"/>
        <v>164366</v>
      </c>
    </row>
    <row r="808" spans="2:19" x14ac:dyDescent="0.2">
      <c r="B808" s="88">
        <f t="shared" si="95"/>
        <v>90</v>
      </c>
      <c r="C808" s="10"/>
      <c r="D808" s="10"/>
      <c r="E808" s="10"/>
      <c r="F808" s="29" t="s">
        <v>203</v>
      </c>
      <c r="G808" s="10">
        <v>620</v>
      </c>
      <c r="H808" s="10" t="s">
        <v>136</v>
      </c>
      <c r="I808" s="27">
        <f>58912+3960-1213</f>
        <v>61659</v>
      </c>
      <c r="J808" s="27"/>
      <c r="K808" s="250">
        <f t="shared" si="93"/>
        <v>61659</v>
      </c>
      <c r="L808" s="259"/>
      <c r="M808" s="315"/>
      <c r="N808" s="27"/>
      <c r="O808" s="250">
        <f t="shared" si="94"/>
        <v>0</v>
      </c>
      <c r="P808" s="259"/>
      <c r="Q808" s="309">
        <f t="shared" si="96"/>
        <v>61659</v>
      </c>
      <c r="R808" s="91">
        <f t="shared" si="97"/>
        <v>0</v>
      </c>
      <c r="S808" s="91">
        <f t="shared" si="98"/>
        <v>61659</v>
      </c>
    </row>
    <row r="809" spans="2:19" x14ac:dyDescent="0.2">
      <c r="B809" s="88">
        <f t="shared" si="95"/>
        <v>91</v>
      </c>
      <c r="C809" s="10"/>
      <c r="D809" s="10"/>
      <c r="E809" s="10"/>
      <c r="F809" s="29" t="s">
        <v>203</v>
      </c>
      <c r="G809" s="10">
        <v>630</v>
      </c>
      <c r="H809" s="10" t="s">
        <v>133</v>
      </c>
      <c r="I809" s="27">
        <f>SUM(I810:I813)</f>
        <v>73200</v>
      </c>
      <c r="J809" s="27">
        <f>SUM(J810:J813)</f>
        <v>200</v>
      </c>
      <c r="K809" s="250">
        <f t="shared" si="93"/>
        <v>73400</v>
      </c>
      <c r="L809" s="266"/>
      <c r="M809" s="315"/>
      <c r="N809" s="27"/>
      <c r="O809" s="250">
        <f t="shared" si="94"/>
        <v>0</v>
      </c>
      <c r="P809" s="266"/>
      <c r="Q809" s="309">
        <f t="shared" si="96"/>
        <v>73200</v>
      </c>
      <c r="R809" s="91">
        <f t="shared" si="97"/>
        <v>200</v>
      </c>
      <c r="S809" s="91">
        <f t="shared" si="98"/>
        <v>73400</v>
      </c>
    </row>
    <row r="810" spans="2:19" x14ac:dyDescent="0.2">
      <c r="B810" s="88">
        <f t="shared" si="95"/>
        <v>92</v>
      </c>
      <c r="C810" s="4"/>
      <c r="D810" s="4"/>
      <c r="E810" s="4"/>
      <c r="F810" s="30" t="s">
        <v>203</v>
      </c>
      <c r="G810" s="4">
        <v>632</v>
      </c>
      <c r="H810" s="4" t="s">
        <v>146</v>
      </c>
      <c r="I810" s="23">
        <v>49100</v>
      </c>
      <c r="J810" s="23"/>
      <c r="K810" s="220">
        <f t="shared" si="93"/>
        <v>49100</v>
      </c>
      <c r="L810" s="366"/>
      <c r="M810" s="227"/>
      <c r="N810" s="23"/>
      <c r="O810" s="220">
        <f t="shared" si="94"/>
        <v>0</v>
      </c>
      <c r="P810" s="266"/>
      <c r="Q810" s="308">
        <f t="shared" si="96"/>
        <v>49100</v>
      </c>
      <c r="R810" s="92">
        <f t="shared" si="97"/>
        <v>0</v>
      </c>
      <c r="S810" s="92">
        <f t="shared" si="98"/>
        <v>49100</v>
      </c>
    </row>
    <row r="811" spans="2:19" x14ac:dyDescent="0.2">
      <c r="B811" s="88">
        <f t="shared" si="95"/>
        <v>93</v>
      </c>
      <c r="C811" s="4"/>
      <c r="D811" s="4"/>
      <c r="E811" s="4"/>
      <c r="F811" s="30" t="s">
        <v>203</v>
      </c>
      <c r="G811" s="4">
        <v>633</v>
      </c>
      <c r="H811" s="4" t="s">
        <v>137</v>
      </c>
      <c r="I811" s="23">
        <f>11827+4393</f>
        <v>16220</v>
      </c>
      <c r="J811" s="23">
        <v>-3760</v>
      </c>
      <c r="K811" s="220">
        <f t="shared" si="93"/>
        <v>12460</v>
      </c>
      <c r="L811" s="259"/>
      <c r="M811" s="227"/>
      <c r="N811" s="23"/>
      <c r="O811" s="220">
        <f t="shared" si="94"/>
        <v>0</v>
      </c>
      <c r="P811" s="259"/>
      <c r="Q811" s="308">
        <f t="shared" si="96"/>
        <v>16220</v>
      </c>
      <c r="R811" s="92">
        <f t="shared" si="97"/>
        <v>-3760</v>
      </c>
      <c r="S811" s="92">
        <f t="shared" si="98"/>
        <v>12460</v>
      </c>
    </row>
    <row r="812" spans="2:19" x14ac:dyDescent="0.2">
      <c r="B812" s="88">
        <f t="shared" si="95"/>
        <v>94</v>
      </c>
      <c r="C812" s="4"/>
      <c r="D812" s="4"/>
      <c r="E812" s="4"/>
      <c r="F812" s="30" t="s">
        <v>203</v>
      </c>
      <c r="G812" s="4">
        <v>635</v>
      </c>
      <c r="H812" s="4" t="s">
        <v>145</v>
      </c>
      <c r="I812" s="23">
        <v>3100</v>
      </c>
      <c r="J812" s="23">
        <v>3760</v>
      </c>
      <c r="K812" s="220">
        <f t="shared" si="93"/>
        <v>6860</v>
      </c>
      <c r="L812" s="259"/>
      <c r="M812" s="227"/>
      <c r="N812" s="23"/>
      <c r="O812" s="220">
        <f t="shared" si="94"/>
        <v>0</v>
      </c>
      <c r="P812" s="259"/>
      <c r="Q812" s="308">
        <f t="shared" si="96"/>
        <v>3100</v>
      </c>
      <c r="R812" s="92">
        <f t="shared" si="97"/>
        <v>3760</v>
      </c>
      <c r="S812" s="92">
        <f t="shared" si="98"/>
        <v>6860</v>
      </c>
    </row>
    <row r="813" spans="2:19" x14ac:dyDescent="0.2">
      <c r="B813" s="88">
        <f t="shared" si="95"/>
        <v>95</v>
      </c>
      <c r="C813" s="4"/>
      <c r="D813" s="4"/>
      <c r="E813" s="4"/>
      <c r="F813" s="30" t="s">
        <v>203</v>
      </c>
      <c r="G813" s="4">
        <v>637</v>
      </c>
      <c r="H813" s="4" t="s">
        <v>134</v>
      </c>
      <c r="I813" s="23">
        <v>4780</v>
      </c>
      <c r="J813" s="23">
        <v>200</v>
      </c>
      <c r="K813" s="220">
        <f t="shared" si="93"/>
        <v>4980</v>
      </c>
      <c r="L813" s="259"/>
      <c r="M813" s="227"/>
      <c r="N813" s="23"/>
      <c r="O813" s="220">
        <f t="shared" si="94"/>
        <v>0</v>
      </c>
      <c r="P813" s="259"/>
      <c r="Q813" s="308">
        <f t="shared" si="96"/>
        <v>4780</v>
      </c>
      <c r="R813" s="92">
        <f t="shared" si="97"/>
        <v>200</v>
      </c>
      <c r="S813" s="92">
        <f t="shared" si="98"/>
        <v>4980</v>
      </c>
    </row>
    <row r="814" spans="2:19" x14ac:dyDescent="0.2">
      <c r="B814" s="88">
        <f t="shared" si="95"/>
        <v>96</v>
      </c>
      <c r="C814" s="10"/>
      <c r="D814" s="10"/>
      <c r="E814" s="10"/>
      <c r="F814" s="29" t="s">
        <v>203</v>
      </c>
      <c r="G814" s="10">
        <v>640</v>
      </c>
      <c r="H814" s="10" t="s">
        <v>141</v>
      </c>
      <c r="I814" s="27">
        <v>2722</v>
      </c>
      <c r="J814" s="27"/>
      <c r="K814" s="250">
        <f t="shared" si="93"/>
        <v>2722</v>
      </c>
      <c r="L814" s="259"/>
      <c r="M814" s="315"/>
      <c r="N814" s="27"/>
      <c r="O814" s="250">
        <f t="shared" si="94"/>
        <v>0</v>
      </c>
      <c r="P814" s="259"/>
      <c r="Q814" s="309">
        <f t="shared" si="96"/>
        <v>2722</v>
      </c>
      <c r="R814" s="91">
        <f t="shared" si="97"/>
        <v>0</v>
      </c>
      <c r="S814" s="91">
        <f t="shared" si="98"/>
        <v>2722</v>
      </c>
    </row>
    <row r="815" spans="2:19" x14ac:dyDescent="0.2">
      <c r="B815" s="88">
        <f t="shared" si="95"/>
        <v>97</v>
      </c>
      <c r="C815" s="10"/>
      <c r="D815" s="10"/>
      <c r="E815" s="10"/>
      <c r="F815" s="29" t="s">
        <v>203</v>
      </c>
      <c r="G815" s="10">
        <v>710</v>
      </c>
      <c r="H815" s="10" t="s">
        <v>188</v>
      </c>
      <c r="I815" s="27"/>
      <c r="J815" s="27"/>
      <c r="K815" s="250">
        <f t="shared" si="93"/>
        <v>0</v>
      </c>
      <c r="L815" s="259"/>
      <c r="M815" s="315">
        <f>M816</f>
        <v>0</v>
      </c>
      <c r="N815" s="27">
        <f t="shared" ref="N815:N816" si="99">N816</f>
        <v>45600</v>
      </c>
      <c r="O815" s="250">
        <f t="shared" si="94"/>
        <v>45600</v>
      </c>
      <c r="P815" s="259"/>
      <c r="Q815" s="309">
        <f t="shared" si="96"/>
        <v>0</v>
      </c>
      <c r="R815" s="91">
        <f t="shared" si="97"/>
        <v>45600</v>
      </c>
      <c r="S815" s="91">
        <f t="shared" si="98"/>
        <v>45600</v>
      </c>
    </row>
    <row r="816" spans="2:19" x14ac:dyDescent="0.2">
      <c r="B816" s="88">
        <f t="shared" si="95"/>
        <v>98</v>
      </c>
      <c r="C816" s="10"/>
      <c r="D816" s="10"/>
      <c r="E816" s="10"/>
      <c r="F816" s="30" t="s">
        <v>203</v>
      </c>
      <c r="G816" s="4">
        <v>716</v>
      </c>
      <c r="H816" s="4" t="s">
        <v>232</v>
      </c>
      <c r="I816" s="23"/>
      <c r="J816" s="23"/>
      <c r="K816" s="220">
        <f t="shared" si="93"/>
        <v>0</v>
      </c>
      <c r="L816" s="259"/>
      <c r="M816" s="227">
        <f>M817</f>
        <v>0</v>
      </c>
      <c r="N816" s="23">
        <f t="shared" si="99"/>
        <v>45600</v>
      </c>
      <c r="O816" s="220">
        <f t="shared" si="94"/>
        <v>45600</v>
      </c>
      <c r="P816" s="259"/>
      <c r="Q816" s="308">
        <f t="shared" si="96"/>
        <v>0</v>
      </c>
      <c r="R816" s="92">
        <f t="shared" si="97"/>
        <v>45600</v>
      </c>
      <c r="S816" s="92">
        <f t="shared" si="98"/>
        <v>45600</v>
      </c>
    </row>
    <row r="817" spans="2:19" x14ac:dyDescent="0.2">
      <c r="B817" s="88">
        <f t="shared" si="95"/>
        <v>99</v>
      </c>
      <c r="C817" s="10"/>
      <c r="D817" s="10"/>
      <c r="E817" s="10"/>
      <c r="F817" s="31"/>
      <c r="G817" s="5"/>
      <c r="H817" s="5" t="s">
        <v>664</v>
      </c>
      <c r="I817" s="25"/>
      <c r="J817" s="25"/>
      <c r="K817" s="251">
        <f t="shared" si="93"/>
        <v>0</v>
      </c>
      <c r="L817" s="259"/>
      <c r="M817" s="337"/>
      <c r="N817" s="25">
        <v>45600</v>
      </c>
      <c r="O817" s="251">
        <f t="shared" si="94"/>
        <v>45600</v>
      </c>
      <c r="P817" s="259"/>
      <c r="Q817" s="332">
        <f t="shared" si="96"/>
        <v>0</v>
      </c>
      <c r="R817" s="93">
        <f t="shared" si="97"/>
        <v>45600</v>
      </c>
      <c r="S817" s="93">
        <f t="shared" si="98"/>
        <v>45600</v>
      </c>
    </row>
    <row r="818" spans="2:19" x14ac:dyDescent="0.2">
      <c r="B818" s="88">
        <f t="shared" si="95"/>
        <v>100</v>
      </c>
      <c r="C818" s="9"/>
      <c r="D818" s="9"/>
      <c r="E818" s="9" t="s">
        <v>111</v>
      </c>
      <c r="F818" s="33"/>
      <c r="G818" s="9"/>
      <c r="H818" s="9" t="s">
        <v>112</v>
      </c>
      <c r="I818" s="45">
        <f>I819+I820+I821+I826</f>
        <v>202023</v>
      </c>
      <c r="J818" s="45">
        <f>J819+J820+J821+J826</f>
        <v>105</v>
      </c>
      <c r="K818" s="359">
        <f t="shared" si="93"/>
        <v>202128</v>
      </c>
      <c r="L818" s="259"/>
      <c r="M818" s="362">
        <v>0</v>
      </c>
      <c r="N818" s="45">
        <v>0</v>
      </c>
      <c r="O818" s="359">
        <f t="shared" si="94"/>
        <v>0</v>
      </c>
      <c r="P818" s="259"/>
      <c r="Q818" s="372">
        <f t="shared" si="96"/>
        <v>202023</v>
      </c>
      <c r="R818" s="105">
        <f t="shared" si="97"/>
        <v>105</v>
      </c>
      <c r="S818" s="105">
        <f t="shared" si="98"/>
        <v>202128</v>
      </c>
    </row>
    <row r="819" spans="2:19" x14ac:dyDescent="0.2">
      <c r="B819" s="88">
        <f t="shared" si="95"/>
        <v>101</v>
      </c>
      <c r="C819" s="10"/>
      <c r="D819" s="10"/>
      <c r="E819" s="10"/>
      <c r="F819" s="29" t="s">
        <v>203</v>
      </c>
      <c r="G819" s="10">
        <v>610</v>
      </c>
      <c r="H819" s="10" t="s">
        <v>143</v>
      </c>
      <c r="I819" s="27">
        <f>117000+7744-1699</f>
        <v>123045</v>
      </c>
      <c r="J819" s="27"/>
      <c r="K819" s="250">
        <f t="shared" si="93"/>
        <v>123045</v>
      </c>
      <c r="L819" s="259"/>
      <c r="M819" s="315"/>
      <c r="N819" s="27"/>
      <c r="O819" s="250">
        <f t="shared" si="94"/>
        <v>0</v>
      </c>
      <c r="P819" s="259"/>
      <c r="Q819" s="309">
        <f t="shared" si="96"/>
        <v>123045</v>
      </c>
      <c r="R819" s="91">
        <f t="shared" si="97"/>
        <v>0</v>
      </c>
      <c r="S819" s="91">
        <f t="shared" si="98"/>
        <v>123045</v>
      </c>
    </row>
    <row r="820" spans="2:19" x14ac:dyDescent="0.2">
      <c r="B820" s="88">
        <f t="shared" si="95"/>
        <v>102</v>
      </c>
      <c r="C820" s="10"/>
      <c r="D820" s="10"/>
      <c r="E820" s="10"/>
      <c r="F820" s="29" t="s">
        <v>203</v>
      </c>
      <c r="G820" s="10">
        <v>620</v>
      </c>
      <c r="H820" s="10" t="s">
        <v>136</v>
      </c>
      <c r="I820" s="27">
        <f>43738+2861-601</f>
        <v>45998</v>
      </c>
      <c r="J820" s="27"/>
      <c r="K820" s="250">
        <f t="shared" si="93"/>
        <v>45998</v>
      </c>
      <c r="L820" s="259"/>
      <c r="M820" s="315"/>
      <c r="N820" s="27"/>
      <c r="O820" s="250">
        <f t="shared" si="94"/>
        <v>0</v>
      </c>
      <c r="P820" s="259"/>
      <c r="Q820" s="309">
        <f t="shared" si="96"/>
        <v>45998</v>
      </c>
      <c r="R820" s="91">
        <f t="shared" si="97"/>
        <v>0</v>
      </c>
      <c r="S820" s="91">
        <f t="shared" si="98"/>
        <v>45998</v>
      </c>
    </row>
    <row r="821" spans="2:19" x14ac:dyDescent="0.2">
      <c r="B821" s="88">
        <f t="shared" si="95"/>
        <v>103</v>
      </c>
      <c r="C821" s="10"/>
      <c r="D821" s="10"/>
      <c r="E821" s="10"/>
      <c r="F821" s="29" t="s">
        <v>203</v>
      </c>
      <c r="G821" s="10">
        <v>630</v>
      </c>
      <c r="H821" s="10" t="s">
        <v>133</v>
      </c>
      <c r="I821" s="27">
        <f>SUM(I822:I825)</f>
        <v>31316</v>
      </c>
      <c r="J821" s="27">
        <f>SUM(J822:J825)</f>
        <v>105</v>
      </c>
      <c r="K821" s="250">
        <f t="shared" si="93"/>
        <v>31421</v>
      </c>
      <c r="L821" s="259"/>
      <c r="M821" s="315"/>
      <c r="N821" s="27"/>
      <c r="O821" s="250">
        <f t="shared" si="94"/>
        <v>0</v>
      </c>
      <c r="P821" s="259"/>
      <c r="Q821" s="309">
        <f t="shared" si="96"/>
        <v>31316</v>
      </c>
      <c r="R821" s="91">
        <f t="shared" si="97"/>
        <v>105</v>
      </c>
      <c r="S821" s="91">
        <f t="shared" si="98"/>
        <v>31421</v>
      </c>
    </row>
    <row r="822" spans="2:19" x14ac:dyDescent="0.2">
      <c r="B822" s="88">
        <f t="shared" si="95"/>
        <v>104</v>
      </c>
      <c r="C822" s="4"/>
      <c r="D822" s="4"/>
      <c r="E822" s="4"/>
      <c r="F822" s="30" t="s">
        <v>203</v>
      </c>
      <c r="G822" s="4">
        <v>632</v>
      </c>
      <c r="H822" s="4" t="s">
        <v>146</v>
      </c>
      <c r="I822" s="23">
        <v>14550</v>
      </c>
      <c r="J822" s="23"/>
      <c r="K822" s="220">
        <f t="shared" si="93"/>
        <v>14550</v>
      </c>
      <c r="L822" s="259"/>
      <c r="M822" s="227"/>
      <c r="N822" s="23"/>
      <c r="O822" s="220">
        <f t="shared" si="94"/>
        <v>0</v>
      </c>
      <c r="P822" s="259"/>
      <c r="Q822" s="308">
        <f t="shared" si="96"/>
        <v>14550</v>
      </c>
      <c r="R822" s="92">
        <f t="shared" si="97"/>
        <v>0</v>
      </c>
      <c r="S822" s="92">
        <f t="shared" si="98"/>
        <v>14550</v>
      </c>
    </row>
    <row r="823" spans="2:19" x14ac:dyDescent="0.2">
      <c r="B823" s="88">
        <f t="shared" si="95"/>
        <v>105</v>
      </c>
      <c r="C823" s="4"/>
      <c r="D823" s="4"/>
      <c r="E823" s="4"/>
      <c r="F823" s="30" t="s">
        <v>203</v>
      </c>
      <c r="G823" s="4">
        <v>633</v>
      </c>
      <c r="H823" s="4" t="s">
        <v>137</v>
      </c>
      <c r="I823" s="23">
        <f>7764+2852</f>
        <v>10616</v>
      </c>
      <c r="J823" s="23"/>
      <c r="K823" s="220">
        <f t="shared" si="93"/>
        <v>10616</v>
      </c>
      <c r="L823" s="259"/>
      <c r="M823" s="227"/>
      <c r="N823" s="23"/>
      <c r="O823" s="220">
        <f t="shared" si="94"/>
        <v>0</v>
      </c>
      <c r="P823" s="259"/>
      <c r="Q823" s="308">
        <f t="shared" si="96"/>
        <v>10616</v>
      </c>
      <c r="R823" s="92">
        <f t="shared" si="97"/>
        <v>0</v>
      </c>
      <c r="S823" s="92">
        <f t="shared" si="98"/>
        <v>10616</v>
      </c>
    </row>
    <row r="824" spans="2:19" x14ac:dyDescent="0.2">
      <c r="B824" s="88">
        <f t="shared" si="95"/>
        <v>106</v>
      </c>
      <c r="C824" s="4"/>
      <c r="D824" s="4"/>
      <c r="E824" s="4"/>
      <c r="F824" s="30" t="s">
        <v>203</v>
      </c>
      <c r="G824" s="4">
        <v>635</v>
      </c>
      <c r="H824" s="4" t="s">
        <v>145</v>
      </c>
      <c r="I824" s="23">
        <v>1700</v>
      </c>
      <c r="J824" s="23"/>
      <c r="K824" s="220">
        <f t="shared" si="93"/>
        <v>1700</v>
      </c>
      <c r="L824" s="259"/>
      <c r="M824" s="227"/>
      <c r="N824" s="23"/>
      <c r="O824" s="220">
        <f t="shared" si="94"/>
        <v>0</v>
      </c>
      <c r="P824" s="259"/>
      <c r="Q824" s="308">
        <f t="shared" si="96"/>
        <v>1700</v>
      </c>
      <c r="R824" s="92">
        <f t="shared" si="97"/>
        <v>0</v>
      </c>
      <c r="S824" s="92">
        <f t="shared" si="98"/>
        <v>1700</v>
      </c>
    </row>
    <row r="825" spans="2:19" x14ac:dyDescent="0.2">
      <c r="B825" s="88">
        <f t="shared" si="95"/>
        <v>107</v>
      </c>
      <c r="C825" s="4"/>
      <c r="D825" s="4"/>
      <c r="E825" s="4"/>
      <c r="F825" s="30" t="s">
        <v>203</v>
      </c>
      <c r="G825" s="4">
        <v>637</v>
      </c>
      <c r="H825" s="4" t="s">
        <v>134</v>
      </c>
      <c r="I825" s="23">
        <v>4450</v>
      </c>
      <c r="J825" s="23">
        <v>105</v>
      </c>
      <c r="K825" s="220">
        <f t="shared" si="93"/>
        <v>4555</v>
      </c>
      <c r="L825" s="259"/>
      <c r="M825" s="227"/>
      <c r="N825" s="23"/>
      <c r="O825" s="220">
        <f t="shared" si="94"/>
        <v>0</v>
      </c>
      <c r="P825" s="259"/>
      <c r="Q825" s="308">
        <f t="shared" si="96"/>
        <v>4450</v>
      </c>
      <c r="R825" s="92">
        <f t="shared" si="97"/>
        <v>105</v>
      </c>
      <c r="S825" s="92">
        <f t="shared" si="98"/>
        <v>4555</v>
      </c>
    </row>
    <row r="826" spans="2:19" x14ac:dyDescent="0.2">
      <c r="B826" s="88">
        <f t="shared" si="95"/>
        <v>108</v>
      </c>
      <c r="C826" s="10"/>
      <c r="D826" s="10"/>
      <c r="E826" s="10"/>
      <c r="F826" s="29" t="s">
        <v>203</v>
      </c>
      <c r="G826" s="10">
        <v>640</v>
      </c>
      <c r="H826" s="10" t="s">
        <v>141</v>
      </c>
      <c r="I826" s="27">
        <v>1664</v>
      </c>
      <c r="J826" s="27"/>
      <c r="K826" s="250">
        <f t="shared" si="93"/>
        <v>1664</v>
      </c>
      <c r="L826" s="259"/>
      <c r="M826" s="315"/>
      <c r="N826" s="27"/>
      <c r="O826" s="250">
        <f t="shared" si="94"/>
        <v>0</v>
      </c>
      <c r="P826" s="259"/>
      <c r="Q826" s="309">
        <f t="shared" si="96"/>
        <v>1664</v>
      </c>
      <c r="R826" s="91">
        <f t="shared" si="97"/>
        <v>0</v>
      </c>
      <c r="S826" s="91">
        <f t="shared" si="98"/>
        <v>1664</v>
      </c>
    </row>
    <row r="827" spans="2:19" x14ac:dyDescent="0.2">
      <c r="B827" s="88">
        <f t="shared" si="95"/>
        <v>109</v>
      </c>
      <c r="C827" s="9"/>
      <c r="D827" s="9"/>
      <c r="E827" s="9" t="s">
        <v>110</v>
      </c>
      <c r="F827" s="33"/>
      <c r="G827" s="9"/>
      <c r="H827" s="9" t="s">
        <v>67</v>
      </c>
      <c r="I827" s="45">
        <f>I828+I829+I830+I835</f>
        <v>292563</v>
      </c>
      <c r="J827" s="45">
        <f>J828+J829+J830+J835</f>
        <v>105</v>
      </c>
      <c r="K827" s="359">
        <f t="shared" si="93"/>
        <v>292668</v>
      </c>
      <c r="L827" s="259"/>
      <c r="M827" s="362">
        <f>M836</f>
        <v>946467</v>
      </c>
      <c r="N827" s="45">
        <f t="shared" ref="N827" si="100">N836</f>
        <v>0</v>
      </c>
      <c r="O827" s="359">
        <f t="shared" si="94"/>
        <v>946467</v>
      </c>
      <c r="P827" s="259"/>
      <c r="Q827" s="372">
        <f t="shared" si="96"/>
        <v>1239030</v>
      </c>
      <c r="R827" s="105">
        <f t="shared" si="97"/>
        <v>105</v>
      </c>
      <c r="S827" s="105">
        <f t="shared" si="98"/>
        <v>1239135</v>
      </c>
    </row>
    <row r="828" spans="2:19" x14ac:dyDescent="0.2">
      <c r="B828" s="88">
        <f t="shared" si="95"/>
        <v>110</v>
      </c>
      <c r="C828" s="10"/>
      <c r="D828" s="10"/>
      <c r="E828" s="10"/>
      <c r="F828" s="29" t="s">
        <v>203</v>
      </c>
      <c r="G828" s="10">
        <v>610</v>
      </c>
      <c r="H828" s="10" t="s">
        <v>143</v>
      </c>
      <c r="I828" s="27">
        <f>148408+10517-2332</f>
        <v>156593</v>
      </c>
      <c r="J828" s="27"/>
      <c r="K828" s="250">
        <f t="shared" si="93"/>
        <v>156593</v>
      </c>
      <c r="L828" s="259"/>
      <c r="M828" s="315"/>
      <c r="N828" s="27"/>
      <c r="O828" s="250">
        <f t="shared" si="94"/>
        <v>0</v>
      </c>
      <c r="P828" s="259"/>
      <c r="Q828" s="309">
        <f t="shared" si="96"/>
        <v>156593</v>
      </c>
      <c r="R828" s="91">
        <f t="shared" si="97"/>
        <v>0</v>
      </c>
      <c r="S828" s="91">
        <f t="shared" si="98"/>
        <v>156593</v>
      </c>
    </row>
    <row r="829" spans="2:19" x14ac:dyDescent="0.2">
      <c r="B829" s="88">
        <f t="shared" si="95"/>
        <v>111</v>
      </c>
      <c r="C829" s="10"/>
      <c r="D829" s="10"/>
      <c r="E829" s="10"/>
      <c r="F829" s="29" t="s">
        <v>203</v>
      </c>
      <c r="G829" s="10">
        <v>620</v>
      </c>
      <c r="H829" s="10" t="s">
        <v>136</v>
      </c>
      <c r="I829" s="27">
        <f>55513+3886-815</f>
        <v>58584</v>
      </c>
      <c r="J829" s="27"/>
      <c r="K829" s="250">
        <f t="shared" si="93"/>
        <v>58584</v>
      </c>
      <c r="L829" s="259"/>
      <c r="M829" s="315"/>
      <c r="N829" s="27"/>
      <c r="O829" s="250">
        <f t="shared" si="94"/>
        <v>0</v>
      </c>
      <c r="P829" s="259"/>
      <c r="Q829" s="309">
        <f t="shared" si="96"/>
        <v>58584</v>
      </c>
      <c r="R829" s="91">
        <f t="shared" si="97"/>
        <v>0</v>
      </c>
      <c r="S829" s="91">
        <f t="shared" si="98"/>
        <v>58584</v>
      </c>
    </row>
    <row r="830" spans="2:19" x14ac:dyDescent="0.2">
      <c r="B830" s="88">
        <f t="shared" si="95"/>
        <v>112</v>
      </c>
      <c r="C830" s="10"/>
      <c r="D830" s="10"/>
      <c r="E830" s="10"/>
      <c r="F830" s="29" t="s">
        <v>203</v>
      </c>
      <c r="G830" s="10">
        <v>630</v>
      </c>
      <c r="H830" s="10" t="s">
        <v>133</v>
      </c>
      <c r="I830" s="27">
        <f>SUM(I831:I834)</f>
        <v>75234</v>
      </c>
      <c r="J830" s="27">
        <f>SUM(J831:J834)</f>
        <v>105</v>
      </c>
      <c r="K830" s="250">
        <f t="shared" si="93"/>
        <v>75339</v>
      </c>
      <c r="L830" s="259"/>
      <c r="M830" s="315"/>
      <c r="N830" s="27"/>
      <c r="O830" s="250">
        <f t="shared" si="94"/>
        <v>0</v>
      </c>
      <c r="P830" s="259"/>
      <c r="Q830" s="309">
        <f t="shared" si="96"/>
        <v>75234</v>
      </c>
      <c r="R830" s="91">
        <f t="shared" si="97"/>
        <v>105</v>
      </c>
      <c r="S830" s="91">
        <f t="shared" si="98"/>
        <v>75339</v>
      </c>
    </row>
    <row r="831" spans="2:19" x14ac:dyDescent="0.2">
      <c r="B831" s="88">
        <f t="shared" si="95"/>
        <v>113</v>
      </c>
      <c r="C831" s="4"/>
      <c r="D831" s="4"/>
      <c r="E831" s="4"/>
      <c r="F831" s="30" t="s">
        <v>203</v>
      </c>
      <c r="G831" s="4">
        <v>632</v>
      </c>
      <c r="H831" s="4" t="s">
        <v>146</v>
      </c>
      <c r="I831" s="23">
        <v>38020</v>
      </c>
      <c r="J831" s="23"/>
      <c r="K831" s="220">
        <f t="shared" si="93"/>
        <v>38020</v>
      </c>
      <c r="L831" s="259"/>
      <c r="M831" s="227"/>
      <c r="N831" s="23"/>
      <c r="O831" s="220">
        <f t="shared" si="94"/>
        <v>0</v>
      </c>
      <c r="P831" s="259"/>
      <c r="Q831" s="308">
        <f t="shared" si="96"/>
        <v>38020</v>
      </c>
      <c r="R831" s="92">
        <f t="shared" si="97"/>
        <v>0</v>
      </c>
      <c r="S831" s="92">
        <f t="shared" si="98"/>
        <v>38020</v>
      </c>
    </row>
    <row r="832" spans="2:19" x14ac:dyDescent="0.2">
      <c r="B832" s="88">
        <f t="shared" si="95"/>
        <v>114</v>
      </c>
      <c r="C832" s="4"/>
      <c r="D832" s="4"/>
      <c r="E832" s="4"/>
      <c r="F832" s="30" t="s">
        <v>203</v>
      </c>
      <c r="G832" s="4">
        <v>633</v>
      </c>
      <c r="H832" s="4" t="s">
        <v>137</v>
      </c>
      <c r="I832" s="23">
        <f>18808+3147</f>
        <v>21955</v>
      </c>
      <c r="J832" s="23"/>
      <c r="K832" s="220">
        <f t="shared" si="93"/>
        <v>21955</v>
      </c>
      <c r="L832" s="259"/>
      <c r="M832" s="227"/>
      <c r="N832" s="23"/>
      <c r="O832" s="220">
        <f t="shared" si="94"/>
        <v>0</v>
      </c>
      <c r="P832" s="259"/>
      <c r="Q832" s="308">
        <f t="shared" si="96"/>
        <v>21955</v>
      </c>
      <c r="R832" s="92">
        <f t="shared" si="97"/>
        <v>0</v>
      </c>
      <c r="S832" s="92">
        <f t="shared" si="98"/>
        <v>21955</v>
      </c>
    </row>
    <row r="833" spans="2:19" x14ac:dyDescent="0.2">
      <c r="B833" s="88">
        <f t="shared" si="95"/>
        <v>115</v>
      </c>
      <c r="C833" s="4"/>
      <c r="D833" s="4"/>
      <c r="E833" s="4"/>
      <c r="F833" s="30" t="s">
        <v>203</v>
      </c>
      <c r="G833" s="4">
        <v>635</v>
      </c>
      <c r="H833" s="4" t="s">
        <v>145</v>
      </c>
      <c r="I833" s="23">
        <f>5800+5344</f>
        <v>11144</v>
      </c>
      <c r="J833" s="23"/>
      <c r="K833" s="220">
        <f t="shared" si="93"/>
        <v>11144</v>
      </c>
      <c r="L833" s="259"/>
      <c r="M833" s="227"/>
      <c r="N833" s="23"/>
      <c r="O833" s="220">
        <f t="shared" si="94"/>
        <v>0</v>
      </c>
      <c r="P833" s="259"/>
      <c r="Q833" s="308">
        <f t="shared" si="96"/>
        <v>11144</v>
      </c>
      <c r="R833" s="92">
        <f t="shared" si="97"/>
        <v>0</v>
      </c>
      <c r="S833" s="92">
        <f t="shared" si="98"/>
        <v>11144</v>
      </c>
    </row>
    <row r="834" spans="2:19" x14ac:dyDescent="0.2">
      <c r="B834" s="88">
        <f t="shared" si="95"/>
        <v>116</v>
      </c>
      <c r="C834" s="4"/>
      <c r="D834" s="4"/>
      <c r="E834" s="4"/>
      <c r="F834" s="30" t="s">
        <v>203</v>
      </c>
      <c r="G834" s="4">
        <v>637</v>
      </c>
      <c r="H834" s="4" t="s">
        <v>134</v>
      </c>
      <c r="I834" s="23">
        <v>4115</v>
      </c>
      <c r="J834" s="23">
        <v>105</v>
      </c>
      <c r="K834" s="220">
        <f t="shared" si="93"/>
        <v>4220</v>
      </c>
      <c r="L834" s="259"/>
      <c r="M834" s="227"/>
      <c r="N834" s="23"/>
      <c r="O834" s="220">
        <f t="shared" si="94"/>
        <v>0</v>
      </c>
      <c r="P834" s="259"/>
      <c r="Q834" s="308">
        <f t="shared" si="96"/>
        <v>4115</v>
      </c>
      <c r="R834" s="92">
        <f t="shared" si="97"/>
        <v>105</v>
      </c>
      <c r="S834" s="92">
        <f t="shared" si="98"/>
        <v>4220</v>
      </c>
    </row>
    <row r="835" spans="2:19" x14ac:dyDescent="0.2">
      <c r="B835" s="88">
        <f t="shared" si="95"/>
        <v>117</v>
      </c>
      <c r="C835" s="10"/>
      <c r="D835" s="10"/>
      <c r="E835" s="10"/>
      <c r="F835" s="29" t="s">
        <v>203</v>
      </c>
      <c r="G835" s="10">
        <v>640</v>
      </c>
      <c r="H835" s="10" t="s">
        <v>141</v>
      </c>
      <c r="I835" s="27">
        <v>2152</v>
      </c>
      <c r="J835" s="27"/>
      <c r="K835" s="250">
        <f t="shared" si="93"/>
        <v>2152</v>
      </c>
      <c r="L835" s="259"/>
      <c r="M835" s="315"/>
      <c r="N835" s="27"/>
      <c r="O835" s="250">
        <f t="shared" si="94"/>
        <v>0</v>
      </c>
      <c r="P835" s="259"/>
      <c r="Q835" s="309">
        <f t="shared" si="96"/>
        <v>2152</v>
      </c>
      <c r="R835" s="91">
        <f t="shared" si="97"/>
        <v>0</v>
      </c>
      <c r="S835" s="91">
        <f t="shared" si="98"/>
        <v>2152</v>
      </c>
    </row>
    <row r="836" spans="2:19" x14ac:dyDescent="0.2">
      <c r="B836" s="88">
        <f t="shared" si="95"/>
        <v>118</v>
      </c>
      <c r="C836" s="10"/>
      <c r="D836" s="10"/>
      <c r="E836" s="10"/>
      <c r="F836" s="29" t="s">
        <v>203</v>
      </c>
      <c r="G836" s="10">
        <v>710</v>
      </c>
      <c r="H836" s="10" t="s">
        <v>188</v>
      </c>
      <c r="I836" s="27"/>
      <c r="J836" s="27"/>
      <c r="K836" s="250">
        <f t="shared" si="93"/>
        <v>0</v>
      </c>
      <c r="L836" s="259"/>
      <c r="M836" s="315">
        <f>M837</f>
        <v>946467</v>
      </c>
      <c r="N836" s="27">
        <f t="shared" ref="N836" si="101">N837</f>
        <v>0</v>
      </c>
      <c r="O836" s="250">
        <f t="shared" si="94"/>
        <v>946467</v>
      </c>
      <c r="P836" s="259"/>
      <c r="Q836" s="309">
        <f t="shared" si="96"/>
        <v>946467</v>
      </c>
      <c r="R836" s="91">
        <f t="shared" si="97"/>
        <v>0</v>
      </c>
      <c r="S836" s="91">
        <f t="shared" si="98"/>
        <v>946467</v>
      </c>
    </row>
    <row r="837" spans="2:19" x14ac:dyDescent="0.2">
      <c r="B837" s="88">
        <f t="shared" si="95"/>
        <v>119</v>
      </c>
      <c r="C837" s="4"/>
      <c r="D837" s="4"/>
      <c r="E837" s="4"/>
      <c r="F837" s="30" t="s">
        <v>203</v>
      </c>
      <c r="G837" s="4">
        <v>717</v>
      </c>
      <c r="H837" s="4" t="s">
        <v>198</v>
      </c>
      <c r="I837" s="23"/>
      <c r="J837" s="23"/>
      <c r="K837" s="220">
        <f t="shared" si="93"/>
        <v>0</v>
      </c>
      <c r="L837" s="259"/>
      <c r="M837" s="227">
        <f>M838+M839</f>
        <v>946467</v>
      </c>
      <c r="N837" s="23">
        <f t="shared" ref="N837" si="102">N838+N839</f>
        <v>0</v>
      </c>
      <c r="O837" s="220">
        <f t="shared" si="94"/>
        <v>946467</v>
      </c>
      <c r="P837" s="259"/>
      <c r="Q837" s="370">
        <f t="shared" si="96"/>
        <v>946467</v>
      </c>
      <c r="R837" s="116">
        <f t="shared" si="97"/>
        <v>0</v>
      </c>
      <c r="S837" s="116">
        <f t="shared" si="98"/>
        <v>946467</v>
      </c>
    </row>
    <row r="838" spans="2:19" x14ac:dyDescent="0.2">
      <c r="B838" s="88">
        <f t="shared" si="95"/>
        <v>120</v>
      </c>
      <c r="C838" s="5"/>
      <c r="D838" s="5"/>
      <c r="E838" s="5"/>
      <c r="F838" s="35"/>
      <c r="G838" s="5"/>
      <c r="H838" s="51" t="s">
        <v>367</v>
      </c>
      <c r="I838" s="25"/>
      <c r="J838" s="25"/>
      <c r="K838" s="251">
        <f t="shared" si="93"/>
        <v>0</v>
      </c>
      <c r="L838" s="259"/>
      <c r="M838" s="337">
        <f>945907+10800-13240</f>
        <v>943467</v>
      </c>
      <c r="N838" s="25"/>
      <c r="O838" s="251">
        <f t="shared" si="94"/>
        <v>943467</v>
      </c>
      <c r="P838" s="259"/>
      <c r="Q838" s="371">
        <f t="shared" si="96"/>
        <v>943467</v>
      </c>
      <c r="R838" s="117">
        <f t="shared" si="97"/>
        <v>0</v>
      </c>
      <c r="S838" s="117">
        <f t="shared" si="98"/>
        <v>943467</v>
      </c>
    </row>
    <row r="839" spans="2:19" x14ac:dyDescent="0.2">
      <c r="B839" s="88">
        <f t="shared" si="95"/>
        <v>121</v>
      </c>
      <c r="C839" s="5"/>
      <c r="D839" s="5"/>
      <c r="E839" s="5"/>
      <c r="F839" s="35"/>
      <c r="G839" s="5"/>
      <c r="H839" s="51" t="s">
        <v>623</v>
      </c>
      <c r="I839" s="25"/>
      <c r="J839" s="25"/>
      <c r="K839" s="251">
        <f t="shared" si="93"/>
        <v>0</v>
      </c>
      <c r="L839" s="366"/>
      <c r="M839" s="337">
        <v>3000</v>
      </c>
      <c r="N839" s="25"/>
      <c r="O839" s="251">
        <f t="shared" si="94"/>
        <v>3000</v>
      </c>
      <c r="P839" s="266"/>
      <c r="Q839" s="371">
        <f t="shared" si="96"/>
        <v>3000</v>
      </c>
      <c r="R839" s="117">
        <f t="shared" si="97"/>
        <v>0</v>
      </c>
      <c r="S839" s="117">
        <f t="shared" si="98"/>
        <v>3000</v>
      </c>
    </row>
    <row r="840" spans="2:19" x14ac:dyDescent="0.2">
      <c r="B840" s="88">
        <f t="shared" si="95"/>
        <v>122</v>
      </c>
      <c r="C840" s="9"/>
      <c r="D840" s="9"/>
      <c r="E840" s="9" t="s">
        <v>106</v>
      </c>
      <c r="F840" s="33"/>
      <c r="G840" s="9"/>
      <c r="H840" s="9" t="s">
        <v>73</v>
      </c>
      <c r="I840" s="45">
        <f>I841+I842+I843</f>
        <v>293695</v>
      </c>
      <c r="J840" s="45">
        <f>J841+J842+J843</f>
        <v>190</v>
      </c>
      <c r="K840" s="359">
        <f t="shared" si="93"/>
        <v>293885</v>
      </c>
      <c r="L840" s="366"/>
      <c r="M840" s="362">
        <v>0</v>
      </c>
      <c r="N840" s="45">
        <f>N848</f>
        <v>856284</v>
      </c>
      <c r="O840" s="359">
        <f t="shared" si="94"/>
        <v>856284</v>
      </c>
      <c r="P840" s="260"/>
      <c r="Q840" s="372">
        <f t="shared" si="96"/>
        <v>293695</v>
      </c>
      <c r="R840" s="105">
        <f t="shared" si="97"/>
        <v>856474</v>
      </c>
      <c r="S840" s="105">
        <f t="shared" si="98"/>
        <v>1150169</v>
      </c>
    </row>
    <row r="841" spans="2:19" x14ac:dyDescent="0.2">
      <c r="B841" s="88">
        <f t="shared" si="95"/>
        <v>123</v>
      </c>
      <c r="C841" s="10"/>
      <c r="D841" s="10"/>
      <c r="E841" s="10"/>
      <c r="F841" s="29" t="s">
        <v>203</v>
      </c>
      <c r="G841" s="10">
        <v>610</v>
      </c>
      <c r="H841" s="10" t="s">
        <v>143</v>
      </c>
      <c r="I841" s="27">
        <f>165225+10174-3084</f>
        <v>172315</v>
      </c>
      <c r="J841" s="27"/>
      <c r="K841" s="250">
        <f t="shared" si="93"/>
        <v>172315</v>
      </c>
      <c r="L841" s="259"/>
      <c r="M841" s="315"/>
      <c r="N841" s="27"/>
      <c r="O841" s="250">
        <f t="shared" si="94"/>
        <v>0</v>
      </c>
      <c r="P841" s="259"/>
      <c r="Q841" s="309">
        <f t="shared" si="96"/>
        <v>172315</v>
      </c>
      <c r="R841" s="91">
        <f t="shared" si="97"/>
        <v>0</v>
      </c>
      <c r="S841" s="91">
        <f t="shared" si="98"/>
        <v>172315</v>
      </c>
    </row>
    <row r="842" spans="2:19" x14ac:dyDescent="0.2">
      <c r="B842" s="88">
        <f t="shared" si="95"/>
        <v>124</v>
      </c>
      <c r="C842" s="10"/>
      <c r="D842" s="10"/>
      <c r="E842" s="10"/>
      <c r="F842" s="29" t="s">
        <v>203</v>
      </c>
      <c r="G842" s="10">
        <v>620</v>
      </c>
      <c r="H842" s="10" t="s">
        <v>136</v>
      </c>
      <c r="I842" s="27">
        <f>60917+3759-1086</f>
        <v>63590</v>
      </c>
      <c r="J842" s="27"/>
      <c r="K842" s="250">
        <f t="shared" si="93"/>
        <v>63590</v>
      </c>
      <c r="L842" s="259"/>
      <c r="M842" s="315"/>
      <c r="N842" s="27"/>
      <c r="O842" s="250">
        <f t="shared" si="94"/>
        <v>0</v>
      </c>
      <c r="P842" s="259"/>
      <c r="Q842" s="309">
        <f t="shared" si="96"/>
        <v>63590</v>
      </c>
      <c r="R842" s="91">
        <f t="shared" si="97"/>
        <v>0</v>
      </c>
      <c r="S842" s="91">
        <f t="shared" si="98"/>
        <v>63590</v>
      </c>
    </row>
    <row r="843" spans="2:19" x14ac:dyDescent="0.2">
      <c r="B843" s="88">
        <f t="shared" si="95"/>
        <v>125</v>
      </c>
      <c r="C843" s="10"/>
      <c r="D843" s="10"/>
      <c r="E843" s="10"/>
      <c r="F843" s="29" t="s">
        <v>203</v>
      </c>
      <c r="G843" s="10">
        <v>630</v>
      </c>
      <c r="H843" s="10" t="s">
        <v>133</v>
      </c>
      <c r="I843" s="27">
        <f>SUM(I844:I847)</f>
        <v>57790</v>
      </c>
      <c r="J843" s="27">
        <f>SUM(J844:J847)</f>
        <v>190</v>
      </c>
      <c r="K843" s="250">
        <f t="shared" si="93"/>
        <v>57980</v>
      </c>
      <c r="L843" s="259"/>
      <c r="M843" s="315"/>
      <c r="N843" s="27"/>
      <c r="O843" s="250">
        <f t="shared" si="94"/>
        <v>0</v>
      </c>
      <c r="P843" s="259"/>
      <c r="Q843" s="309">
        <f t="shared" si="96"/>
        <v>57790</v>
      </c>
      <c r="R843" s="91">
        <f t="shared" si="97"/>
        <v>190</v>
      </c>
      <c r="S843" s="91">
        <f t="shared" si="98"/>
        <v>57980</v>
      </c>
    </row>
    <row r="844" spans="2:19" x14ac:dyDescent="0.2">
      <c r="B844" s="88">
        <f t="shared" si="95"/>
        <v>126</v>
      </c>
      <c r="C844" s="4"/>
      <c r="D844" s="4"/>
      <c r="E844" s="4"/>
      <c r="F844" s="30" t="s">
        <v>203</v>
      </c>
      <c r="G844" s="4">
        <v>632</v>
      </c>
      <c r="H844" s="4" t="s">
        <v>146</v>
      </c>
      <c r="I844" s="23">
        <v>27750</v>
      </c>
      <c r="J844" s="23"/>
      <c r="K844" s="220">
        <f t="shared" si="93"/>
        <v>27750</v>
      </c>
      <c r="L844" s="259"/>
      <c r="M844" s="227"/>
      <c r="N844" s="23"/>
      <c r="O844" s="220">
        <f t="shared" si="94"/>
        <v>0</v>
      </c>
      <c r="P844" s="259"/>
      <c r="Q844" s="308">
        <f t="shared" si="96"/>
        <v>27750</v>
      </c>
      <c r="R844" s="92">
        <f t="shared" si="97"/>
        <v>0</v>
      </c>
      <c r="S844" s="92">
        <f t="shared" si="98"/>
        <v>27750</v>
      </c>
    </row>
    <row r="845" spans="2:19" x14ac:dyDescent="0.2">
      <c r="B845" s="88">
        <f t="shared" si="95"/>
        <v>127</v>
      </c>
      <c r="C845" s="4"/>
      <c r="D845" s="4"/>
      <c r="E845" s="4"/>
      <c r="F845" s="30" t="s">
        <v>203</v>
      </c>
      <c r="G845" s="4">
        <v>633</v>
      </c>
      <c r="H845" s="4" t="s">
        <v>137</v>
      </c>
      <c r="I845" s="23">
        <f>13624+4721</f>
        <v>18345</v>
      </c>
      <c r="J845" s="23"/>
      <c r="K845" s="220">
        <f t="shared" si="93"/>
        <v>18345</v>
      </c>
      <c r="L845" s="259"/>
      <c r="M845" s="227"/>
      <c r="N845" s="23"/>
      <c r="O845" s="220">
        <f t="shared" si="94"/>
        <v>0</v>
      </c>
      <c r="P845" s="259"/>
      <c r="Q845" s="308">
        <f t="shared" si="96"/>
        <v>18345</v>
      </c>
      <c r="R845" s="92">
        <f t="shared" si="97"/>
        <v>0</v>
      </c>
      <c r="S845" s="92">
        <f t="shared" si="98"/>
        <v>18345</v>
      </c>
    </row>
    <row r="846" spans="2:19" x14ac:dyDescent="0.2">
      <c r="B846" s="88">
        <f t="shared" si="95"/>
        <v>128</v>
      </c>
      <c r="C846" s="4"/>
      <c r="D846" s="4"/>
      <c r="E846" s="4"/>
      <c r="F846" s="30" t="s">
        <v>203</v>
      </c>
      <c r="G846" s="4">
        <v>635</v>
      </c>
      <c r="H846" s="4" t="s">
        <v>145</v>
      </c>
      <c r="I846" s="23">
        <v>7150</v>
      </c>
      <c r="J846" s="23"/>
      <c r="K846" s="220">
        <f t="shared" si="93"/>
        <v>7150</v>
      </c>
      <c r="L846" s="259"/>
      <c r="M846" s="227"/>
      <c r="N846" s="23"/>
      <c r="O846" s="220">
        <f t="shared" si="94"/>
        <v>0</v>
      </c>
      <c r="P846" s="259"/>
      <c r="Q846" s="308">
        <f t="shared" si="96"/>
        <v>7150</v>
      </c>
      <c r="R846" s="92">
        <f t="shared" si="97"/>
        <v>0</v>
      </c>
      <c r="S846" s="92">
        <f t="shared" si="98"/>
        <v>7150</v>
      </c>
    </row>
    <row r="847" spans="2:19" x14ac:dyDescent="0.2">
      <c r="B847" s="88">
        <f t="shared" si="95"/>
        <v>129</v>
      </c>
      <c r="C847" s="4"/>
      <c r="D847" s="4"/>
      <c r="E847" s="4"/>
      <c r="F847" s="30" t="s">
        <v>203</v>
      </c>
      <c r="G847" s="4">
        <v>637</v>
      </c>
      <c r="H847" s="4" t="s">
        <v>134</v>
      </c>
      <c r="I847" s="23">
        <v>4545</v>
      </c>
      <c r="J847" s="23">
        <v>190</v>
      </c>
      <c r="K847" s="220">
        <f t="shared" si="93"/>
        <v>4735</v>
      </c>
      <c r="L847" s="259"/>
      <c r="M847" s="227"/>
      <c r="N847" s="23"/>
      <c r="O847" s="220">
        <f t="shared" si="94"/>
        <v>0</v>
      </c>
      <c r="P847" s="259"/>
      <c r="Q847" s="308">
        <f t="shared" si="96"/>
        <v>4545</v>
      </c>
      <c r="R847" s="92">
        <f t="shared" si="97"/>
        <v>190</v>
      </c>
      <c r="S847" s="92">
        <f t="shared" si="98"/>
        <v>4735</v>
      </c>
    </row>
    <row r="848" spans="2:19" x14ac:dyDescent="0.2">
      <c r="B848" s="88">
        <f t="shared" si="95"/>
        <v>130</v>
      </c>
      <c r="C848" s="4"/>
      <c r="D848" s="4"/>
      <c r="E848" s="4"/>
      <c r="F848" s="29" t="s">
        <v>203</v>
      </c>
      <c r="G848" s="10">
        <v>710</v>
      </c>
      <c r="H848" s="10" t="s">
        <v>188</v>
      </c>
      <c r="I848" s="27"/>
      <c r="J848" s="27"/>
      <c r="K848" s="250">
        <f t="shared" ref="K848:K850" si="103">I848+J848</f>
        <v>0</v>
      </c>
      <c r="L848" s="259"/>
      <c r="M848" s="315">
        <f>M849</f>
        <v>0</v>
      </c>
      <c r="N848" s="27">
        <f>N849+N851</f>
        <v>856284</v>
      </c>
      <c r="O848" s="250">
        <f t="shared" ref="O848:O850" si="104">M848+N848</f>
        <v>856284</v>
      </c>
      <c r="P848" s="259"/>
      <c r="Q848" s="309">
        <f t="shared" ref="Q848:Q850" si="105">I848+M848</f>
        <v>0</v>
      </c>
      <c r="R848" s="91">
        <f t="shared" ref="R848:R850" si="106">J848+N848</f>
        <v>856284</v>
      </c>
      <c r="S848" s="91">
        <f t="shared" ref="S848:S850" si="107">K848+O848</f>
        <v>856284</v>
      </c>
    </row>
    <row r="849" spans="2:19" x14ac:dyDescent="0.2">
      <c r="B849" s="88">
        <f t="shared" si="95"/>
        <v>131</v>
      </c>
      <c r="C849" s="4"/>
      <c r="D849" s="4"/>
      <c r="E849" s="4"/>
      <c r="F849" s="30" t="s">
        <v>203</v>
      </c>
      <c r="G849" s="4">
        <v>716</v>
      </c>
      <c r="H849" s="4" t="s">
        <v>232</v>
      </c>
      <c r="I849" s="23"/>
      <c r="J849" s="23"/>
      <c r="K849" s="220">
        <f t="shared" si="103"/>
        <v>0</v>
      </c>
      <c r="L849" s="259"/>
      <c r="M849" s="227">
        <f>M850+M851</f>
        <v>0</v>
      </c>
      <c r="N849" s="23">
        <f>N850</f>
        <v>7750</v>
      </c>
      <c r="O849" s="220">
        <f t="shared" si="104"/>
        <v>7750</v>
      </c>
      <c r="P849" s="259"/>
      <c r="Q849" s="370">
        <f t="shared" si="105"/>
        <v>0</v>
      </c>
      <c r="R849" s="116">
        <f t="shared" si="106"/>
        <v>7750</v>
      </c>
      <c r="S849" s="116">
        <f t="shared" si="107"/>
        <v>7750</v>
      </c>
    </row>
    <row r="850" spans="2:19" x14ac:dyDescent="0.2">
      <c r="B850" s="88">
        <f t="shared" si="95"/>
        <v>132</v>
      </c>
      <c r="C850" s="4"/>
      <c r="D850" s="4"/>
      <c r="E850" s="4"/>
      <c r="F850" s="35"/>
      <c r="G850" s="5"/>
      <c r="H850" s="51" t="s">
        <v>682</v>
      </c>
      <c r="I850" s="25"/>
      <c r="J850" s="25"/>
      <c r="K850" s="251">
        <f t="shared" si="103"/>
        <v>0</v>
      </c>
      <c r="L850" s="259"/>
      <c r="M850" s="337">
        <v>0</v>
      </c>
      <c r="N850" s="25">
        <v>7750</v>
      </c>
      <c r="O850" s="251">
        <f t="shared" si="104"/>
        <v>7750</v>
      </c>
      <c r="P850" s="259"/>
      <c r="Q850" s="371">
        <f t="shared" si="105"/>
        <v>0</v>
      </c>
      <c r="R850" s="117">
        <f t="shared" si="106"/>
        <v>7750</v>
      </c>
      <c r="S850" s="117">
        <f t="shared" si="107"/>
        <v>7750</v>
      </c>
    </row>
    <row r="851" spans="2:19" x14ac:dyDescent="0.2">
      <c r="B851" s="88">
        <f t="shared" si="95"/>
        <v>133</v>
      </c>
      <c r="C851" s="4"/>
      <c r="D851" s="4"/>
      <c r="E851" s="4"/>
      <c r="F851" s="30"/>
      <c r="G851" s="4">
        <v>717</v>
      </c>
      <c r="H851" s="4" t="s">
        <v>198</v>
      </c>
      <c r="I851" s="23"/>
      <c r="J851" s="23"/>
      <c r="K851" s="220"/>
      <c r="L851" s="259"/>
      <c r="M851" s="227">
        <v>0</v>
      </c>
      <c r="N851" s="23">
        <f>N852</f>
        <v>848534</v>
      </c>
      <c r="O851" s="220">
        <f t="shared" ref="O851:O852" si="108">M851+N851</f>
        <v>848534</v>
      </c>
      <c r="P851" s="259"/>
      <c r="Q851" s="308">
        <f t="shared" ref="Q851:Q852" si="109">I851+M851</f>
        <v>0</v>
      </c>
      <c r="R851" s="92">
        <f t="shared" ref="R851:R852" si="110">J851+N851</f>
        <v>848534</v>
      </c>
      <c r="S851" s="92">
        <f t="shared" ref="S851:S852" si="111">K851+O851</f>
        <v>848534</v>
      </c>
    </row>
    <row r="852" spans="2:19" x14ac:dyDescent="0.2">
      <c r="B852" s="88">
        <f t="shared" si="95"/>
        <v>134</v>
      </c>
      <c r="C852" s="4"/>
      <c r="D852" s="4"/>
      <c r="E852" s="4"/>
      <c r="F852" s="30"/>
      <c r="G852" s="4"/>
      <c r="H852" s="51" t="s">
        <v>682</v>
      </c>
      <c r="I852" s="23"/>
      <c r="J852" s="23"/>
      <c r="K852" s="220"/>
      <c r="L852" s="259"/>
      <c r="M852" s="227">
        <v>0</v>
      </c>
      <c r="N852" s="198">
        <v>848534</v>
      </c>
      <c r="O852" s="369">
        <f t="shared" si="108"/>
        <v>848534</v>
      </c>
      <c r="P852" s="443"/>
      <c r="Q852" s="374">
        <f t="shared" si="109"/>
        <v>0</v>
      </c>
      <c r="R852" s="199">
        <f t="shared" si="110"/>
        <v>848534</v>
      </c>
      <c r="S852" s="199">
        <f t="shared" si="111"/>
        <v>848534</v>
      </c>
    </row>
    <row r="853" spans="2:19" x14ac:dyDescent="0.2">
      <c r="B853" s="88">
        <f t="shared" si="95"/>
        <v>135</v>
      </c>
      <c r="C853" s="9"/>
      <c r="D853" s="9"/>
      <c r="E853" s="9" t="s">
        <v>109</v>
      </c>
      <c r="F853" s="33"/>
      <c r="G853" s="9"/>
      <c r="H853" s="9" t="s">
        <v>74</v>
      </c>
      <c r="I853" s="45">
        <f>I854+I855+I856</f>
        <v>177363</v>
      </c>
      <c r="J853" s="45">
        <f>J854+J855+J856</f>
        <v>95</v>
      </c>
      <c r="K853" s="359">
        <f t="shared" si="93"/>
        <v>177458</v>
      </c>
      <c r="L853" s="367"/>
      <c r="M853" s="362">
        <f>M861</f>
        <v>39000</v>
      </c>
      <c r="N853" s="45">
        <f t="shared" ref="N853" si="112">N861</f>
        <v>0</v>
      </c>
      <c r="O853" s="359">
        <f t="shared" si="94"/>
        <v>39000</v>
      </c>
      <c r="P853" s="367"/>
      <c r="Q853" s="372">
        <f t="shared" si="96"/>
        <v>216363</v>
      </c>
      <c r="R853" s="105">
        <f t="shared" si="97"/>
        <v>95</v>
      </c>
      <c r="S853" s="105">
        <f t="shared" si="98"/>
        <v>216458</v>
      </c>
    </row>
    <row r="854" spans="2:19" x14ac:dyDescent="0.2">
      <c r="B854" s="88">
        <f t="shared" si="95"/>
        <v>136</v>
      </c>
      <c r="C854" s="10"/>
      <c r="D854" s="10"/>
      <c r="E854" s="10"/>
      <c r="F854" s="29" t="s">
        <v>203</v>
      </c>
      <c r="G854" s="10">
        <v>610</v>
      </c>
      <c r="H854" s="10" t="s">
        <v>143</v>
      </c>
      <c r="I854" s="27">
        <f>101249+6911-1968</f>
        <v>106192</v>
      </c>
      <c r="J854" s="27"/>
      <c r="K854" s="250">
        <f t="shared" si="93"/>
        <v>106192</v>
      </c>
      <c r="L854" s="265"/>
      <c r="M854" s="315"/>
      <c r="N854" s="27"/>
      <c r="O854" s="250">
        <f t="shared" si="94"/>
        <v>0</v>
      </c>
      <c r="P854" s="260"/>
      <c r="Q854" s="309">
        <f t="shared" si="96"/>
        <v>106192</v>
      </c>
      <c r="R854" s="91">
        <f t="shared" si="97"/>
        <v>0</v>
      </c>
      <c r="S854" s="91">
        <f t="shared" si="98"/>
        <v>106192</v>
      </c>
    </row>
    <row r="855" spans="2:19" x14ac:dyDescent="0.2">
      <c r="B855" s="88">
        <f t="shared" si="95"/>
        <v>137</v>
      </c>
      <c r="C855" s="10"/>
      <c r="D855" s="10"/>
      <c r="E855" s="10"/>
      <c r="F855" s="29" t="s">
        <v>203</v>
      </c>
      <c r="G855" s="10">
        <v>620</v>
      </c>
      <c r="H855" s="10" t="s">
        <v>136</v>
      </c>
      <c r="I855" s="27">
        <f>37300+2554-688</f>
        <v>39166</v>
      </c>
      <c r="J855" s="27"/>
      <c r="K855" s="250">
        <f t="shared" si="93"/>
        <v>39166</v>
      </c>
      <c r="L855" s="259"/>
      <c r="M855" s="315"/>
      <c r="N855" s="27"/>
      <c r="O855" s="250">
        <f t="shared" si="94"/>
        <v>0</v>
      </c>
      <c r="P855" s="259"/>
      <c r="Q855" s="309">
        <f t="shared" si="96"/>
        <v>39166</v>
      </c>
      <c r="R855" s="91">
        <f t="shared" si="97"/>
        <v>0</v>
      </c>
      <c r="S855" s="91">
        <f t="shared" si="98"/>
        <v>39166</v>
      </c>
    </row>
    <row r="856" spans="2:19" x14ac:dyDescent="0.2">
      <c r="B856" s="88">
        <f t="shared" si="95"/>
        <v>138</v>
      </c>
      <c r="C856" s="10"/>
      <c r="D856" s="10"/>
      <c r="E856" s="10"/>
      <c r="F856" s="29" t="s">
        <v>203</v>
      </c>
      <c r="G856" s="10">
        <v>630</v>
      </c>
      <c r="H856" s="10" t="s">
        <v>133</v>
      </c>
      <c r="I856" s="27">
        <f>SUM(I857:I860)</f>
        <v>32005</v>
      </c>
      <c r="J856" s="27">
        <f>SUM(J857:J860)</f>
        <v>95</v>
      </c>
      <c r="K856" s="250">
        <f t="shared" ref="K856:K920" si="113">I856+J856</f>
        <v>32100</v>
      </c>
      <c r="L856" s="259"/>
      <c r="M856" s="315"/>
      <c r="N856" s="27"/>
      <c r="O856" s="250">
        <f t="shared" ref="O856:O920" si="114">M856+N856</f>
        <v>0</v>
      </c>
      <c r="P856" s="259"/>
      <c r="Q856" s="309">
        <f t="shared" si="96"/>
        <v>32005</v>
      </c>
      <c r="R856" s="91">
        <f t="shared" si="97"/>
        <v>95</v>
      </c>
      <c r="S856" s="91">
        <f t="shared" si="98"/>
        <v>32100</v>
      </c>
    </row>
    <row r="857" spans="2:19" x14ac:dyDescent="0.2">
      <c r="B857" s="88">
        <f t="shared" ref="B857:B921" si="115">B856+1</f>
        <v>139</v>
      </c>
      <c r="C857" s="4"/>
      <c r="D857" s="4"/>
      <c r="E857" s="4"/>
      <c r="F857" s="30" t="s">
        <v>203</v>
      </c>
      <c r="G857" s="4">
        <v>632</v>
      </c>
      <c r="H857" s="4" t="s">
        <v>146</v>
      </c>
      <c r="I857" s="23">
        <v>17450</v>
      </c>
      <c r="J857" s="23"/>
      <c r="K857" s="220">
        <f t="shared" si="113"/>
        <v>17450</v>
      </c>
      <c r="L857" s="259"/>
      <c r="M857" s="227"/>
      <c r="N857" s="23"/>
      <c r="O857" s="220">
        <f t="shared" si="114"/>
        <v>0</v>
      </c>
      <c r="P857" s="259"/>
      <c r="Q857" s="308">
        <f t="shared" si="96"/>
        <v>17450</v>
      </c>
      <c r="R857" s="92">
        <f t="shared" si="97"/>
        <v>0</v>
      </c>
      <c r="S857" s="92">
        <f t="shared" si="98"/>
        <v>17450</v>
      </c>
    </row>
    <row r="858" spans="2:19" x14ac:dyDescent="0.2">
      <c r="B858" s="88">
        <f t="shared" si="115"/>
        <v>140</v>
      </c>
      <c r="C858" s="4"/>
      <c r="D858" s="4"/>
      <c r="E858" s="4"/>
      <c r="F858" s="30" t="s">
        <v>203</v>
      </c>
      <c r="G858" s="4">
        <v>633</v>
      </c>
      <c r="H858" s="4" t="s">
        <v>137</v>
      </c>
      <c r="I858" s="23">
        <f>6976+2164</f>
        <v>9140</v>
      </c>
      <c r="J858" s="23"/>
      <c r="K858" s="220">
        <f t="shared" si="113"/>
        <v>9140</v>
      </c>
      <c r="L858" s="259"/>
      <c r="M858" s="227"/>
      <c r="N858" s="23"/>
      <c r="O858" s="220">
        <f t="shared" si="114"/>
        <v>0</v>
      </c>
      <c r="P858" s="259"/>
      <c r="Q858" s="308">
        <f t="shared" si="96"/>
        <v>9140</v>
      </c>
      <c r="R858" s="92">
        <f t="shared" si="97"/>
        <v>0</v>
      </c>
      <c r="S858" s="92">
        <f t="shared" si="98"/>
        <v>9140</v>
      </c>
    </row>
    <row r="859" spans="2:19" x14ac:dyDescent="0.2">
      <c r="B859" s="88">
        <f t="shared" si="115"/>
        <v>141</v>
      </c>
      <c r="C859" s="4"/>
      <c r="D859" s="4"/>
      <c r="E859" s="4"/>
      <c r="F859" s="30" t="s">
        <v>203</v>
      </c>
      <c r="G859" s="4">
        <v>635</v>
      </c>
      <c r="H859" s="4" t="s">
        <v>145</v>
      </c>
      <c r="I859" s="23">
        <v>2300</v>
      </c>
      <c r="J859" s="23"/>
      <c r="K859" s="220">
        <f t="shared" si="113"/>
        <v>2300</v>
      </c>
      <c r="L859" s="259"/>
      <c r="M859" s="227"/>
      <c r="N859" s="23"/>
      <c r="O859" s="220">
        <f t="shared" si="114"/>
        <v>0</v>
      </c>
      <c r="P859" s="259"/>
      <c r="Q859" s="308">
        <f t="shared" si="96"/>
        <v>2300</v>
      </c>
      <c r="R859" s="92">
        <f t="shared" si="97"/>
        <v>0</v>
      </c>
      <c r="S859" s="92">
        <f t="shared" si="98"/>
        <v>2300</v>
      </c>
    </row>
    <row r="860" spans="2:19" x14ac:dyDescent="0.2">
      <c r="B860" s="88">
        <f t="shared" si="115"/>
        <v>142</v>
      </c>
      <c r="C860" s="4"/>
      <c r="D860" s="4"/>
      <c r="E860" s="4"/>
      <c r="F860" s="30" t="s">
        <v>203</v>
      </c>
      <c r="G860" s="4">
        <v>637</v>
      </c>
      <c r="H860" s="4" t="s">
        <v>134</v>
      </c>
      <c r="I860" s="23">
        <v>3115</v>
      </c>
      <c r="J860" s="23">
        <v>95</v>
      </c>
      <c r="K860" s="220">
        <f t="shared" si="113"/>
        <v>3210</v>
      </c>
      <c r="L860" s="259"/>
      <c r="M860" s="227"/>
      <c r="N860" s="23"/>
      <c r="O860" s="220">
        <f t="shared" si="114"/>
        <v>0</v>
      </c>
      <c r="P860" s="259"/>
      <c r="Q860" s="308">
        <f t="shared" si="96"/>
        <v>3115</v>
      </c>
      <c r="R860" s="92">
        <f t="shared" si="97"/>
        <v>95</v>
      </c>
      <c r="S860" s="92">
        <f t="shared" si="98"/>
        <v>3210</v>
      </c>
    </row>
    <row r="861" spans="2:19" x14ac:dyDescent="0.2">
      <c r="B861" s="88">
        <f t="shared" si="115"/>
        <v>143</v>
      </c>
      <c r="C861" s="4"/>
      <c r="D861" s="4"/>
      <c r="E861" s="4"/>
      <c r="F861" s="29" t="s">
        <v>203</v>
      </c>
      <c r="G861" s="10">
        <v>710</v>
      </c>
      <c r="H861" s="10" t="s">
        <v>188</v>
      </c>
      <c r="I861" s="27"/>
      <c r="J861" s="27"/>
      <c r="K861" s="250">
        <f t="shared" si="113"/>
        <v>0</v>
      </c>
      <c r="L861" s="259"/>
      <c r="M861" s="315">
        <f>M862</f>
        <v>39000</v>
      </c>
      <c r="N861" s="27">
        <f t="shared" ref="N861:N862" si="116">N862</f>
        <v>0</v>
      </c>
      <c r="O861" s="250">
        <f t="shared" si="114"/>
        <v>39000</v>
      </c>
      <c r="P861" s="259"/>
      <c r="Q861" s="309">
        <f t="shared" ref="Q861:Q925" si="117">I861+M861</f>
        <v>39000</v>
      </c>
      <c r="R861" s="91">
        <f t="shared" ref="R861:R919" si="118">J861+N861</f>
        <v>0</v>
      </c>
      <c r="S861" s="91">
        <f t="shared" ref="S861:S919" si="119">K861+O861</f>
        <v>39000</v>
      </c>
    </row>
    <row r="862" spans="2:19" x14ac:dyDescent="0.2">
      <c r="B862" s="88">
        <f t="shared" si="115"/>
        <v>144</v>
      </c>
      <c r="C862" s="4"/>
      <c r="D862" s="4"/>
      <c r="E862" s="4"/>
      <c r="F862" s="30" t="s">
        <v>203</v>
      </c>
      <c r="G862" s="4">
        <v>717</v>
      </c>
      <c r="H862" s="4" t="s">
        <v>198</v>
      </c>
      <c r="I862" s="23"/>
      <c r="J862" s="23"/>
      <c r="K862" s="220">
        <f t="shared" si="113"/>
        <v>0</v>
      </c>
      <c r="L862" s="259"/>
      <c r="M862" s="227">
        <f>M863</f>
        <v>39000</v>
      </c>
      <c r="N862" s="23">
        <f t="shared" si="116"/>
        <v>0</v>
      </c>
      <c r="O862" s="220">
        <f t="shared" si="114"/>
        <v>39000</v>
      </c>
      <c r="P862" s="259"/>
      <c r="Q862" s="370">
        <f t="shared" si="117"/>
        <v>39000</v>
      </c>
      <c r="R862" s="116">
        <f t="shared" si="118"/>
        <v>0</v>
      </c>
      <c r="S862" s="116">
        <f t="shared" si="119"/>
        <v>39000</v>
      </c>
    </row>
    <row r="863" spans="2:19" x14ac:dyDescent="0.2">
      <c r="B863" s="88">
        <f t="shared" si="115"/>
        <v>145</v>
      </c>
      <c r="C863" s="4"/>
      <c r="D863" s="4"/>
      <c r="E863" s="4"/>
      <c r="F863" s="35"/>
      <c r="G863" s="5"/>
      <c r="H863" s="51" t="s">
        <v>574</v>
      </c>
      <c r="I863" s="25"/>
      <c r="J863" s="25"/>
      <c r="K863" s="251">
        <f t="shared" si="113"/>
        <v>0</v>
      </c>
      <c r="L863" s="259"/>
      <c r="M863" s="337">
        <f>30000+9000</f>
        <v>39000</v>
      </c>
      <c r="N863" s="25"/>
      <c r="O863" s="251">
        <f t="shared" si="114"/>
        <v>39000</v>
      </c>
      <c r="P863" s="259"/>
      <c r="Q863" s="371">
        <f t="shared" si="117"/>
        <v>39000</v>
      </c>
      <c r="R863" s="117">
        <f t="shared" si="118"/>
        <v>0</v>
      </c>
      <c r="S863" s="117">
        <f t="shared" si="119"/>
        <v>39000</v>
      </c>
    </row>
    <row r="864" spans="2:19" x14ac:dyDescent="0.2">
      <c r="B864" s="88">
        <f t="shared" si="115"/>
        <v>146</v>
      </c>
      <c r="C864" s="9"/>
      <c r="D864" s="9"/>
      <c r="E864" s="9" t="s">
        <v>102</v>
      </c>
      <c r="F864" s="33"/>
      <c r="G864" s="9"/>
      <c r="H864" s="9" t="s">
        <v>103</v>
      </c>
      <c r="I864" s="45">
        <f>I865+I866+I867</f>
        <v>90277</v>
      </c>
      <c r="J864" s="45">
        <f>J865+J866+J867</f>
        <v>60</v>
      </c>
      <c r="K864" s="359">
        <f t="shared" si="113"/>
        <v>90337</v>
      </c>
      <c r="L864" s="259"/>
      <c r="M864" s="362">
        <f>M872</f>
        <v>10000</v>
      </c>
      <c r="N864" s="45">
        <f t="shared" ref="N864" si="120">N872</f>
        <v>0</v>
      </c>
      <c r="O864" s="359">
        <f t="shared" si="114"/>
        <v>10000</v>
      </c>
      <c r="P864" s="259"/>
      <c r="Q864" s="372">
        <f t="shared" si="117"/>
        <v>100277</v>
      </c>
      <c r="R864" s="105">
        <f t="shared" si="118"/>
        <v>60</v>
      </c>
      <c r="S864" s="105">
        <f t="shared" si="119"/>
        <v>100337</v>
      </c>
    </row>
    <row r="865" spans="2:19" x14ac:dyDescent="0.2">
      <c r="B865" s="88">
        <f t="shared" si="115"/>
        <v>147</v>
      </c>
      <c r="C865" s="10"/>
      <c r="D865" s="10"/>
      <c r="E865" s="10"/>
      <c r="F865" s="29" t="s">
        <v>203</v>
      </c>
      <c r="G865" s="10">
        <v>610</v>
      </c>
      <c r="H865" s="10" t="s">
        <v>143</v>
      </c>
      <c r="I865" s="27">
        <f>51681+3581-1020</f>
        <v>54242</v>
      </c>
      <c r="J865" s="27"/>
      <c r="K865" s="250">
        <f t="shared" si="113"/>
        <v>54242</v>
      </c>
      <c r="L865" s="259"/>
      <c r="M865" s="315"/>
      <c r="N865" s="27"/>
      <c r="O865" s="250">
        <f t="shared" si="114"/>
        <v>0</v>
      </c>
      <c r="P865" s="259"/>
      <c r="Q865" s="309">
        <f t="shared" si="117"/>
        <v>54242</v>
      </c>
      <c r="R865" s="91">
        <f t="shared" si="118"/>
        <v>0</v>
      </c>
      <c r="S865" s="91">
        <f t="shared" si="119"/>
        <v>54242</v>
      </c>
    </row>
    <row r="866" spans="2:19" x14ac:dyDescent="0.2">
      <c r="B866" s="88">
        <f t="shared" si="115"/>
        <v>148</v>
      </c>
      <c r="C866" s="10"/>
      <c r="D866" s="10"/>
      <c r="E866" s="10"/>
      <c r="F866" s="29" t="s">
        <v>203</v>
      </c>
      <c r="G866" s="10">
        <v>620</v>
      </c>
      <c r="H866" s="10" t="s">
        <v>136</v>
      </c>
      <c r="I866" s="27">
        <f>19004+1323-357</f>
        <v>19970</v>
      </c>
      <c r="J866" s="27"/>
      <c r="K866" s="250">
        <f t="shared" si="113"/>
        <v>19970</v>
      </c>
      <c r="L866" s="259"/>
      <c r="M866" s="315"/>
      <c r="N866" s="27"/>
      <c r="O866" s="250">
        <f t="shared" si="114"/>
        <v>0</v>
      </c>
      <c r="P866" s="259"/>
      <c r="Q866" s="309">
        <f t="shared" si="117"/>
        <v>19970</v>
      </c>
      <c r="R866" s="91">
        <f t="shared" si="118"/>
        <v>0</v>
      </c>
      <c r="S866" s="91">
        <f t="shared" si="119"/>
        <v>19970</v>
      </c>
    </row>
    <row r="867" spans="2:19" x14ac:dyDescent="0.2">
      <c r="B867" s="88">
        <f t="shared" si="115"/>
        <v>149</v>
      </c>
      <c r="C867" s="10"/>
      <c r="D867" s="10"/>
      <c r="E867" s="10"/>
      <c r="F867" s="29" t="s">
        <v>203</v>
      </c>
      <c r="G867" s="10">
        <v>630</v>
      </c>
      <c r="H867" s="10" t="s">
        <v>133</v>
      </c>
      <c r="I867" s="27">
        <f>SUM(I868:I871)</f>
        <v>16065</v>
      </c>
      <c r="J867" s="27">
        <f>SUM(J868:J871)</f>
        <v>60</v>
      </c>
      <c r="K867" s="250">
        <f t="shared" si="113"/>
        <v>16125</v>
      </c>
      <c r="L867" s="259"/>
      <c r="M867" s="315"/>
      <c r="N867" s="27"/>
      <c r="O867" s="250">
        <f t="shared" si="114"/>
        <v>0</v>
      </c>
      <c r="P867" s="259"/>
      <c r="Q867" s="309">
        <f t="shared" si="117"/>
        <v>16065</v>
      </c>
      <c r="R867" s="91">
        <f t="shared" si="118"/>
        <v>60</v>
      </c>
      <c r="S867" s="91">
        <f t="shared" si="119"/>
        <v>16125</v>
      </c>
    </row>
    <row r="868" spans="2:19" x14ac:dyDescent="0.2">
      <c r="B868" s="88">
        <f t="shared" si="115"/>
        <v>150</v>
      </c>
      <c r="C868" s="4"/>
      <c r="D868" s="4"/>
      <c r="E868" s="4"/>
      <c r="F868" s="30" t="s">
        <v>203</v>
      </c>
      <c r="G868" s="4">
        <v>632</v>
      </c>
      <c r="H868" s="4" t="s">
        <v>146</v>
      </c>
      <c r="I868" s="23">
        <v>7540</v>
      </c>
      <c r="J868" s="23"/>
      <c r="K868" s="220">
        <f t="shared" si="113"/>
        <v>7540</v>
      </c>
      <c r="L868" s="259"/>
      <c r="M868" s="227"/>
      <c r="N868" s="23"/>
      <c r="O868" s="220">
        <f t="shared" si="114"/>
        <v>0</v>
      </c>
      <c r="P868" s="259"/>
      <c r="Q868" s="308">
        <f t="shared" si="117"/>
        <v>7540</v>
      </c>
      <c r="R868" s="92">
        <f t="shared" si="118"/>
        <v>0</v>
      </c>
      <c r="S868" s="92">
        <f t="shared" si="119"/>
        <v>7540</v>
      </c>
    </row>
    <row r="869" spans="2:19" x14ac:dyDescent="0.2">
      <c r="B869" s="88">
        <f t="shared" si="115"/>
        <v>151</v>
      </c>
      <c r="C869" s="4"/>
      <c r="D869" s="4"/>
      <c r="E869" s="4"/>
      <c r="F869" s="30" t="s">
        <v>203</v>
      </c>
      <c r="G869" s="4">
        <v>633</v>
      </c>
      <c r="H869" s="4" t="s">
        <v>137</v>
      </c>
      <c r="I869" s="23">
        <f>5108+1377</f>
        <v>6485</v>
      </c>
      <c r="J869" s="23"/>
      <c r="K869" s="220">
        <f t="shared" si="113"/>
        <v>6485</v>
      </c>
      <c r="L869" s="259"/>
      <c r="M869" s="227"/>
      <c r="N869" s="23"/>
      <c r="O869" s="220">
        <f t="shared" si="114"/>
        <v>0</v>
      </c>
      <c r="P869" s="259"/>
      <c r="Q869" s="308">
        <f t="shared" si="117"/>
        <v>6485</v>
      </c>
      <c r="R869" s="92">
        <f t="shared" si="118"/>
        <v>0</v>
      </c>
      <c r="S869" s="92">
        <f t="shared" si="119"/>
        <v>6485</v>
      </c>
    </row>
    <row r="870" spans="2:19" x14ac:dyDescent="0.2">
      <c r="B870" s="88">
        <f t="shared" si="115"/>
        <v>152</v>
      </c>
      <c r="C870" s="4"/>
      <c r="D870" s="4"/>
      <c r="E870" s="4"/>
      <c r="F870" s="30" t="s">
        <v>203</v>
      </c>
      <c r="G870" s="4">
        <v>635</v>
      </c>
      <c r="H870" s="4" t="s">
        <v>145</v>
      </c>
      <c r="I870" s="23">
        <v>200</v>
      </c>
      <c r="J870" s="23"/>
      <c r="K870" s="220">
        <f t="shared" si="113"/>
        <v>200</v>
      </c>
      <c r="L870" s="259"/>
      <c r="M870" s="227"/>
      <c r="N870" s="23"/>
      <c r="O870" s="220">
        <f t="shared" si="114"/>
        <v>0</v>
      </c>
      <c r="P870" s="259"/>
      <c r="Q870" s="308">
        <f t="shared" si="117"/>
        <v>200</v>
      </c>
      <c r="R870" s="92">
        <f t="shared" si="118"/>
        <v>0</v>
      </c>
      <c r="S870" s="92">
        <f t="shared" si="119"/>
        <v>200</v>
      </c>
    </row>
    <row r="871" spans="2:19" x14ac:dyDescent="0.2">
      <c r="B871" s="88">
        <f t="shared" si="115"/>
        <v>153</v>
      </c>
      <c r="C871" s="4"/>
      <c r="D871" s="4"/>
      <c r="E871" s="4"/>
      <c r="F871" s="30" t="s">
        <v>203</v>
      </c>
      <c r="G871" s="4">
        <v>637</v>
      </c>
      <c r="H871" s="4" t="s">
        <v>134</v>
      </c>
      <c r="I871" s="23">
        <v>1840</v>
      </c>
      <c r="J871" s="23">
        <v>60</v>
      </c>
      <c r="K871" s="220">
        <f t="shared" si="113"/>
        <v>1900</v>
      </c>
      <c r="L871" s="259"/>
      <c r="M871" s="227"/>
      <c r="N871" s="23"/>
      <c r="O871" s="220">
        <f t="shared" si="114"/>
        <v>0</v>
      </c>
      <c r="P871" s="259"/>
      <c r="Q871" s="308">
        <f t="shared" si="117"/>
        <v>1840</v>
      </c>
      <c r="R871" s="92">
        <f t="shared" si="118"/>
        <v>60</v>
      </c>
      <c r="S871" s="92">
        <f t="shared" si="119"/>
        <v>1900</v>
      </c>
    </row>
    <row r="872" spans="2:19" x14ac:dyDescent="0.2">
      <c r="B872" s="88">
        <f t="shared" si="115"/>
        <v>154</v>
      </c>
      <c r="C872" s="4"/>
      <c r="D872" s="4"/>
      <c r="E872" s="4"/>
      <c r="F872" s="29" t="s">
        <v>203</v>
      </c>
      <c r="G872" s="10">
        <v>710</v>
      </c>
      <c r="H872" s="10" t="s">
        <v>188</v>
      </c>
      <c r="I872" s="27"/>
      <c r="J872" s="27"/>
      <c r="K872" s="250">
        <f t="shared" si="113"/>
        <v>0</v>
      </c>
      <c r="L872" s="259"/>
      <c r="M872" s="315">
        <f>M873</f>
        <v>10000</v>
      </c>
      <c r="N872" s="27">
        <f t="shared" ref="N872:N873" si="121">N873</f>
        <v>0</v>
      </c>
      <c r="O872" s="250">
        <f t="shared" si="114"/>
        <v>10000</v>
      </c>
      <c r="P872" s="259"/>
      <c r="Q872" s="309">
        <f t="shared" si="117"/>
        <v>10000</v>
      </c>
      <c r="R872" s="91">
        <f t="shared" si="118"/>
        <v>0</v>
      </c>
      <c r="S872" s="91">
        <f t="shared" si="119"/>
        <v>10000</v>
      </c>
    </row>
    <row r="873" spans="2:19" x14ac:dyDescent="0.2">
      <c r="B873" s="88">
        <f t="shared" si="115"/>
        <v>155</v>
      </c>
      <c r="C873" s="4"/>
      <c r="D873" s="4"/>
      <c r="E873" s="4"/>
      <c r="F873" s="30" t="s">
        <v>203</v>
      </c>
      <c r="G873" s="4">
        <v>717</v>
      </c>
      <c r="H873" s="4" t="s">
        <v>198</v>
      </c>
      <c r="I873" s="23"/>
      <c r="J873" s="23"/>
      <c r="K873" s="220">
        <f t="shared" si="113"/>
        <v>0</v>
      </c>
      <c r="L873" s="259"/>
      <c r="M873" s="227">
        <f>M874</f>
        <v>10000</v>
      </c>
      <c r="N873" s="23">
        <f t="shared" si="121"/>
        <v>0</v>
      </c>
      <c r="O873" s="220">
        <f t="shared" si="114"/>
        <v>10000</v>
      </c>
      <c r="P873" s="259"/>
      <c r="Q873" s="370">
        <f t="shared" si="117"/>
        <v>10000</v>
      </c>
      <c r="R873" s="116">
        <f t="shared" si="118"/>
        <v>0</v>
      </c>
      <c r="S873" s="116">
        <f t="shared" si="119"/>
        <v>10000</v>
      </c>
    </row>
    <row r="874" spans="2:19" x14ac:dyDescent="0.2">
      <c r="B874" s="88">
        <f t="shared" si="115"/>
        <v>156</v>
      </c>
      <c r="C874" s="4"/>
      <c r="D874" s="4"/>
      <c r="E874" s="4"/>
      <c r="F874" s="35"/>
      <c r="G874" s="5"/>
      <c r="H874" s="51" t="s">
        <v>621</v>
      </c>
      <c r="I874" s="25"/>
      <c r="J874" s="25"/>
      <c r="K874" s="251">
        <f t="shared" si="113"/>
        <v>0</v>
      </c>
      <c r="L874" s="259"/>
      <c r="M874" s="337">
        <v>10000</v>
      </c>
      <c r="N874" s="25"/>
      <c r="O874" s="251">
        <f t="shared" si="114"/>
        <v>10000</v>
      </c>
      <c r="P874" s="259"/>
      <c r="Q874" s="371">
        <f t="shared" si="117"/>
        <v>10000</v>
      </c>
      <c r="R874" s="117">
        <f t="shared" si="118"/>
        <v>0</v>
      </c>
      <c r="S874" s="117">
        <f t="shared" si="119"/>
        <v>10000</v>
      </c>
    </row>
    <row r="875" spans="2:19" x14ac:dyDescent="0.2">
      <c r="B875" s="88">
        <f t="shared" si="115"/>
        <v>157</v>
      </c>
      <c r="C875" s="9"/>
      <c r="D875" s="9"/>
      <c r="E875" s="9" t="s">
        <v>94</v>
      </c>
      <c r="F875" s="33"/>
      <c r="G875" s="9"/>
      <c r="H875" s="9" t="s">
        <v>212</v>
      </c>
      <c r="I875" s="45">
        <f>I876+I877+I878</f>
        <v>119073</v>
      </c>
      <c r="J875" s="45">
        <f>J876+J877+J878</f>
        <v>0</v>
      </c>
      <c r="K875" s="359">
        <f t="shared" si="113"/>
        <v>119073</v>
      </c>
      <c r="L875" s="259"/>
      <c r="M875" s="362">
        <v>0</v>
      </c>
      <c r="N875" s="45">
        <v>0</v>
      </c>
      <c r="O875" s="359">
        <f t="shared" si="114"/>
        <v>0</v>
      </c>
      <c r="P875" s="259"/>
      <c r="Q875" s="372">
        <f t="shared" si="117"/>
        <v>119073</v>
      </c>
      <c r="R875" s="105">
        <f t="shared" si="118"/>
        <v>0</v>
      </c>
      <c r="S875" s="105">
        <f t="shared" si="119"/>
        <v>119073</v>
      </c>
    </row>
    <row r="876" spans="2:19" x14ac:dyDescent="0.2">
      <c r="B876" s="88">
        <f t="shared" si="115"/>
        <v>158</v>
      </c>
      <c r="C876" s="10"/>
      <c r="D876" s="10"/>
      <c r="E876" s="10"/>
      <c r="F876" s="29" t="s">
        <v>203</v>
      </c>
      <c r="G876" s="10">
        <v>610</v>
      </c>
      <c r="H876" s="10" t="s">
        <v>143</v>
      </c>
      <c r="I876" s="27">
        <f>67905+4233-1166</f>
        <v>70972</v>
      </c>
      <c r="J876" s="27"/>
      <c r="K876" s="250">
        <f t="shared" si="113"/>
        <v>70972</v>
      </c>
      <c r="L876" s="259"/>
      <c r="M876" s="315"/>
      <c r="N876" s="27"/>
      <c r="O876" s="250">
        <f t="shared" si="114"/>
        <v>0</v>
      </c>
      <c r="P876" s="259"/>
      <c r="Q876" s="309">
        <f t="shared" si="117"/>
        <v>70972</v>
      </c>
      <c r="R876" s="91">
        <f t="shared" si="118"/>
        <v>0</v>
      </c>
      <c r="S876" s="91">
        <f t="shared" si="119"/>
        <v>70972</v>
      </c>
    </row>
    <row r="877" spans="2:19" x14ac:dyDescent="0.2">
      <c r="B877" s="88">
        <f t="shared" si="115"/>
        <v>159</v>
      </c>
      <c r="C877" s="10"/>
      <c r="D877" s="10"/>
      <c r="E877" s="10"/>
      <c r="F877" s="29" t="s">
        <v>203</v>
      </c>
      <c r="G877" s="10">
        <v>620</v>
      </c>
      <c r="H877" s="10" t="s">
        <v>136</v>
      </c>
      <c r="I877" s="27">
        <f>24996+1564-408</f>
        <v>26152</v>
      </c>
      <c r="J877" s="27"/>
      <c r="K877" s="250">
        <f t="shared" si="113"/>
        <v>26152</v>
      </c>
      <c r="L877" s="259"/>
      <c r="M877" s="315"/>
      <c r="N877" s="27"/>
      <c r="O877" s="250">
        <f t="shared" si="114"/>
        <v>0</v>
      </c>
      <c r="P877" s="259"/>
      <c r="Q877" s="309">
        <f t="shared" si="117"/>
        <v>26152</v>
      </c>
      <c r="R877" s="91">
        <f t="shared" si="118"/>
        <v>0</v>
      </c>
      <c r="S877" s="91">
        <f t="shared" si="119"/>
        <v>26152</v>
      </c>
    </row>
    <row r="878" spans="2:19" x14ac:dyDescent="0.2">
      <c r="B878" s="88">
        <f t="shared" si="115"/>
        <v>160</v>
      </c>
      <c r="C878" s="10"/>
      <c r="D878" s="10"/>
      <c r="E878" s="10"/>
      <c r="F878" s="29" t="s">
        <v>203</v>
      </c>
      <c r="G878" s="10">
        <v>630</v>
      </c>
      <c r="H878" s="10" t="s">
        <v>133</v>
      </c>
      <c r="I878" s="27">
        <f>SUM(I879:I882)</f>
        <v>21949</v>
      </c>
      <c r="J878" s="27">
        <f>SUM(J879:J882)</f>
        <v>0</v>
      </c>
      <c r="K878" s="250">
        <f t="shared" si="113"/>
        <v>21949</v>
      </c>
      <c r="L878" s="259"/>
      <c r="M878" s="315"/>
      <c r="N878" s="27"/>
      <c r="O878" s="250">
        <f t="shared" si="114"/>
        <v>0</v>
      </c>
      <c r="P878" s="259"/>
      <c r="Q878" s="309">
        <f t="shared" si="117"/>
        <v>21949</v>
      </c>
      <c r="R878" s="91">
        <f t="shared" si="118"/>
        <v>0</v>
      </c>
      <c r="S878" s="91">
        <f t="shared" si="119"/>
        <v>21949</v>
      </c>
    </row>
    <row r="879" spans="2:19" x14ac:dyDescent="0.2">
      <c r="B879" s="88">
        <f t="shared" si="115"/>
        <v>161</v>
      </c>
      <c r="C879" s="4"/>
      <c r="D879" s="4"/>
      <c r="E879" s="4"/>
      <c r="F879" s="30" t="s">
        <v>203</v>
      </c>
      <c r="G879" s="4">
        <v>632</v>
      </c>
      <c r="H879" s="4" t="s">
        <v>146</v>
      </c>
      <c r="I879" s="23">
        <v>9020</v>
      </c>
      <c r="J879" s="23"/>
      <c r="K879" s="220">
        <f t="shared" si="113"/>
        <v>9020</v>
      </c>
      <c r="L879" s="259"/>
      <c r="M879" s="227"/>
      <c r="N879" s="23"/>
      <c r="O879" s="220">
        <f t="shared" si="114"/>
        <v>0</v>
      </c>
      <c r="P879" s="259"/>
      <c r="Q879" s="308">
        <f t="shared" si="117"/>
        <v>9020</v>
      </c>
      <c r="R879" s="92">
        <f t="shared" si="118"/>
        <v>0</v>
      </c>
      <c r="S879" s="92">
        <f t="shared" si="119"/>
        <v>9020</v>
      </c>
    </row>
    <row r="880" spans="2:19" x14ac:dyDescent="0.2">
      <c r="B880" s="88">
        <f t="shared" si="115"/>
        <v>162</v>
      </c>
      <c r="C880" s="4"/>
      <c r="D880" s="4"/>
      <c r="E880" s="4"/>
      <c r="F880" s="30" t="s">
        <v>203</v>
      </c>
      <c r="G880" s="4">
        <v>633</v>
      </c>
      <c r="H880" s="4" t="s">
        <v>137</v>
      </c>
      <c r="I880" s="23">
        <f>6039+590</f>
        <v>6629</v>
      </c>
      <c r="J880" s="23"/>
      <c r="K880" s="220">
        <f t="shared" si="113"/>
        <v>6629</v>
      </c>
      <c r="L880" s="259"/>
      <c r="M880" s="227"/>
      <c r="N880" s="23"/>
      <c r="O880" s="220">
        <f t="shared" si="114"/>
        <v>0</v>
      </c>
      <c r="P880" s="259"/>
      <c r="Q880" s="308">
        <f t="shared" si="117"/>
        <v>6629</v>
      </c>
      <c r="R880" s="92">
        <f t="shared" si="118"/>
        <v>0</v>
      </c>
      <c r="S880" s="92">
        <f t="shared" si="119"/>
        <v>6629</v>
      </c>
    </row>
    <row r="881" spans="2:19" x14ac:dyDescent="0.2">
      <c r="B881" s="88">
        <f t="shared" si="115"/>
        <v>163</v>
      </c>
      <c r="C881" s="4"/>
      <c r="D881" s="4"/>
      <c r="E881" s="4"/>
      <c r="F881" s="30" t="s">
        <v>203</v>
      </c>
      <c r="G881" s="4">
        <v>635</v>
      </c>
      <c r="H881" s="4" t="s">
        <v>145</v>
      </c>
      <c r="I881" s="23">
        <v>4000</v>
      </c>
      <c r="J881" s="23"/>
      <c r="K881" s="220">
        <f t="shared" si="113"/>
        <v>4000</v>
      </c>
      <c r="L881" s="259"/>
      <c r="M881" s="227"/>
      <c r="N881" s="23"/>
      <c r="O881" s="220">
        <f t="shared" si="114"/>
        <v>0</v>
      </c>
      <c r="P881" s="259"/>
      <c r="Q881" s="308">
        <f t="shared" si="117"/>
        <v>4000</v>
      </c>
      <c r="R881" s="92">
        <f t="shared" si="118"/>
        <v>0</v>
      </c>
      <c r="S881" s="92">
        <f t="shared" si="119"/>
        <v>4000</v>
      </c>
    </row>
    <row r="882" spans="2:19" x14ac:dyDescent="0.2">
      <c r="B882" s="88">
        <f t="shared" si="115"/>
        <v>164</v>
      </c>
      <c r="C882" s="4"/>
      <c r="D882" s="4"/>
      <c r="E882" s="4"/>
      <c r="F882" s="30" t="s">
        <v>203</v>
      </c>
      <c r="G882" s="4">
        <v>637</v>
      </c>
      <c r="H882" s="4" t="s">
        <v>134</v>
      </c>
      <c r="I882" s="23">
        <v>2300</v>
      </c>
      <c r="J882" s="23"/>
      <c r="K882" s="220">
        <f t="shared" si="113"/>
        <v>2300</v>
      </c>
      <c r="L882" s="259"/>
      <c r="M882" s="227"/>
      <c r="N882" s="23"/>
      <c r="O882" s="220">
        <f t="shared" si="114"/>
        <v>0</v>
      </c>
      <c r="P882" s="259"/>
      <c r="Q882" s="308">
        <f t="shared" si="117"/>
        <v>2300</v>
      </c>
      <c r="R882" s="92">
        <f t="shared" si="118"/>
        <v>0</v>
      </c>
      <c r="S882" s="92">
        <f t="shared" si="119"/>
        <v>2300</v>
      </c>
    </row>
    <row r="883" spans="2:19" x14ac:dyDescent="0.2">
      <c r="B883" s="88">
        <f t="shared" si="115"/>
        <v>165</v>
      </c>
      <c r="C883" s="9"/>
      <c r="D883" s="9"/>
      <c r="E883" s="9" t="s">
        <v>113</v>
      </c>
      <c r="F883" s="33"/>
      <c r="G883" s="9"/>
      <c r="H883" s="9" t="s">
        <v>75</v>
      </c>
      <c r="I883" s="45">
        <f>I884+I885+I886+I892</f>
        <v>105474</v>
      </c>
      <c r="J883" s="45">
        <f>J884+J885+J886+J892</f>
        <v>740</v>
      </c>
      <c r="K883" s="359">
        <f t="shared" si="113"/>
        <v>106214</v>
      </c>
      <c r="L883" s="259"/>
      <c r="M883" s="362">
        <f>M893</f>
        <v>10000</v>
      </c>
      <c r="N883" s="45">
        <f t="shared" ref="N883" si="122">N893</f>
        <v>0</v>
      </c>
      <c r="O883" s="359">
        <f t="shared" si="114"/>
        <v>10000</v>
      </c>
      <c r="P883" s="259"/>
      <c r="Q883" s="372">
        <f t="shared" si="117"/>
        <v>115474</v>
      </c>
      <c r="R883" s="105">
        <f t="shared" si="118"/>
        <v>740</v>
      </c>
      <c r="S883" s="105">
        <f t="shared" si="119"/>
        <v>116214</v>
      </c>
    </row>
    <row r="884" spans="2:19" x14ac:dyDescent="0.2">
      <c r="B884" s="88">
        <f t="shared" si="115"/>
        <v>166</v>
      </c>
      <c r="C884" s="10"/>
      <c r="D884" s="10"/>
      <c r="E884" s="10"/>
      <c r="F884" s="29" t="s">
        <v>203</v>
      </c>
      <c r="G884" s="10">
        <v>610</v>
      </c>
      <c r="H884" s="10" t="s">
        <v>143</v>
      </c>
      <c r="I884" s="27">
        <f>59661+4507-656</f>
        <v>63512</v>
      </c>
      <c r="J884" s="27"/>
      <c r="K884" s="250">
        <f t="shared" si="113"/>
        <v>63512</v>
      </c>
      <c r="L884" s="259"/>
      <c r="M884" s="315"/>
      <c r="N884" s="27"/>
      <c r="O884" s="250">
        <f t="shared" si="114"/>
        <v>0</v>
      </c>
      <c r="P884" s="259"/>
      <c r="Q884" s="309">
        <f t="shared" si="117"/>
        <v>63512</v>
      </c>
      <c r="R884" s="91">
        <f t="shared" si="118"/>
        <v>0</v>
      </c>
      <c r="S884" s="91">
        <f t="shared" si="119"/>
        <v>63512</v>
      </c>
    </row>
    <row r="885" spans="2:19" x14ac:dyDescent="0.2">
      <c r="B885" s="88">
        <f t="shared" si="115"/>
        <v>167</v>
      </c>
      <c r="C885" s="10"/>
      <c r="D885" s="10"/>
      <c r="E885" s="10"/>
      <c r="F885" s="29" t="s">
        <v>203</v>
      </c>
      <c r="G885" s="10">
        <v>620</v>
      </c>
      <c r="H885" s="10" t="s">
        <v>136</v>
      </c>
      <c r="I885" s="27">
        <f>21960+1665-229</f>
        <v>23396</v>
      </c>
      <c r="J885" s="27"/>
      <c r="K885" s="250">
        <f t="shared" si="113"/>
        <v>23396</v>
      </c>
      <c r="L885" s="259"/>
      <c r="M885" s="315"/>
      <c r="N885" s="27"/>
      <c r="O885" s="250">
        <f t="shared" si="114"/>
        <v>0</v>
      </c>
      <c r="P885" s="259"/>
      <c r="Q885" s="309">
        <f t="shared" si="117"/>
        <v>23396</v>
      </c>
      <c r="R885" s="91">
        <f t="shared" si="118"/>
        <v>0</v>
      </c>
      <c r="S885" s="91">
        <f t="shared" si="119"/>
        <v>23396</v>
      </c>
    </row>
    <row r="886" spans="2:19" x14ac:dyDescent="0.2">
      <c r="B886" s="88">
        <f t="shared" si="115"/>
        <v>168</v>
      </c>
      <c r="C886" s="10"/>
      <c r="D886" s="10"/>
      <c r="E886" s="10"/>
      <c r="F886" s="29" t="s">
        <v>203</v>
      </c>
      <c r="G886" s="10">
        <v>630</v>
      </c>
      <c r="H886" s="10" t="s">
        <v>133</v>
      </c>
      <c r="I886" s="27">
        <f>SUM(I887:I891)</f>
        <v>16624</v>
      </c>
      <c r="J886" s="27">
        <f>SUM(J887:J891)</f>
        <v>740</v>
      </c>
      <c r="K886" s="250">
        <f t="shared" si="113"/>
        <v>17364</v>
      </c>
      <c r="L886" s="259"/>
      <c r="M886" s="315"/>
      <c r="N886" s="27"/>
      <c r="O886" s="250">
        <f t="shared" si="114"/>
        <v>0</v>
      </c>
      <c r="P886" s="259"/>
      <c r="Q886" s="309">
        <f t="shared" si="117"/>
        <v>16624</v>
      </c>
      <c r="R886" s="91">
        <f t="shared" si="118"/>
        <v>740</v>
      </c>
      <c r="S886" s="91">
        <f t="shared" si="119"/>
        <v>17364</v>
      </c>
    </row>
    <row r="887" spans="2:19" x14ac:dyDescent="0.2">
      <c r="B887" s="88">
        <f t="shared" si="115"/>
        <v>169</v>
      </c>
      <c r="C887" s="4"/>
      <c r="D887" s="4"/>
      <c r="E887" s="4"/>
      <c r="F887" s="30" t="s">
        <v>203</v>
      </c>
      <c r="G887" s="4">
        <v>632</v>
      </c>
      <c r="H887" s="4" t="s">
        <v>146</v>
      </c>
      <c r="I887" s="23">
        <v>485</v>
      </c>
      <c r="J887" s="23"/>
      <c r="K887" s="220">
        <f t="shared" si="113"/>
        <v>485</v>
      </c>
      <c r="L887" s="259"/>
      <c r="M887" s="227"/>
      <c r="N887" s="23"/>
      <c r="O887" s="220">
        <f t="shared" si="114"/>
        <v>0</v>
      </c>
      <c r="P887" s="259"/>
      <c r="Q887" s="308">
        <f t="shared" si="117"/>
        <v>485</v>
      </c>
      <c r="R887" s="92">
        <f t="shared" si="118"/>
        <v>0</v>
      </c>
      <c r="S887" s="92">
        <f t="shared" si="119"/>
        <v>485</v>
      </c>
    </row>
    <row r="888" spans="2:19" x14ac:dyDescent="0.2">
      <c r="B888" s="88">
        <f t="shared" si="115"/>
        <v>170</v>
      </c>
      <c r="C888" s="4"/>
      <c r="D888" s="4"/>
      <c r="E888" s="4"/>
      <c r="F888" s="30" t="s">
        <v>203</v>
      </c>
      <c r="G888" s="4">
        <v>633</v>
      </c>
      <c r="H888" s="4" t="s">
        <v>137</v>
      </c>
      <c r="I888" s="23">
        <f>2634+885</f>
        <v>3519</v>
      </c>
      <c r="J888" s="23">
        <v>700</v>
      </c>
      <c r="K888" s="220">
        <f t="shared" si="113"/>
        <v>4219</v>
      </c>
      <c r="L888" s="259"/>
      <c r="M888" s="227"/>
      <c r="N888" s="23"/>
      <c r="O888" s="220">
        <f t="shared" si="114"/>
        <v>0</v>
      </c>
      <c r="P888" s="259"/>
      <c r="Q888" s="308">
        <f t="shared" si="117"/>
        <v>3519</v>
      </c>
      <c r="R888" s="92">
        <f t="shared" si="118"/>
        <v>700</v>
      </c>
      <c r="S888" s="92">
        <f t="shared" si="119"/>
        <v>4219</v>
      </c>
    </row>
    <row r="889" spans="2:19" x14ac:dyDescent="0.2">
      <c r="B889" s="88">
        <f t="shared" si="115"/>
        <v>171</v>
      </c>
      <c r="C889" s="4"/>
      <c r="D889" s="4"/>
      <c r="E889" s="4"/>
      <c r="F889" s="30" t="s">
        <v>203</v>
      </c>
      <c r="G889" s="4">
        <v>635</v>
      </c>
      <c r="H889" s="4" t="s">
        <v>145</v>
      </c>
      <c r="I889" s="23">
        <v>1200</v>
      </c>
      <c r="J889" s="23"/>
      <c r="K889" s="220">
        <f t="shared" si="113"/>
        <v>1200</v>
      </c>
      <c r="L889" s="259"/>
      <c r="M889" s="227"/>
      <c r="N889" s="23"/>
      <c r="O889" s="220">
        <f t="shared" si="114"/>
        <v>0</v>
      </c>
      <c r="P889" s="259"/>
      <c r="Q889" s="308">
        <f t="shared" si="117"/>
        <v>1200</v>
      </c>
      <c r="R889" s="92">
        <f t="shared" si="118"/>
        <v>0</v>
      </c>
      <c r="S889" s="92">
        <f t="shared" si="119"/>
        <v>1200</v>
      </c>
    </row>
    <row r="890" spans="2:19" x14ac:dyDescent="0.2">
      <c r="B890" s="88">
        <f t="shared" si="115"/>
        <v>172</v>
      </c>
      <c r="C890" s="4"/>
      <c r="D890" s="4"/>
      <c r="E890" s="4"/>
      <c r="F890" s="30" t="s">
        <v>203</v>
      </c>
      <c r="G890" s="4">
        <v>636</v>
      </c>
      <c r="H890" s="4" t="s">
        <v>138</v>
      </c>
      <c r="I890" s="23">
        <v>10000</v>
      </c>
      <c r="J890" s="23"/>
      <c r="K890" s="220">
        <f t="shared" si="113"/>
        <v>10000</v>
      </c>
      <c r="L890" s="259"/>
      <c r="M890" s="227"/>
      <c r="N890" s="23"/>
      <c r="O890" s="220">
        <f t="shared" si="114"/>
        <v>0</v>
      </c>
      <c r="P890" s="259"/>
      <c r="Q890" s="308">
        <f t="shared" si="117"/>
        <v>10000</v>
      </c>
      <c r="R890" s="92">
        <f t="shared" si="118"/>
        <v>0</v>
      </c>
      <c r="S890" s="92">
        <f t="shared" si="119"/>
        <v>10000</v>
      </c>
    </row>
    <row r="891" spans="2:19" x14ac:dyDescent="0.2">
      <c r="B891" s="88">
        <f t="shared" si="115"/>
        <v>173</v>
      </c>
      <c r="C891" s="4"/>
      <c r="D891" s="4"/>
      <c r="E891" s="4"/>
      <c r="F891" s="30" t="s">
        <v>203</v>
      </c>
      <c r="G891" s="4">
        <v>637</v>
      </c>
      <c r="H891" s="4" t="s">
        <v>134</v>
      </c>
      <c r="I891" s="23">
        <v>1420</v>
      </c>
      <c r="J891" s="23">
        <v>40</v>
      </c>
      <c r="K891" s="220">
        <f t="shared" si="113"/>
        <v>1460</v>
      </c>
      <c r="L891" s="259"/>
      <c r="M891" s="227"/>
      <c r="N891" s="23"/>
      <c r="O891" s="220">
        <f t="shared" si="114"/>
        <v>0</v>
      </c>
      <c r="P891" s="259"/>
      <c r="Q891" s="308">
        <f t="shared" si="117"/>
        <v>1420</v>
      </c>
      <c r="R891" s="92">
        <f t="shared" si="118"/>
        <v>40</v>
      </c>
      <c r="S891" s="92">
        <f t="shared" si="119"/>
        <v>1460</v>
      </c>
    </row>
    <row r="892" spans="2:19" x14ac:dyDescent="0.2">
      <c r="B892" s="88">
        <f t="shared" si="115"/>
        <v>174</v>
      </c>
      <c r="C892" s="10"/>
      <c r="D892" s="10"/>
      <c r="E892" s="10"/>
      <c r="F892" s="29" t="s">
        <v>203</v>
      </c>
      <c r="G892" s="10">
        <v>640</v>
      </c>
      <c r="H892" s="10" t="s">
        <v>141</v>
      </c>
      <c r="I892" s="27">
        <v>1942</v>
      </c>
      <c r="J892" s="27"/>
      <c r="K892" s="250">
        <f t="shared" si="113"/>
        <v>1942</v>
      </c>
      <c r="L892" s="259"/>
      <c r="M892" s="315"/>
      <c r="N892" s="27"/>
      <c r="O892" s="250">
        <f t="shared" si="114"/>
        <v>0</v>
      </c>
      <c r="P892" s="259"/>
      <c r="Q892" s="309">
        <f t="shared" si="117"/>
        <v>1942</v>
      </c>
      <c r="R892" s="91">
        <f t="shared" si="118"/>
        <v>0</v>
      </c>
      <c r="S892" s="91">
        <f t="shared" si="119"/>
        <v>1942</v>
      </c>
    </row>
    <row r="893" spans="2:19" x14ac:dyDescent="0.2">
      <c r="B893" s="88">
        <f t="shared" si="115"/>
        <v>175</v>
      </c>
      <c r="C893" s="10"/>
      <c r="D893" s="10"/>
      <c r="E893" s="10"/>
      <c r="F893" s="30" t="s">
        <v>203</v>
      </c>
      <c r="G893" s="4">
        <v>717</v>
      </c>
      <c r="H893" s="4" t="s">
        <v>198</v>
      </c>
      <c r="I893" s="23"/>
      <c r="J893" s="23"/>
      <c r="K893" s="220">
        <f t="shared" si="113"/>
        <v>0</v>
      </c>
      <c r="L893" s="259"/>
      <c r="M893" s="227">
        <f>M894</f>
        <v>10000</v>
      </c>
      <c r="N893" s="23">
        <f t="shared" ref="N893" si="123">N894</f>
        <v>0</v>
      </c>
      <c r="O893" s="220">
        <f t="shared" si="114"/>
        <v>10000</v>
      </c>
      <c r="P893" s="259"/>
      <c r="Q893" s="370">
        <f t="shared" si="117"/>
        <v>10000</v>
      </c>
      <c r="R893" s="116">
        <f t="shared" si="118"/>
        <v>0</v>
      </c>
      <c r="S893" s="116">
        <f t="shared" si="119"/>
        <v>10000</v>
      </c>
    </row>
    <row r="894" spans="2:19" x14ac:dyDescent="0.2">
      <c r="B894" s="88">
        <f t="shared" si="115"/>
        <v>176</v>
      </c>
      <c r="C894" s="10"/>
      <c r="D894" s="10"/>
      <c r="E894" s="10"/>
      <c r="F894" s="35"/>
      <c r="G894" s="5"/>
      <c r="H894" s="51" t="s">
        <v>624</v>
      </c>
      <c r="I894" s="25"/>
      <c r="J894" s="25"/>
      <c r="K894" s="251">
        <f t="shared" si="113"/>
        <v>0</v>
      </c>
      <c r="L894" s="259"/>
      <c r="M894" s="337">
        <v>10000</v>
      </c>
      <c r="N894" s="25"/>
      <c r="O894" s="251">
        <f t="shared" si="114"/>
        <v>10000</v>
      </c>
      <c r="P894" s="259"/>
      <c r="Q894" s="371">
        <f t="shared" si="117"/>
        <v>10000</v>
      </c>
      <c r="R894" s="117">
        <f t="shared" si="118"/>
        <v>0</v>
      </c>
      <c r="S894" s="117">
        <f t="shared" si="119"/>
        <v>10000</v>
      </c>
    </row>
    <row r="895" spans="2:19" x14ac:dyDescent="0.2">
      <c r="B895" s="88">
        <f t="shared" si="115"/>
        <v>177</v>
      </c>
      <c r="C895" s="9"/>
      <c r="D895" s="9"/>
      <c r="E895" s="9" t="s">
        <v>114</v>
      </c>
      <c r="F895" s="33"/>
      <c r="G895" s="9"/>
      <c r="H895" s="9" t="s">
        <v>115</v>
      </c>
      <c r="I895" s="45">
        <f>I896+I897+I898+I904</f>
        <v>324626</v>
      </c>
      <c r="J895" s="45">
        <f>J896+J897+J898+J904</f>
        <v>235</v>
      </c>
      <c r="K895" s="359">
        <f t="shared" si="113"/>
        <v>324861</v>
      </c>
      <c r="L895" s="259"/>
      <c r="M895" s="362">
        <v>0</v>
      </c>
      <c r="N895" s="45">
        <v>0</v>
      </c>
      <c r="O895" s="359">
        <f t="shared" si="114"/>
        <v>0</v>
      </c>
      <c r="P895" s="259"/>
      <c r="Q895" s="372">
        <f t="shared" si="117"/>
        <v>324626</v>
      </c>
      <c r="R895" s="105">
        <f t="shared" si="118"/>
        <v>235</v>
      </c>
      <c r="S895" s="105">
        <f t="shared" si="119"/>
        <v>324861</v>
      </c>
    </row>
    <row r="896" spans="2:19" x14ac:dyDescent="0.2">
      <c r="B896" s="88">
        <f t="shared" si="115"/>
        <v>178</v>
      </c>
      <c r="C896" s="10"/>
      <c r="D896" s="10"/>
      <c r="E896" s="10"/>
      <c r="F896" s="29" t="s">
        <v>203</v>
      </c>
      <c r="G896" s="10">
        <v>610</v>
      </c>
      <c r="H896" s="10" t="s">
        <v>143</v>
      </c>
      <c r="I896" s="27">
        <f>177378+11606-4009</f>
        <v>184975</v>
      </c>
      <c r="J896" s="27"/>
      <c r="K896" s="250">
        <f t="shared" si="113"/>
        <v>184975</v>
      </c>
      <c r="L896" s="259"/>
      <c r="M896" s="315"/>
      <c r="N896" s="27"/>
      <c r="O896" s="250">
        <f t="shared" si="114"/>
        <v>0</v>
      </c>
      <c r="P896" s="259"/>
      <c r="Q896" s="309">
        <f t="shared" si="117"/>
        <v>184975</v>
      </c>
      <c r="R896" s="91">
        <f t="shared" si="118"/>
        <v>0</v>
      </c>
      <c r="S896" s="91">
        <f t="shared" si="119"/>
        <v>184975</v>
      </c>
    </row>
    <row r="897" spans="2:19" x14ac:dyDescent="0.2">
      <c r="B897" s="88">
        <f t="shared" si="115"/>
        <v>179</v>
      </c>
      <c r="C897" s="10"/>
      <c r="D897" s="10"/>
      <c r="E897" s="10"/>
      <c r="F897" s="29" t="s">
        <v>203</v>
      </c>
      <c r="G897" s="10">
        <v>620</v>
      </c>
      <c r="H897" s="10" t="s">
        <v>136</v>
      </c>
      <c r="I897" s="27">
        <f>66792+4288-1401</f>
        <v>69679</v>
      </c>
      <c r="J897" s="27"/>
      <c r="K897" s="250">
        <f t="shared" si="113"/>
        <v>69679</v>
      </c>
      <c r="L897" s="259"/>
      <c r="M897" s="315"/>
      <c r="N897" s="27"/>
      <c r="O897" s="250">
        <f t="shared" si="114"/>
        <v>0</v>
      </c>
      <c r="P897" s="259"/>
      <c r="Q897" s="309">
        <f t="shared" si="117"/>
        <v>69679</v>
      </c>
      <c r="R897" s="91">
        <f t="shared" si="118"/>
        <v>0</v>
      </c>
      <c r="S897" s="91">
        <f t="shared" si="119"/>
        <v>69679</v>
      </c>
    </row>
    <row r="898" spans="2:19" x14ac:dyDescent="0.2">
      <c r="B898" s="88">
        <f t="shared" si="115"/>
        <v>180</v>
      </c>
      <c r="C898" s="10"/>
      <c r="D898" s="10"/>
      <c r="E898" s="10"/>
      <c r="F898" s="29" t="s">
        <v>203</v>
      </c>
      <c r="G898" s="10">
        <v>630</v>
      </c>
      <c r="H898" s="10" t="s">
        <v>133</v>
      </c>
      <c r="I898" s="27">
        <f>SUM(I899:I903)</f>
        <v>66176</v>
      </c>
      <c r="J898" s="27">
        <f>SUM(J899:J903)</f>
        <v>235</v>
      </c>
      <c r="K898" s="250">
        <f t="shared" si="113"/>
        <v>66411</v>
      </c>
      <c r="L898" s="259"/>
      <c r="M898" s="315"/>
      <c r="N898" s="27"/>
      <c r="O898" s="250">
        <f t="shared" si="114"/>
        <v>0</v>
      </c>
      <c r="P898" s="259"/>
      <c r="Q898" s="309">
        <f t="shared" si="117"/>
        <v>66176</v>
      </c>
      <c r="R898" s="91">
        <f t="shared" si="118"/>
        <v>235</v>
      </c>
      <c r="S898" s="91">
        <f t="shared" si="119"/>
        <v>66411</v>
      </c>
    </row>
    <row r="899" spans="2:19" x14ac:dyDescent="0.2">
      <c r="B899" s="88">
        <f t="shared" si="115"/>
        <v>181</v>
      </c>
      <c r="C899" s="4"/>
      <c r="D899" s="4"/>
      <c r="E899" s="4"/>
      <c r="F899" s="30" t="s">
        <v>203</v>
      </c>
      <c r="G899" s="4">
        <v>632</v>
      </c>
      <c r="H899" s="4" t="s">
        <v>146</v>
      </c>
      <c r="I899" s="23">
        <v>12500</v>
      </c>
      <c r="J899" s="23"/>
      <c r="K899" s="220">
        <f t="shared" si="113"/>
        <v>12500</v>
      </c>
      <c r="L899" s="259"/>
      <c r="M899" s="227"/>
      <c r="N899" s="23"/>
      <c r="O899" s="220">
        <f t="shared" si="114"/>
        <v>0</v>
      </c>
      <c r="P899" s="259"/>
      <c r="Q899" s="308">
        <f t="shared" si="117"/>
        <v>12500</v>
      </c>
      <c r="R899" s="92">
        <f t="shared" si="118"/>
        <v>0</v>
      </c>
      <c r="S899" s="92">
        <f t="shared" si="119"/>
        <v>12500</v>
      </c>
    </row>
    <row r="900" spans="2:19" x14ac:dyDescent="0.2">
      <c r="B900" s="88">
        <f t="shared" si="115"/>
        <v>182</v>
      </c>
      <c r="C900" s="4"/>
      <c r="D900" s="4"/>
      <c r="E900" s="4"/>
      <c r="F900" s="30" t="s">
        <v>203</v>
      </c>
      <c r="G900" s="4">
        <v>633</v>
      </c>
      <c r="H900" s="4" t="s">
        <v>137</v>
      </c>
      <c r="I900" s="23">
        <f>13086+5245</f>
        <v>18331</v>
      </c>
      <c r="J900" s="23"/>
      <c r="K900" s="220">
        <f t="shared" si="113"/>
        <v>18331</v>
      </c>
      <c r="L900" s="259"/>
      <c r="M900" s="227"/>
      <c r="N900" s="23"/>
      <c r="O900" s="220">
        <f t="shared" si="114"/>
        <v>0</v>
      </c>
      <c r="P900" s="259"/>
      <c r="Q900" s="308">
        <f t="shared" si="117"/>
        <v>18331</v>
      </c>
      <c r="R900" s="92">
        <f t="shared" si="118"/>
        <v>0</v>
      </c>
      <c r="S900" s="92">
        <f t="shared" si="119"/>
        <v>18331</v>
      </c>
    </row>
    <row r="901" spans="2:19" x14ac:dyDescent="0.2">
      <c r="B901" s="88">
        <f t="shared" si="115"/>
        <v>183</v>
      </c>
      <c r="C901" s="4"/>
      <c r="D901" s="4"/>
      <c r="E901" s="4"/>
      <c r="F901" s="30" t="s">
        <v>203</v>
      </c>
      <c r="G901" s="4">
        <v>635</v>
      </c>
      <c r="H901" s="4" t="s">
        <v>145</v>
      </c>
      <c r="I901" s="23">
        <f>4500+20000</f>
        <v>24500</v>
      </c>
      <c r="J901" s="23"/>
      <c r="K901" s="220">
        <f t="shared" si="113"/>
        <v>24500</v>
      </c>
      <c r="L901" s="259"/>
      <c r="M901" s="227"/>
      <c r="N901" s="23"/>
      <c r="O901" s="220">
        <f t="shared" si="114"/>
        <v>0</v>
      </c>
      <c r="P901" s="259"/>
      <c r="Q901" s="308">
        <f t="shared" si="117"/>
        <v>24500</v>
      </c>
      <c r="R901" s="92">
        <f t="shared" si="118"/>
        <v>0</v>
      </c>
      <c r="S901" s="92">
        <f t="shared" si="119"/>
        <v>24500</v>
      </c>
    </row>
    <row r="902" spans="2:19" x14ac:dyDescent="0.2">
      <c r="B902" s="88">
        <f t="shared" si="115"/>
        <v>184</v>
      </c>
      <c r="C902" s="4"/>
      <c r="D902" s="4"/>
      <c r="E902" s="4"/>
      <c r="F902" s="30" t="s">
        <v>203</v>
      </c>
      <c r="G902" s="4">
        <v>636</v>
      </c>
      <c r="H902" s="4" t="s">
        <v>138</v>
      </c>
      <c r="I902" s="23">
        <v>3500</v>
      </c>
      <c r="J902" s="23"/>
      <c r="K902" s="220">
        <f t="shared" si="113"/>
        <v>3500</v>
      </c>
      <c r="L902" s="259"/>
      <c r="M902" s="227"/>
      <c r="N902" s="23"/>
      <c r="O902" s="220">
        <f t="shared" si="114"/>
        <v>0</v>
      </c>
      <c r="P902" s="259"/>
      <c r="Q902" s="308">
        <f t="shared" si="117"/>
        <v>3500</v>
      </c>
      <c r="R902" s="92">
        <f t="shared" si="118"/>
        <v>0</v>
      </c>
      <c r="S902" s="92">
        <f t="shared" si="119"/>
        <v>3500</v>
      </c>
    </row>
    <row r="903" spans="2:19" x14ac:dyDescent="0.2">
      <c r="B903" s="88">
        <f t="shared" si="115"/>
        <v>185</v>
      </c>
      <c r="C903" s="4"/>
      <c r="D903" s="4"/>
      <c r="E903" s="4"/>
      <c r="F903" s="30" t="s">
        <v>203</v>
      </c>
      <c r="G903" s="4">
        <v>637</v>
      </c>
      <c r="H903" s="4" t="s">
        <v>134</v>
      </c>
      <c r="I903" s="23">
        <v>7345</v>
      </c>
      <c r="J903" s="23">
        <v>235</v>
      </c>
      <c r="K903" s="220">
        <f t="shared" si="113"/>
        <v>7580</v>
      </c>
      <c r="L903" s="259"/>
      <c r="M903" s="227"/>
      <c r="N903" s="23"/>
      <c r="O903" s="220">
        <f t="shared" si="114"/>
        <v>0</v>
      </c>
      <c r="P903" s="259"/>
      <c r="Q903" s="308">
        <f t="shared" si="117"/>
        <v>7345</v>
      </c>
      <c r="R903" s="92">
        <f t="shared" si="118"/>
        <v>235</v>
      </c>
      <c r="S903" s="92">
        <f t="shared" si="119"/>
        <v>7580</v>
      </c>
    </row>
    <row r="904" spans="2:19" x14ac:dyDescent="0.2">
      <c r="B904" s="88">
        <f t="shared" si="115"/>
        <v>186</v>
      </c>
      <c r="C904" s="10"/>
      <c r="D904" s="10"/>
      <c r="E904" s="10"/>
      <c r="F904" s="29" t="s">
        <v>203</v>
      </c>
      <c r="G904" s="10">
        <v>640</v>
      </c>
      <c r="H904" s="10" t="s">
        <v>141</v>
      </c>
      <c r="I904" s="27">
        <v>3796</v>
      </c>
      <c r="J904" s="27"/>
      <c r="K904" s="250">
        <f t="shared" si="113"/>
        <v>3796</v>
      </c>
      <c r="L904" s="259"/>
      <c r="M904" s="315"/>
      <c r="N904" s="27"/>
      <c r="O904" s="250">
        <f t="shared" si="114"/>
        <v>0</v>
      </c>
      <c r="P904" s="259"/>
      <c r="Q904" s="309">
        <f t="shared" si="117"/>
        <v>3796</v>
      </c>
      <c r="R904" s="91">
        <f t="shared" si="118"/>
        <v>0</v>
      </c>
      <c r="S904" s="91">
        <f t="shared" si="119"/>
        <v>3796</v>
      </c>
    </row>
    <row r="905" spans="2:19" ht="15" x14ac:dyDescent="0.2">
      <c r="B905" s="88">
        <f t="shared" si="115"/>
        <v>187</v>
      </c>
      <c r="C905" s="242">
        <v>2</v>
      </c>
      <c r="D905" s="511" t="s">
        <v>197</v>
      </c>
      <c r="E905" s="509"/>
      <c r="F905" s="509"/>
      <c r="G905" s="509"/>
      <c r="H905" s="510"/>
      <c r="I905" s="40">
        <f>I906+I910+I921+I943+I967+I988+I1013+I1038+I1059+I1082</f>
        <v>8163915</v>
      </c>
      <c r="J905" s="40">
        <f>J906+J910+J921+J943+J967+J988+J1013+J1038+J1059+J1082</f>
        <v>6502</v>
      </c>
      <c r="K905" s="248">
        <f t="shared" si="113"/>
        <v>8170417</v>
      </c>
      <c r="L905" s="259"/>
      <c r="M905" s="318">
        <f>M906+M910+M921+M943+M967+M988+M1013+M1038+M1059+M1082</f>
        <v>465679</v>
      </c>
      <c r="N905" s="40">
        <f t="shared" ref="N905" si="124">N906+N910+N921+N943+N967+N988+N1013+N1038+N1059+N1082</f>
        <v>0</v>
      </c>
      <c r="O905" s="248">
        <f t="shared" si="114"/>
        <v>465679</v>
      </c>
      <c r="P905" s="259"/>
      <c r="Q905" s="313">
        <f t="shared" si="117"/>
        <v>8629594</v>
      </c>
      <c r="R905" s="89">
        <f t="shared" si="118"/>
        <v>6502</v>
      </c>
      <c r="S905" s="89">
        <f t="shared" si="119"/>
        <v>8636096</v>
      </c>
    </row>
    <row r="906" spans="2:19" x14ac:dyDescent="0.2">
      <c r="B906" s="88">
        <f t="shared" si="115"/>
        <v>188</v>
      </c>
      <c r="C906" s="10"/>
      <c r="D906" s="10"/>
      <c r="E906" s="10"/>
      <c r="F906" s="29" t="s">
        <v>131</v>
      </c>
      <c r="G906" s="10">
        <v>630</v>
      </c>
      <c r="H906" s="10" t="s">
        <v>133</v>
      </c>
      <c r="I906" s="27">
        <f>I907+I908+I909</f>
        <v>19590</v>
      </c>
      <c r="J906" s="27">
        <f>J907+J908+J909</f>
        <v>-16840</v>
      </c>
      <c r="K906" s="250">
        <f t="shared" si="113"/>
        <v>2750</v>
      </c>
      <c r="L906" s="259"/>
      <c r="M906" s="315"/>
      <c r="N906" s="27"/>
      <c r="O906" s="250">
        <f t="shared" si="114"/>
        <v>0</v>
      </c>
      <c r="P906" s="259"/>
      <c r="Q906" s="309">
        <f t="shared" si="117"/>
        <v>19590</v>
      </c>
      <c r="R906" s="91">
        <f t="shared" si="118"/>
        <v>-16840</v>
      </c>
      <c r="S906" s="91">
        <f t="shared" si="119"/>
        <v>2750</v>
      </c>
    </row>
    <row r="907" spans="2:19" x14ac:dyDescent="0.2">
      <c r="B907" s="88">
        <f t="shared" si="115"/>
        <v>189</v>
      </c>
      <c r="C907" s="4"/>
      <c r="D907" s="4"/>
      <c r="E907" s="4"/>
      <c r="F907" s="30" t="s">
        <v>131</v>
      </c>
      <c r="G907" s="4">
        <v>635</v>
      </c>
      <c r="H907" s="4" t="s">
        <v>145</v>
      </c>
      <c r="I907" s="23">
        <f>30000-1700-5000-8500-10000</f>
        <v>4800</v>
      </c>
      <c r="J907" s="23">
        <v>-4800</v>
      </c>
      <c r="K907" s="220">
        <f t="shared" si="113"/>
        <v>0</v>
      </c>
      <c r="L907" s="259"/>
      <c r="M907" s="227"/>
      <c r="N907" s="23"/>
      <c r="O907" s="220">
        <f t="shared" si="114"/>
        <v>0</v>
      </c>
      <c r="P907" s="259"/>
      <c r="Q907" s="308">
        <f t="shared" si="117"/>
        <v>4800</v>
      </c>
      <c r="R907" s="92">
        <f t="shared" si="118"/>
        <v>-4800</v>
      </c>
      <c r="S907" s="92">
        <f t="shared" si="119"/>
        <v>0</v>
      </c>
    </row>
    <row r="908" spans="2:19" x14ac:dyDescent="0.2">
      <c r="B908" s="88">
        <f t="shared" si="115"/>
        <v>190</v>
      </c>
      <c r="C908" s="4"/>
      <c r="D908" s="4"/>
      <c r="E908" s="4"/>
      <c r="F908" s="30" t="s">
        <v>131</v>
      </c>
      <c r="G908" s="4">
        <v>637</v>
      </c>
      <c r="H908" s="4" t="s">
        <v>439</v>
      </c>
      <c r="I908" s="23">
        <v>2750</v>
      </c>
      <c r="J908" s="23"/>
      <c r="K908" s="220">
        <f t="shared" si="113"/>
        <v>2750</v>
      </c>
      <c r="L908" s="259"/>
      <c r="M908" s="227"/>
      <c r="N908" s="23"/>
      <c r="O908" s="220">
        <f t="shared" si="114"/>
        <v>0</v>
      </c>
      <c r="P908" s="259"/>
      <c r="Q908" s="308">
        <f t="shared" si="117"/>
        <v>2750</v>
      </c>
      <c r="R908" s="92">
        <f t="shared" si="118"/>
        <v>0</v>
      </c>
      <c r="S908" s="92">
        <f t="shared" si="119"/>
        <v>2750</v>
      </c>
    </row>
    <row r="909" spans="2:19" x14ac:dyDescent="0.2">
      <c r="B909" s="88">
        <f t="shared" si="115"/>
        <v>191</v>
      </c>
      <c r="C909" s="4"/>
      <c r="D909" s="4"/>
      <c r="E909" s="4"/>
      <c r="F909" s="30" t="s">
        <v>131</v>
      </c>
      <c r="G909" s="4">
        <v>637</v>
      </c>
      <c r="H909" s="4" t="s">
        <v>616</v>
      </c>
      <c r="I909" s="23">
        <v>12040</v>
      </c>
      <c r="J909" s="23">
        <v>-12040</v>
      </c>
      <c r="K909" s="220">
        <f t="shared" si="113"/>
        <v>0</v>
      </c>
      <c r="L909" s="259"/>
      <c r="M909" s="227"/>
      <c r="N909" s="23"/>
      <c r="O909" s="220">
        <f t="shared" si="114"/>
        <v>0</v>
      </c>
      <c r="P909" s="259"/>
      <c r="Q909" s="308">
        <f t="shared" si="117"/>
        <v>12040</v>
      </c>
      <c r="R909" s="92">
        <f t="shared" si="118"/>
        <v>-12040</v>
      </c>
      <c r="S909" s="92">
        <f t="shared" si="119"/>
        <v>0</v>
      </c>
    </row>
    <row r="910" spans="2:19" ht="15" x14ac:dyDescent="0.25">
      <c r="B910" s="88">
        <f t="shared" si="115"/>
        <v>192</v>
      </c>
      <c r="C910" s="13"/>
      <c r="D910" s="13"/>
      <c r="E910" s="13">
        <v>4</v>
      </c>
      <c r="F910" s="32"/>
      <c r="G910" s="13"/>
      <c r="H910" s="13" t="s">
        <v>90</v>
      </c>
      <c r="I910" s="42">
        <f>I911</f>
        <v>125738</v>
      </c>
      <c r="J910" s="42">
        <f>J911</f>
        <v>285</v>
      </c>
      <c r="K910" s="255">
        <f t="shared" si="113"/>
        <v>126023</v>
      </c>
      <c r="L910" s="259"/>
      <c r="M910" s="317">
        <v>0</v>
      </c>
      <c r="N910" s="42">
        <v>0</v>
      </c>
      <c r="O910" s="255">
        <f t="shared" si="114"/>
        <v>0</v>
      </c>
      <c r="P910" s="259"/>
      <c r="Q910" s="312">
        <f t="shared" si="117"/>
        <v>125738</v>
      </c>
      <c r="R910" s="99">
        <f t="shared" si="118"/>
        <v>285</v>
      </c>
      <c r="S910" s="99">
        <f t="shared" si="119"/>
        <v>126023</v>
      </c>
    </row>
    <row r="911" spans="2:19" x14ac:dyDescent="0.2">
      <c r="B911" s="88">
        <f t="shared" si="115"/>
        <v>193</v>
      </c>
      <c r="C911" s="9"/>
      <c r="D911" s="9"/>
      <c r="E911" s="9" t="s">
        <v>98</v>
      </c>
      <c r="F911" s="33"/>
      <c r="G911" s="9"/>
      <c r="H911" s="9" t="s">
        <v>99</v>
      </c>
      <c r="I911" s="45">
        <f>I912+I913+I914+I920</f>
        <v>125738</v>
      </c>
      <c r="J911" s="45">
        <f>J912+J913+J914+J920</f>
        <v>285</v>
      </c>
      <c r="K911" s="359">
        <f t="shared" si="113"/>
        <v>126023</v>
      </c>
      <c r="L911" s="259"/>
      <c r="M911" s="362">
        <v>0</v>
      </c>
      <c r="N911" s="45">
        <v>0</v>
      </c>
      <c r="O911" s="359">
        <f t="shared" si="114"/>
        <v>0</v>
      </c>
      <c r="P911" s="259"/>
      <c r="Q911" s="372">
        <f t="shared" si="117"/>
        <v>125738</v>
      </c>
      <c r="R911" s="105">
        <f t="shared" si="118"/>
        <v>285</v>
      </c>
      <c r="S911" s="105">
        <f t="shared" si="119"/>
        <v>126023</v>
      </c>
    </row>
    <row r="912" spans="2:19" x14ac:dyDescent="0.2">
      <c r="B912" s="88">
        <f t="shared" si="115"/>
        <v>194</v>
      </c>
      <c r="C912" s="10"/>
      <c r="D912" s="10"/>
      <c r="E912" s="10"/>
      <c r="F912" s="29" t="s">
        <v>131</v>
      </c>
      <c r="G912" s="10">
        <v>610</v>
      </c>
      <c r="H912" s="10" t="s">
        <v>143</v>
      </c>
      <c r="I912" s="27">
        <f>71100+465+5790</f>
        <v>77355</v>
      </c>
      <c r="J912" s="27"/>
      <c r="K912" s="250">
        <f t="shared" si="113"/>
        <v>77355</v>
      </c>
      <c r="L912" s="259"/>
      <c r="M912" s="315"/>
      <c r="N912" s="27"/>
      <c r="O912" s="250">
        <f t="shared" si="114"/>
        <v>0</v>
      </c>
      <c r="P912" s="259"/>
      <c r="Q912" s="309">
        <f t="shared" si="117"/>
        <v>77355</v>
      </c>
      <c r="R912" s="91">
        <f t="shared" si="118"/>
        <v>0</v>
      </c>
      <c r="S912" s="91">
        <f t="shared" si="119"/>
        <v>77355</v>
      </c>
    </row>
    <row r="913" spans="2:19" x14ac:dyDescent="0.2">
      <c r="B913" s="88">
        <f t="shared" si="115"/>
        <v>195</v>
      </c>
      <c r="C913" s="10"/>
      <c r="D913" s="10"/>
      <c r="E913" s="10"/>
      <c r="F913" s="29" t="s">
        <v>131</v>
      </c>
      <c r="G913" s="10">
        <v>620</v>
      </c>
      <c r="H913" s="10" t="s">
        <v>136</v>
      </c>
      <c r="I913" s="27">
        <f>25739+172+1033</f>
        <v>26944</v>
      </c>
      <c r="J913" s="27"/>
      <c r="K913" s="250">
        <f t="shared" si="113"/>
        <v>26944</v>
      </c>
      <c r="L913" s="259"/>
      <c r="M913" s="315"/>
      <c r="N913" s="27"/>
      <c r="O913" s="250">
        <f t="shared" si="114"/>
        <v>0</v>
      </c>
      <c r="P913" s="259"/>
      <c r="Q913" s="309">
        <f t="shared" si="117"/>
        <v>26944</v>
      </c>
      <c r="R913" s="91">
        <f t="shared" si="118"/>
        <v>0</v>
      </c>
      <c r="S913" s="91">
        <f t="shared" si="119"/>
        <v>26944</v>
      </c>
    </row>
    <row r="914" spans="2:19" x14ac:dyDescent="0.2">
      <c r="B914" s="88">
        <f t="shared" si="115"/>
        <v>196</v>
      </c>
      <c r="C914" s="10"/>
      <c r="D914" s="10"/>
      <c r="E914" s="10"/>
      <c r="F914" s="29" t="s">
        <v>131</v>
      </c>
      <c r="G914" s="10">
        <v>630</v>
      </c>
      <c r="H914" s="10" t="s">
        <v>133</v>
      </c>
      <c r="I914" s="27">
        <f>SUM(I915:I919)</f>
        <v>19444</v>
      </c>
      <c r="J914" s="27">
        <f>SUM(J915:J919)</f>
        <v>285</v>
      </c>
      <c r="K914" s="250">
        <f t="shared" si="113"/>
        <v>19729</v>
      </c>
      <c r="L914" s="259"/>
      <c r="M914" s="315"/>
      <c r="N914" s="27"/>
      <c r="O914" s="250">
        <f t="shared" si="114"/>
        <v>0</v>
      </c>
      <c r="P914" s="259"/>
      <c r="Q914" s="309">
        <f t="shared" si="117"/>
        <v>19444</v>
      </c>
      <c r="R914" s="91">
        <f t="shared" si="118"/>
        <v>285</v>
      </c>
      <c r="S914" s="91">
        <f t="shared" si="119"/>
        <v>19729</v>
      </c>
    </row>
    <row r="915" spans="2:19" x14ac:dyDescent="0.2">
      <c r="B915" s="88">
        <f t="shared" si="115"/>
        <v>197</v>
      </c>
      <c r="C915" s="4"/>
      <c r="D915" s="4"/>
      <c r="E915" s="4"/>
      <c r="F915" s="30" t="s">
        <v>131</v>
      </c>
      <c r="G915" s="4">
        <v>632</v>
      </c>
      <c r="H915" s="4" t="s">
        <v>146</v>
      </c>
      <c r="I915" s="23">
        <v>5700</v>
      </c>
      <c r="J915" s="23"/>
      <c r="K915" s="220">
        <f t="shared" si="113"/>
        <v>5700</v>
      </c>
      <c r="L915" s="259"/>
      <c r="M915" s="227"/>
      <c r="N915" s="23"/>
      <c r="O915" s="220">
        <f t="shared" si="114"/>
        <v>0</v>
      </c>
      <c r="P915" s="259"/>
      <c r="Q915" s="308">
        <f t="shared" si="117"/>
        <v>5700</v>
      </c>
      <c r="R915" s="92">
        <f t="shared" si="118"/>
        <v>0</v>
      </c>
      <c r="S915" s="92">
        <f t="shared" si="119"/>
        <v>5700</v>
      </c>
    </row>
    <row r="916" spans="2:19" x14ac:dyDescent="0.2">
      <c r="B916" s="88">
        <f t="shared" si="115"/>
        <v>198</v>
      </c>
      <c r="C916" s="4"/>
      <c r="D916" s="4"/>
      <c r="E916" s="4"/>
      <c r="F916" s="30" t="s">
        <v>131</v>
      </c>
      <c r="G916" s="4">
        <v>633</v>
      </c>
      <c r="H916" s="4" t="s">
        <v>137</v>
      </c>
      <c r="I916" s="23">
        <f>3444+3930</f>
        <v>7374</v>
      </c>
      <c r="J916" s="23"/>
      <c r="K916" s="220">
        <f t="shared" si="113"/>
        <v>7374</v>
      </c>
      <c r="L916" s="259"/>
      <c r="M916" s="227"/>
      <c r="N916" s="23"/>
      <c r="O916" s="220">
        <f t="shared" si="114"/>
        <v>0</v>
      </c>
      <c r="P916" s="259"/>
      <c r="Q916" s="308">
        <f t="shared" si="117"/>
        <v>7374</v>
      </c>
      <c r="R916" s="92">
        <f t="shared" si="118"/>
        <v>0</v>
      </c>
      <c r="S916" s="92">
        <f t="shared" si="119"/>
        <v>7374</v>
      </c>
    </row>
    <row r="917" spans="2:19" x14ac:dyDescent="0.2">
      <c r="B917" s="88">
        <f t="shared" si="115"/>
        <v>199</v>
      </c>
      <c r="C917" s="4"/>
      <c r="D917" s="4"/>
      <c r="E917" s="4"/>
      <c r="F917" s="30" t="s">
        <v>131</v>
      </c>
      <c r="G917" s="4">
        <v>634</v>
      </c>
      <c r="H917" s="4" t="s">
        <v>144</v>
      </c>
      <c r="I917" s="23">
        <v>0</v>
      </c>
      <c r="J917" s="23">
        <v>285</v>
      </c>
      <c r="K917" s="220">
        <f t="shared" ref="K917" si="125">I917+J917</f>
        <v>285</v>
      </c>
      <c r="L917" s="259"/>
      <c r="M917" s="227"/>
      <c r="N917" s="23"/>
      <c r="O917" s="220">
        <f t="shared" ref="O917" si="126">M917+N917</f>
        <v>0</v>
      </c>
      <c r="P917" s="259"/>
      <c r="Q917" s="308">
        <f t="shared" ref="Q917" si="127">I917+M917</f>
        <v>0</v>
      </c>
      <c r="R917" s="92">
        <f t="shared" ref="R917" si="128">J917+N917</f>
        <v>285</v>
      </c>
      <c r="S917" s="92">
        <f t="shared" ref="S917" si="129">K917+O917</f>
        <v>285</v>
      </c>
    </row>
    <row r="918" spans="2:19" x14ac:dyDescent="0.2">
      <c r="B918" s="88">
        <f t="shared" si="115"/>
        <v>200</v>
      </c>
      <c r="C918" s="4"/>
      <c r="D918" s="4"/>
      <c r="E918" s="4"/>
      <c r="F918" s="30" t="s">
        <v>131</v>
      </c>
      <c r="G918" s="4">
        <v>635</v>
      </c>
      <c r="H918" s="4" t="s">
        <v>145</v>
      </c>
      <c r="I918" s="23">
        <v>1000</v>
      </c>
      <c r="J918" s="23"/>
      <c r="K918" s="220">
        <f t="shared" si="113"/>
        <v>1000</v>
      </c>
      <c r="L918" s="259"/>
      <c r="M918" s="227"/>
      <c r="N918" s="23"/>
      <c r="O918" s="220">
        <f t="shared" si="114"/>
        <v>0</v>
      </c>
      <c r="P918" s="259"/>
      <c r="Q918" s="308">
        <f t="shared" si="117"/>
        <v>1000</v>
      </c>
      <c r="R918" s="92">
        <f t="shared" si="118"/>
        <v>0</v>
      </c>
      <c r="S918" s="92">
        <f t="shared" si="119"/>
        <v>1000</v>
      </c>
    </row>
    <row r="919" spans="2:19" x14ac:dyDescent="0.2">
      <c r="B919" s="88">
        <f t="shared" si="115"/>
        <v>201</v>
      </c>
      <c r="C919" s="4"/>
      <c r="D919" s="4"/>
      <c r="E919" s="4"/>
      <c r="F919" s="30" t="s">
        <v>131</v>
      </c>
      <c r="G919" s="4">
        <v>637</v>
      </c>
      <c r="H919" s="4" t="s">
        <v>134</v>
      </c>
      <c r="I919" s="23">
        <v>5370</v>
      </c>
      <c r="J919" s="23"/>
      <c r="K919" s="220">
        <f t="shared" si="113"/>
        <v>5370</v>
      </c>
      <c r="L919" s="259"/>
      <c r="M919" s="227"/>
      <c r="N919" s="23"/>
      <c r="O919" s="220">
        <f t="shared" si="114"/>
        <v>0</v>
      </c>
      <c r="P919" s="259"/>
      <c r="Q919" s="308">
        <f t="shared" si="117"/>
        <v>5370</v>
      </c>
      <c r="R919" s="92">
        <f t="shared" si="118"/>
        <v>0</v>
      </c>
      <c r="S919" s="92">
        <f t="shared" si="119"/>
        <v>5370</v>
      </c>
    </row>
    <row r="920" spans="2:19" x14ac:dyDescent="0.2">
      <c r="B920" s="88">
        <f t="shared" si="115"/>
        <v>202</v>
      </c>
      <c r="C920" s="4"/>
      <c r="D920" s="4"/>
      <c r="E920" s="4"/>
      <c r="F920" s="30"/>
      <c r="G920" s="3">
        <v>630</v>
      </c>
      <c r="H920" s="3" t="s">
        <v>594</v>
      </c>
      <c r="I920" s="22">
        <v>1995</v>
      </c>
      <c r="J920" s="22"/>
      <c r="K920" s="219">
        <f t="shared" si="113"/>
        <v>1995</v>
      </c>
      <c r="L920" s="259"/>
      <c r="M920" s="227"/>
      <c r="N920" s="23"/>
      <c r="O920" s="220">
        <f t="shared" si="114"/>
        <v>0</v>
      </c>
      <c r="P920" s="259"/>
      <c r="Q920" s="308">
        <f>I920</f>
        <v>1995</v>
      </c>
      <c r="R920" s="92">
        <f t="shared" ref="R920:S920" si="130">J920</f>
        <v>0</v>
      </c>
      <c r="S920" s="92">
        <f t="shared" si="130"/>
        <v>1995</v>
      </c>
    </row>
    <row r="921" spans="2:19" ht="15" x14ac:dyDescent="0.25">
      <c r="B921" s="88">
        <f t="shared" si="115"/>
        <v>203</v>
      </c>
      <c r="C921" s="13"/>
      <c r="D921" s="13"/>
      <c r="E921" s="13">
        <v>6</v>
      </c>
      <c r="F921" s="32"/>
      <c r="G921" s="13"/>
      <c r="H921" s="13" t="s">
        <v>12</v>
      </c>
      <c r="I921" s="42">
        <f>I922+I923+I924+I931+I932+I933+I934+I941+I942</f>
        <v>847437</v>
      </c>
      <c r="J921" s="42">
        <f>J922+J923+J924+J931+J932+J933+J934+J941+J942</f>
        <v>864</v>
      </c>
      <c r="K921" s="255">
        <f t="shared" ref="K921:K985" si="131">I921+J921</f>
        <v>848301</v>
      </c>
      <c r="L921" s="259"/>
      <c r="M921" s="317">
        <v>0</v>
      </c>
      <c r="N921" s="42">
        <v>0</v>
      </c>
      <c r="O921" s="255">
        <f t="shared" ref="O921:O985" si="132">M921+N921</f>
        <v>0</v>
      </c>
      <c r="P921" s="259"/>
      <c r="Q921" s="312">
        <f t="shared" si="117"/>
        <v>847437</v>
      </c>
      <c r="R921" s="99">
        <f t="shared" ref="R921:R985" si="133">J921+N921</f>
        <v>864</v>
      </c>
      <c r="S921" s="99">
        <f t="shared" ref="S921:S985" si="134">K921+O921</f>
        <v>848301</v>
      </c>
    </row>
    <row r="922" spans="2:19" x14ac:dyDescent="0.2">
      <c r="B922" s="88">
        <f t="shared" ref="B922:B986" si="135">B921+1</f>
        <v>204</v>
      </c>
      <c r="C922" s="10"/>
      <c r="D922" s="10"/>
      <c r="E922" s="10"/>
      <c r="F922" s="29" t="s">
        <v>131</v>
      </c>
      <c r="G922" s="10">
        <v>610</v>
      </c>
      <c r="H922" s="10" t="s">
        <v>143</v>
      </c>
      <c r="I922" s="27">
        <f>223520+15607-15607</f>
        <v>223520</v>
      </c>
      <c r="J922" s="27"/>
      <c r="K922" s="250">
        <f t="shared" si="131"/>
        <v>223520</v>
      </c>
      <c r="L922" s="259"/>
      <c r="M922" s="315"/>
      <c r="N922" s="27"/>
      <c r="O922" s="250">
        <f t="shared" si="132"/>
        <v>0</v>
      </c>
      <c r="P922" s="259"/>
      <c r="Q922" s="309">
        <f t="shared" si="117"/>
        <v>223520</v>
      </c>
      <c r="R922" s="91">
        <f t="shared" si="133"/>
        <v>0</v>
      </c>
      <c r="S922" s="91">
        <f t="shared" si="134"/>
        <v>223520</v>
      </c>
    </row>
    <row r="923" spans="2:19" x14ac:dyDescent="0.2">
      <c r="B923" s="88">
        <f t="shared" si="135"/>
        <v>205</v>
      </c>
      <c r="C923" s="10"/>
      <c r="D923" s="10"/>
      <c r="E923" s="10"/>
      <c r="F923" s="29" t="s">
        <v>131</v>
      </c>
      <c r="G923" s="10">
        <v>620</v>
      </c>
      <c r="H923" s="10" t="s">
        <v>136</v>
      </c>
      <c r="I923" s="27">
        <f>73573+5464-5464</f>
        <v>73573</v>
      </c>
      <c r="J923" s="27"/>
      <c r="K923" s="250">
        <f t="shared" si="131"/>
        <v>73573</v>
      </c>
      <c r="L923" s="259"/>
      <c r="M923" s="315"/>
      <c r="N923" s="27"/>
      <c r="O923" s="250">
        <f t="shared" si="132"/>
        <v>0</v>
      </c>
      <c r="P923" s="259"/>
      <c r="Q923" s="309">
        <f t="shared" si="117"/>
        <v>73573</v>
      </c>
      <c r="R923" s="91">
        <f t="shared" si="133"/>
        <v>0</v>
      </c>
      <c r="S923" s="91">
        <f t="shared" si="134"/>
        <v>73573</v>
      </c>
    </row>
    <row r="924" spans="2:19" x14ac:dyDescent="0.2">
      <c r="B924" s="88">
        <f t="shared" si="135"/>
        <v>206</v>
      </c>
      <c r="C924" s="10"/>
      <c r="D924" s="10"/>
      <c r="E924" s="10"/>
      <c r="F924" s="29" t="s">
        <v>131</v>
      </c>
      <c r="G924" s="10">
        <v>630</v>
      </c>
      <c r="H924" s="10" t="s">
        <v>133</v>
      </c>
      <c r="I924" s="27">
        <f>SUM(I925:I930)</f>
        <v>63157</v>
      </c>
      <c r="J924" s="27">
        <f>SUM(J925:J930)</f>
        <v>864</v>
      </c>
      <c r="K924" s="250">
        <f t="shared" si="131"/>
        <v>64021</v>
      </c>
      <c r="L924" s="259"/>
      <c r="M924" s="315"/>
      <c r="N924" s="27"/>
      <c r="O924" s="250">
        <f t="shared" si="132"/>
        <v>0</v>
      </c>
      <c r="P924" s="259"/>
      <c r="Q924" s="309">
        <f t="shared" si="117"/>
        <v>63157</v>
      </c>
      <c r="R924" s="91">
        <f t="shared" si="133"/>
        <v>864</v>
      </c>
      <c r="S924" s="91">
        <f t="shared" si="134"/>
        <v>64021</v>
      </c>
    </row>
    <row r="925" spans="2:19" x14ac:dyDescent="0.2">
      <c r="B925" s="88">
        <f t="shared" si="135"/>
        <v>207</v>
      </c>
      <c r="C925" s="4"/>
      <c r="D925" s="4"/>
      <c r="E925" s="4"/>
      <c r="F925" s="30" t="s">
        <v>131</v>
      </c>
      <c r="G925" s="4">
        <v>631</v>
      </c>
      <c r="H925" s="4" t="s">
        <v>139</v>
      </c>
      <c r="I925" s="23">
        <v>249</v>
      </c>
      <c r="J925" s="23"/>
      <c r="K925" s="220">
        <f t="shared" si="131"/>
        <v>249</v>
      </c>
      <c r="L925" s="259"/>
      <c r="M925" s="227"/>
      <c r="N925" s="23"/>
      <c r="O925" s="220">
        <f t="shared" si="132"/>
        <v>0</v>
      </c>
      <c r="P925" s="259"/>
      <c r="Q925" s="308">
        <f t="shared" si="117"/>
        <v>249</v>
      </c>
      <c r="R925" s="92">
        <f t="shared" si="133"/>
        <v>0</v>
      </c>
      <c r="S925" s="92">
        <f t="shared" si="134"/>
        <v>249</v>
      </c>
    </row>
    <row r="926" spans="2:19" x14ac:dyDescent="0.2">
      <c r="B926" s="88">
        <f t="shared" si="135"/>
        <v>208</v>
      </c>
      <c r="C926" s="4"/>
      <c r="D926" s="4"/>
      <c r="E926" s="4"/>
      <c r="F926" s="30" t="s">
        <v>131</v>
      </c>
      <c r="G926" s="4">
        <v>632</v>
      </c>
      <c r="H926" s="4" t="s">
        <v>146</v>
      </c>
      <c r="I926" s="23">
        <f>34946-4998</f>
        <v>29948</v>
      </c>
      <c r="J926" s="23"/>
      <c r="K926" s="220">
        <f t="shared" si="131"/>
        <v>29948</v>
      </c>
      <c r="L926" s="259"/>
      <c r="M926" s="227"/>
      <c r="N926" s="23"/>
      <c r="O926" s="220">
        <f t="shared" si="132"/>
        <v>0</v>
      </c>
      <c r="P926" s="259"/>
      <c r="Q926" s="308">
        <f t="shared" ref="Q926:Q998" si="136">I926+M926</f>
        <v>29948</v>
      </c>
      <c r="R926" s="92">
        <f t="shared" si="133"/>
        <v>0</v>
      </c>
      <c r="S926" s="92">
        <f t="shared" si="134"/>
        <v>29948</v>
      </c>
    </row>
    <row r="927" spans="2:19" x14ac:dyDescent="0.2">
      <c r="B927" s="88">
        <f t="shared" si="135"/>
        <v>209</v>
      </c>
      <c r="C927" s="4"/>
      <c r="D927" s="4"/>
      <c r="E927" s="4"/>
      <c r="F927" s="30" t="s">
        <v>131</v>
      </c>
      <c r="G927" s="4">
        <v>633</v>
      </c>
      <c r="H927" s="4" t="s">
        <v>137</v>
      </c>
      <c r="I927" s="23">
        <v>10317</v>
      </c>
      <c r="J927" s="23"/>
      <c r="K927" s="220">
        <f t="shared" si="131"/>
        <v>10317</v>
      </c>
      <c r="L927" s="259"/>
      <c r="M927" s="227"/>
      <c r="N927" s="23"/>
      <c r="O927" s="220">
        <f t="shared" si="132"/>
        <v>0</v>
      </c>
      <c r="P927" s="259"/>
      <c r="Q927" s="308">
        <f t="shared" si="136"/>
        <v>10317</v>
      </c>
      <c r="R927" s="92">
        <f t="shared" si="133"/>
        <v>0</v>
      </c>
      <c r="S927" s="92">
        <f t="shared" si="134"/>
        <v>10317</v>
      </c>
    </row>
    <row r="928" spans="2:19" x14ac:dyDescent="0.2">
      <c r="B928" s="88">
        <f t="shared" si="135"/>
        <v>210</v>
      </c>
      <c r="C928" s="4"/>
      <c r="D928" s="4"/>
      <c r="E928" s="4"/>
      <c r="F928" s="30" t="s">
        <v>131</v>
      </c>
      <c r="G928" s="4">
        <v>634</v>
      </c>
      <c r="H928" s="4" t="s">
        <v>144</v>
      </c>
      <c r="I928" s="23">
        <v>987</v>
      </c>
      <c r="J928" s="23">
        <f>800+64</f>
        <v>864</v>
      </c>
      <c r="K928" s="220">
        <f t="shared" si="131"/>
        <v>1851</v>
      </c>
      <c r="L928" s="259"/>
      <c r="M928" s="227"/>
      <c r="N928" s="23"/>
      <c r="O928" s="220">
        <f t="shared" si="132"/>
        <v>0</v>
      </c>
      <c r="P928" s="259"/>
      <c r="Q928" s="308">
        <f t="shared" si="136"/>
        <v>987</v>
      </c>
      <c r="R928" s="92">
        <f t="shared" si="133"/>
        <v>864</v>
      </c>
      <c r="S928" s="92">
        <f t="shared" si="134"/>
        <v>1851</v>
      </c>
    </row>
    <row r="929" spans="2:19" x14ac:dyDescent="0.2">
      <c r="B929" s="88">
        <f t="shared" si="135"/>
        <v>211</v>
      </c>
      <c r="C929" s="4"/>
      <c r="D929" s="4"/>
      <c r="E929" s="4"/>
      <c r="F929" s="30" t="s">
        <v>131</v>
      </c>
      <c r="G929" s="4">
        <v>635</v>
      </c>
      <c r="H929" s="4" t="s">
        <v>145</v>
      </c>
      <c r="I929" s="23">
        <v>6231</v>
      </c>
      <c r="J929" s="23"/>
      <c r="K929" s="220">
        <f t="shared" si="131"/>
        <v>6231</v>
      </c>
      <c r="L929" s="259"/>
      <c r="M929" s="227"/>
      <c r="N929" s="23"/>
      <c r="O929" s="220">
        <f t="shared" si="132"/>
        <v>0</v>
      </c>
      <c r="P929" s="259"/>
      <c r="Q929" s="308">
        <f t="shared" si="136"/>
        <v>6231</v>
      </c>
      <c r="R929" s="92">
        <f t="shared" si="133"/>
        <v>0</v>
      </c>
      <c r="S929" s="92">
        <f t="shared" si="134"/>
        <v>6231</v>
      </c>
    </row>
    <row r="930" spans="2:19" x14ac:dyDescent="0.2">
      <c r="B930" s="88">
        <f t="shared" si="135"/>
        <v>212</v>
      </c>
      <c r="C930" s="4"/>
      <c r="D930" s="4"/>
      <c r="E930" s="4"/>
      <c r="F930" s="30" t="s">
        <v>131</v>
      </c>
      <c r="G930" s="4">
        <v>637</v>
      </c>
      <c r="H930" s="4" t="s">
        <v>134</v>
      </c>
      <c r="I930" s="23">
        <v>15425</v>
      </c>
      <c r="J930" s="23"/>
      <c r="K930" s="220">
        <f t="shared" si="131"/>
        <v>15425</v>
      </c>
      <c r="L930" s="259"/>
      <c r="M930" s="227"/>
      <c r="N930" s="23"/>
      <c r="O930" s="220">
        <f t="shared" si="132"/>
        <v>0</v>
      </c>
      <c r="P930" s="259"/>
      <c r="Q930" s="308">
        <f t="shared" si="136"/>
        <v>15425</v>
      </c>
      <c r="R930" s="92">
        <f t="shared" si="133"/>
        <v>0</v>
      </c>
      <c r="S930" s="92">
        <f t="shared" si="134"/>
        <v>15425</v>
      </c>
    </row>
    <row r="931" spans="2:19" x14ac:dyDescent="0.2">
      <c r="B931" s="88">
        <f t="shared" si="135"/>
        <v>213</v>
      </c>
      <c r="C931" s="10"/>
      <c r="D931" s="10"/>
      <c r="E931" s="10"/>
      <c r="F931" s="29" t="s">
        <v>131</v>
      </c>
      <c r="G931" s="10">
        <v>640</v>
      </c>
      <c r="H931" s="10" t="s">
        <v>141</v>
      </c>
      <c r="I931" s="27">
        <v>473</v>
      </c>
      <c r="J931" s="27"/>
      <c r="K931" s="250">
        <f t="shared" si="131"/>
        <v>473</v>
      </c>
      <c r="L931" s="259"/>
      <c r="M931" s="315"/>
      <c r="N931" s="27"/>
      <c r="O931" s="250">
        <f t="shared" si="132"/>
        <v>0</v>
      </c>
      <c r="P931" s="259"/>
      <c r="Q931" s="309">
        <f t="shared" si="136"/>
        <v>473</v>
      </c>
      <c r="R931" s="91">
        <f t="shared" si="133"/>
        <v>0</v>
      </c>
      <c r="S931" s="91">
        <f t="shared" si="134"/>
        <v>473</v>
      </c>
    </row>
    <row r="932" spans="2:19" x14ac:dyDescent="0.2">
      <c r="B932" s="88">
        <f t="shared" si="135"/>
        <v>214</v>
      </c>
      <c r="C932" s="10"/>
      <c r="D932" s="10"/>
      <c r="E932" s="10"/>
      <c r="F932" s="29" t="s">
        <v>118</v>
      </c>
      <c r="G932" s="10">
        <v>610</v>
      </c>
      <c r="H932" s="10" t="s">
        <v>143</v>
      </c>
      <c r="I932" s="27">
        <f>273177+15607+50+15607</f>
        <v>304441</v>
      </c>
      <c r="J932" s="27"/>
      <c r="K932" s="250">
        <f t="shared" si="131"/>
        <v>304441</v>
      </c>
      <c r="L932" s="259"/>
      <c r="M932" s="315"/>
      <c r="N932" s="27"/>
      <c r="O932" s="250">
        <f t="shared" si="132"/>
        <v>0</v>
      </c>
      <c r="P932" s="259"/>
      <c r="Q932" s="309">
        <f t="shared" si="136"/>
        <v>304441</v>
      </c>
      <c r="R932" s="91">
        <f t="shared" si="133"/>
        <v>0</v>
      </c>
      <c r="S932" s="91">
        <f t="shared" si="134"/>
        <v>304441</v>
      </c>
    </row>
    <row r="933" spans="2:19" x14ac:dyDescent="0.2">
      <c r="B933" s="88">
        <f t="shared" si="135"/>
        <v>215</v>
      </c>
      <c r="C933" s="10"/>
      <c r="D933" s="10"/>
      <c r="E933" s="10"/>
      <c r="F933" s="29" t="s">
        <v>118</v>
      </c>
      <c r="G933" s="10">
        <v>620</v>
      </c>
      <c r="H933" s="10" t="s">
        <v>136</v>
      </c>
      <c r="I933" s="27">
        <f>89913+5465+10+5464</f>
        <v>100852</v>
      </c>
      <c r="J933" s="27"/>
      <c r="K933" s="250">
        <f t="shared" si="131"/>
        <v>100852</v>
      </c>
      <c r="L933" s="259"/>
      <c r="M933" s="315"/>
      <c r="N933" s="27"/>
      <c r="O933" s="250">
        <f t="shared" si="132"/>
        <v>0</v>
      </c>
      <c r="P933" s="259"/>
      <c r="Q933" s="309">
        <f t="shared" si="136"/>
        <v>100852</v>
      </c>
      <c r="R933" s="91">
        <f t="shared" si="133"/>
        <v>0</v>
      </c>
      <c r="S933" s="91">
        <f t="shared" si="134"/>
        <v>100852</v>
      </c>
    </row>
    <row r="934" spans="2:19" x14ac:dyDescent="0.2">
      <c r="B934" s="88">
        <f t="shared" si="135"/>
        <v>216</v>
      </c>
      <c r="C934" s="10"/>
      <c r="D934" s="10"/>
      <c r="E934" s="10"/>
      <c r="F934" s="29" t="s">
        <v>118</v>
      </c>
      <c r="G934" s="10">
        <v>630</v>
      </c>
      <c r="H934" s="10" t="s">
        <v>133</v>
      </c>
      <c r="I934" s="27">
        <f>SUM(I935:I940)</f>
        <v>63566</v>
      </c>
      <c r="J934" s="27">
        <f>SUM(J935:J940)</f>
        <v>0</v>
      </c>
      <c r="K934" s="250">
        <f t="shared" si="131"/>
        <v>63566</v>
      </c>
      <c r="L934" s="259"/>
      <c r="M934" s="315"/>
      <c r="N934" s="27"/>
      <c r="O934" s="250">
        <f t="shared" si="132"/>
        <v>0</v>
      </c>
      <c r="P934" s="259"/>
      <c r="Q934" s="309">
        <f t="shared" si="136"/>
        <v>63566</v>
      </c>
      <c r="R934" s="91">
        <f t="shared" si="133"/>
        <v>0</v>
      </c>
      <c r="S934" s="91">
        <f t="shared" si="134"/>
        <v>63566</v>
      </c>
    </row>
    <row r="935" spans="2:19" x14ac:dyDescent="0.2">
      <c r="B935" s="88">
        <f t="shared" si="135"/>
        <v>217</v>
      </c>
      <c r="C935" s="4"/>
      <c r="D935" s="4"/>
      <c r="E935" s="4"/>
      <c r="F935" s="30" t="s">
        <v>118</v>
      </c>
      <c r="G935" s="4">
        <v>631</v>
      </c>
      <c r="H935" s="4" t="s">
        <v>139</v>
      </c>
      <c r="I935" s="23">
        <v>205</v>
      </c>
      <c r="J935" s="23"/>
      <c r="K935" s="220">
        <f t="shared" si="131"/>
        <v>205</v>
      </c>
      <c r="L935" s="259"/>
      <c r="M935" s="227"/>
      <c r="N935" s="23"/>
      <c r="O935" s="220">
        <f t="shared" si="132"/>
        <v>0</v>
      </c>
      <c r="P935" s="259"/>
      <c r="Q935" s="308">
        <f t="shared" si="136"/>
        <v>205</v>
      </c>
      <c r="R935" s="92">
        <f t="shared" si="133"/>
        <v>0</v>
      </c>
      <c r="S935" s="92">
        <f t="shared" si="134"/>
        <v>205</v>
      </c>
    </row>
    <row r="936" spans="2:19" x14ac:dyDescent="0.2">
      <c r="B936" s="88">
        <f t="shared" si="135"/>
        <v>218</v>
      </c>
      <c r="C936" s="4"/>
      <c r="D936" s="4"/>
      <c r="E936" s="4"/>
      <c r="F936" s="30" t="s">
        <v>118</v>
      </c>
      <c r="G936" s="4">
        <v>632</v>
      </c>
      <c r="H936" s="4" t="s">
        <v>146</v>
      </c>
      <c r="I936" s="23">
        <f>29625-4265</f>
        <v>25360</v>
      </c>
      <c r="J936" s="23"/>
      <c r="K936" s="220">
        <f t="shared" si="131"/>
        <v>25360</v>
      </c>
      <c r="L936" s="259"/>
      <c r="M936" s="227"/>
      <c r="N936" s="23"/>
      <c r="O936" s="220">
        <f t="shared" si="132"/>
        <v>0</v>
      </c>
      <c r="P936" s="259"/>
      <c r="Q936" s="308">
        <f t="shared" si="136"/>
        <v>25360</v>
      </c>
      <c r="R936" s="92">
        <f t="shared" si="133"/>
        <v>0</v>
      </c>
      <c r="S936" s="92">
        <f t="shared" si="134"/>
        <v>25360</v>
      </c>
    </row>
    <row r="937" spans="2:19" x14ac:dyDescent="0.2">
      <c r="B937" s="88">
        <f t="shared" si="135"/>
        <v>219</v>
      </c>
      <c r="C937" s="4"/>
      <c r="D937" s="4"/>
      <c r="E937" s="4"/>
      <c r="F937" s="30" t="s">
        <v>118</v>
      </c>
      <c r="G937" s="4">
        <v>633</v>
      </c>
      <c r="H937" s="4" t="s">
        <v>137</v>
      </c>
      <c r="I937" s="23">
        <f>8441+7792+200</f>
        <v>16433</v>
      </c>
      <c r="J937" s="23"/>
      <c r="K937" s="220">
        <f t="shared" si="131"/>
        <v>16433</v>
      </c>
      <c r="L937" s="259"/>
      <c r="M937" s="227"/>
      <c r="N937" s="23"/>
      <c r="O937" s="220">
        <f t="shared" si="132"/>
        <v>0</v>
      </c>
      <c r="P937" s="259"/>
      <c r="Q937" s="308">
        <f t="shared" si="136"/>
        <v>16433</v>
      </c>
      <c r="R937" s="92">
        <f t="shared" si="133"/>
        <v>0</v>
      </c>
      <c r="S937" s="92">
        <f t="shared" si="134"/>
        <v>16433</v>
      </c>
    </row>
    <row r="938" spans="2:19" x14ac:dyDescent="0.2">
      <c r="B938" s="88">
        <f t="shared" si="135"/>
        <v>220</v>
      </c>
      <c r="C938" s="4"/>
      <c r="D938" s="4"/>
      <c r="E938" s="4"/>
      <c r="F938" s="30" t="s">
        <v>118</v>
      </c>
      <c r="G938" s="4">
        <v>634</v>
      </c>
      <c r="H938" s="4" t="s">
        <v>144</v>
      </c>
      <c r="I938" s="23">
        <v>2337</v>
      </c>
      <c r="J938" s="23"/>
      <c r="K938" s="220">
        <f t="shared" si="131"/>
        <v>2337</v>
      </c>
      <c r="L938" s="259"/>
      <c r="M938" s="227"/>
      <c r="N938" s="23"/>
      <c r="O938" s="220">
        <f t="shared" si="132"/>
        <v>0</v>
      </c>
      <c r="P938" s="259"/>
      <c r="Q938" s="308">
        <f t="shared" si="136"/>
        <v>2337</v>
      </c>
      <c r="R938" s="92">
        <f t="shared" si="133"/>
        <v>0</v>
      </c>
      <c r="S938" s="92">
        <f t="shared" si="134"/>
        <v>2337</v>
      </c>
    </row>
    <row r="939" spans="2:19" x14ac:dyDescent="0.2">
      <c r="B939" s="88">
        <f t="shared" si="135"/>
        <v>221</v>
      </c>
      <c r="C939" s="4"/>
      <c r="D939" s="4"/>
      <c r="E939" s="4"/>
      <c r="F939" s="30" t="s">
        <v>118</v>
      </c>
      <c r="G939" s="4">
        <v>635</v>
      </c>
      <c r="H939" s="4" t="s">
        <v>145</v>
      </c>
      <c r="I939" s="23">
        <f>4214+1000</f>
        <v>5214</v>
      </c>
      <c r="J939" s="23"/>
      <c r="K939" s="220">
        <f t="shared" si="131"/>
        <v>5214</v>
      </c>
      <c r="L939" s="259"/>
      <c r="M939" s="227"/>
      <c r="N939" s="23"/>
      <c r="O939" s="220">
        <f t="shared" si="132"/>
        <v>0</v>
      </c>
      <c r="P939" s="259"/>
      <c r="Q939" s="308">
        <f t="shared" si="136"/>
        <v>5214</v>
      </c>
      <c r="R939" s="92">
        <f t="shared" si="133"/>
        <v>0</v>
      </c>
      <c r="S939" s="92">
        <f t="shared" si="134"/>
        <v>5214</v>
      </c>
    </row>
    <row r="940" spans="2:19" x14ac:dyDescent="0.2">
      <c r="B940" s="88">
        <f t="shared" si="135"/>
        <v>222</v>
      </c>
      <c r="C940" s="4"/>
      <c r="D940" s="4"/>
      <c r="E940" s="4"/>
      <c r="F940" s="30" t="s">
        <v>118</v>
      </c>
      <c r="G940" s="4">
        <v>637</v>
      </c>
      <c r="H940" s="4" t="s">
        <v>134</v>
      </c>
      <c r="I940" s="23">
        <f>12689+1328</f>
        <v>14017</v>
      </c>
      <c r="J940" s="23"/>
      <c r="K940" s="220">
        <f t="shared" si="131"/>
        <v>14017</v>
      </c>
      <c r="L940" s="259"/>
      <c r="M940" s="227"/>
      <c r="N940" s="23"/>
      <c r="O940" s="220">
        <f t="shared" si="132"/>
        <v>0</v>
      </c>
      <c r="P940" s="259"/>
      <c r="Q940" s="308">
        <f t="shared" si="136"/>
        <v>14017</v>
      </c>
      <c r="R940" s="92">
        <f t="shared" si="133"/>
        <v>0</v>
      </c>
      <c r="S940" s="92">
        <f t="shared" si="134"/>
        <v>14017</v>
      </c>
    </row>
    <row r="941" spans="2:19" x14ac:dyDescent="0.2">
      <c r="B941" s="88">
        <f t="shared" si="135"/>
        <v>223</v>
      </c>
      <c r="C941" s="10"/>
      <c r="D941" s="10"/>
      <c r="E941" s="10"/>
      <c r="F941" s="29" t="s">
        <v>118</v>
      </c>
      <c r="G941" s="10">
        <v>640</v>
      </c>
      <c r="H941" s="10" t="s">
        <v>141</v>
      </c>
      <c r="I941" s="27">
        <v>578</v>
      </c>
      <c r="J941" s="27"/>
      <c r="K941" s="250">
        <f t="shared" si="131"/>
        <v>578</v>
      </c>
      <c r="L941" s="259"/>
      <c r="M941" s="315"/>
      <c r="N941" s="27"/>
      <c r="O941" s="250">
        <f t="shared" si="132"/>
        <v>0</v>
      </c>
      <c r="P941" s="259"/>
      <c r="Q941" s="309">
        <f t="shared" si="136"/>
        <v>578</v>
      </c>
      <c r="R941" s="91">
        <f t="shared" si="133"/>
        <v>0</v>
      </c>
      <c r="S941" s="91">
        <f t="shared" si="134"/>
        <v>578</v>
      </c>
    </row>
    <row r="942" spans="2:19" x14ac:dyDescent="0.2">
      <c r="B942" s="88">
        <f t="shared" si="135"/>
        <v>224</v>
      </c>
      <c r="C942" s="10"/>
      <c r="D942" s="10"/>
      <c r="E942" s="10"/>
      <c r="F942" s="29"/>
      <c r="G942" s="10">
        <v>630</v>
      </c>
      <c r="H942" s="10" t="s">
        <v>594</v>
      </c>
      <c r="I942" s="27">
        <v>17277</v>
      </c>
      <c r="J942" s="27"/>
      <c r="K942" s="250">
        <f t="shared" si="131"/>
        <v>17277</v>
      </c>
      <c r="L942" s="259"/>
      <c r="M942" s="315"/>
      <c r="N942" s="27"/>
      <c r="O942" s="250">
        <f t="shared" si="132"/>
        <v>0</v>
      </c>
      <c r="P942" s="259"/>
      <c r="Q942" s="309">
        <f t="shared" si="136"/>
        <v>17277</v>
      </c>
      <c r="R942" s="91">
        <f t="shared" si="133"/>
        <v>0</v>
      </c>
      <c r="S942" s="91">
        <f t="shared" si="134"/>
        <v>17277</v>
      </c>
    </row>
    <row r="943" spans="2:19" ht="15" x14ac:dyDescent="0.25">
      <c r="B943" s="88">
        <f t="shared" si="135"/>
        <v>225</v>
      </c>
      <c r="C943" s="13"/>
      <c r="D943" s="13"/>
      <c r="E943" s="13">
        <v>7</v>
      </c>
      <c r="F943" s="32"/>
      <c r="G943" s="13"/>
      <c r="H943" s="13" t="s">
        <v>13</v>
      </c>
      <c r="I943" s="42">
        <f>I944+I945+I946+I953+I954+I955+I956+I962+I963</f>
        <v>1142955</v>
      </c>
      <c r="J943" s="42">
        <f>J944+J945+J946+J953+J954+J955+J956+J962+J963</f>
        <v>3865</v>
      </c>
      <c r="K943" s="255">
        <f t="shared" si="131"/>
        <v>1146820</v>
      </c>
      <c r="L943" s="259"/>
      <c r="M943" s="317">
        <f>M964</f>
        <v>38729</v>
      </c>
      <c r="N943" s="42">
        <f t="shared" ref="N943" si="137">N964</f>
        <v>0</v>
      </c>
      <c r="O943" s="255">
        <f t="shared" si="132"/>
        <v>38729</v>
      </c>
      <c r="P943" s="259"/>
      <c r="Q943" s="312">
        <f t="shared" si="136"/>
        <v>1181684</v>
      </c>
      <c r="R943" s="99">
        <f t="shared" si="133"/>
        <v>3865</v>
      </c>
      <c r="S943" s="99">
        <f t="shared" si="134"/>
        <v>1185549</v>
      </c>
    </row>
    <row r="944" spans="2:19" x14ac:dyDescent="0.2">
      <c r="B944" s="88">
        <f t="shared" si="135"/>
        <v>226</v>
      </c>
      <c r="C944" s="10"/>
      <c r="D944" s="10"/>
      <c r="E944" s="10"/>
      <c r="F944" s="29" t="s">
        <v>131</v>
      </c>
      <c r="G944" s="10">
        <v>610</v>
      </c>
      <c r="H944" s="10" t="s">
        <v>143</v>
      </c>
      <c r="I944" s="27">
        <f>284709+8415-12472-8415</f>
        <v>272237</v>
      </c>
      <c r="J944" s="27">
        <v>1950</v>
      </c>
      <c r="K944" s="250">
        <f t="shared" si="131"/>
        <v>274187</v>
      </c>
      <c r="L944" s="259"/>
      <c r="M944" s="315"/>
      <c r="N944" s="27"/>
      <c r="O944" s="250">
        <f t="shared" si="132"/>
        <v>0</v>
      </c>
      <c r="P944" s="259"/>
      <c r="Q944" s="309">
        <f t="shared" si="136"/>
        <v>272237</v>
      </c>
      <c r="R944" s="91">
        <f t="shared" si="133"/>
        <v>1950</v>
      </c>
      <c r="S944" s="91">
        <f t="shared" si="134"/>
        <v>274187</v>
      </c>
    </row>
    <row r="945" spans="2:19" x14ac:dyDescent="0.2">
      <c r="B945" s="88">
        <f t="shared" si="135"/>
        <v>227</v>
      </c>
      <c r="C945" s="10"/>
      <c r="D945" s="10"/>
      <c r="E945" s="10"/>
      <c r="F945" s="29" t="s">
        <v>131</v>
      </c>
      <c r="G945" s="10">
        <v>620</v>
      </c>
      <c r="H945" s="10" t="s">
        <v>136</v>
      </c>
      <c r="I945" s="27">
        <f>100216+2962-4391-2962</f>
        <v>95825</v>
      </c>
      <c r="J945" s="27">
        <v>700</v>
      </c>
      <c r="K945" s="250">
        <f t="shared" si="131"/>
        <v>96525</v>
      </c>
      <c r="L945" s="259"/>
      <c r="M945" s="315"/>
      <c r="N945" s="27"/>
      <c r="O945" s="250">
        <f t="shared" si="132"/>
        <v>0</v>
      </c>
      <c r="P945" s="259"/>
      <c r="Q945" s="309">
        <f t="shared" si="136"/>
        <v>95825</v>
      </c>
      <c r="R945" s="91">
        <f t="shared" si="133"/>
        <v>700</v>
      </c>
      <c r="S945" s="91">
        <f t="shared" si="134"/>
        <v>96525</v>
      </c>
    </row>
    <row r="946" spans="2:19" x14ac:dyDescent="0.2">
      <c r="B946" s="88">
        <f t="shared" si="135"/>
        <v>228</v>
      </c>
      <c r="C946" s="10"/>
      <c r="D946" s="10"/>
      <c r="E946" s="10"/>
      <c r="F946" s="29" t="s">
        <v>131</v>
      </c>
      <c r="G946" s="10">
        <v>630</v>
      </c>
      <c r="H946" s="10" t="s">
        <v>133</v>
      </c>
      <c r="I946" s="27">
        <f>SUM(I947:I952)</f>
        <v>57803</v>
      </c>
      <c r="J946" s="27">
        <f>SUM(J947:J952)</f>
        <v>1215</v>
      </c>
      <c r="K946" s="250">
        <f t="shared" si="131"/>
        <v>59018</v>
      </c>
      <c r="L946" s="259"/>
      <c r="M946" s="315"/>
      <c r="N946" s="27"/>
      <c r="O946" s="250">
        <f t="shared" si="132"/>
        <v>0</v>
      </c>
      <c r="P946" s="259"/>
      <c r="Q946" s="309">
        <f t="shared" si="136"/>
        <v>57803</v>
      </c>
      <c r="R946" s="91">
        <f t="shared" si="133"/>
        <v>1215</v>
      </c>
      <c r="S946" s="91">
        <f t="shared" si="134"/>
        <v>59018</v>
      </c>
    </row>
    <row r="947" spans="2:19" x14ac:dyDescent="0.2">
      <c r="B947" s="88">
        <f t="shared" si="135"/>
        <v>229</v>
      </c>
      <c r="C947" s="4"/>
      <c r="D947" s="4"/>
      <c r="E947" s="4"/>
      <c r="F947" s="30" t="s">
        <v>131</v>
      </c>
      <c r="G947" s="4">
        <v>631</v>
      </c>
      <c r="H947" s="4" t="s">
        <v>139</v>
      </c>
      <c r="I947" s="23">
        <v>113</v>
      </c>
      <c r="J947" s="23"/>
      <c r="K947" s="220">
        <f t="shared" si="131"/>
        <v>113</v>
      </c>
      <c r="L947" s="259"/>
      <c r="M947" s="227"/>
      <c r="N947" s="23"/>
      <c r="O947" s="220">
        <f t="shared" si="132"/>
        <v>0</v>
      </c>
      <c r="P947" s="259"/>
      <c r="Q947" s="308">
        <f t="shared" si="136"/>
        <v>113</v>
      </c>
      <c r="R947" s="92">
        <f t="shared" si="133"/>
        <v>0</v>
      </c>
      <c r="S947" s="92">
        <f t="shared" si="134"/>
        <v>113</v>
      </c>
    </row>
    <row r="948" spans="2:19" x14ac:dyDescent="0.2">
      <c r="B948" s="88">
        <f t="shared" si="135"/>
        <v>230</v>
      </c>
      <c r="C948" s="4"/>
      <c r="D948" s="4"/>
      <c r="E948" s="4"/>
      <c r="F948" s="30" t="s">
        <v>131</v>
      </c>
      <c r="G948" s="4">
        <v>632</v>
      </c>
      <c r="H948" s="4" t="s">
        <v>146</v>
      </c>
      <c r="I948" s="23">
        <v>16863</v>
      </c>
      <c r="J948" s="23"/>
      <c r="K948" s="220">
        <f t="shared" si="131"/>
        <v>16863</v>
      </c>
      <c r="L948" s="259"/>
      <c r="M948" s="227"/>
      <c r="N948" s="23"/>
      <c r="O948" s="220">
        <f t="shared" si="132"/>
        <v>0</v>
      </c>
      <c r="P948" s="259"/>
      <c r="Q948" s="308">
        <f t="shared" si="136"/>
        <v>16863</v>
      </c>
      <c r="R948" s="92">
        <f t="shared" si="133"/>
        <v>0</v>
      </c>
      <c r="S948" s="92">
        <f t="shared" si="134"/>
        <v>16863</v>
      </c>
    </row>
    <row r="949" spans="2:19" x14ac:dyDescent="0.2">
      <c r="B949" s="88">
        <f t="shared" si="135"/>
        <v>231</v>
      </c>
      <c r="C949" s="4"/>
      <c r="D949" s="4"/>
      <c r="E949" s="4"/>
      <c r="F949" s="30" t="s">
        <v>131</v>
      </c>
      <c r="G949" s="4">
        <v>633</v>
      </c>
      <c r="H949" s="4" t="s">
        <v>137</v>
      </c>
      <c r="I949" s="23">
        <f>19794-10000</f>
        <v>9794</v>
      </c>
      <c r="J949" s="23"/>
      <c r="K949" s="220">
        <f t="shared" si="131"/>
        <v>9794</v>
      </c>
      <c r="L949" s="259"/>
      <c r="M949" s="227"/>
      <c r="N949" s="23"/>
      <c r="O949" s="220">
        <f t="shared" si="132"/>
        <v>0</v>
      </c>
      <c r="P949" s="259"/>
      <c r="Q949" s="308">
        <f t="shared" si="136"/>
        <v>9794</v>
      </c>
      <c r="R949" s="92">
        <f t="shared" si="133"/>
        <v>0</v>
      </c>
      <c r="S949" s="92">
        <f t="shared" si="134"/>
        <v>9794</v>
      </c>
    </row>
    <row r="950" spans="2:19" x14ac:dyDescent="0.2">
      <c r="B950" s="88">
        <f t="shared" si="135"/>
        <v>232</v>
      </c>
      <c r="C950" s="4"/>
      <c r="D950" s="4"/>
      <c r="E950" s="4"/>
      <c r="F950" s="30" t="s">
        <v>131</v>
      </c>
      <c r="G950" s="4">
        <v>634</v>
      </c>
      <c r="H950" s="4" t="s">
        <v>144</v>
      </c>
      <c r="I950" s="23">
        <v>0</v>
      </c>
      <c r="J950" s="23">
        <v>1215</v>
      </c>
      <c r="K950" s="220">
        <f t="shared" ref="K950" si="138">I950+J950</f>
        <v>1215</v>
      </c>
      <c r="L950" s="259"/>
      <c r="M950" s="227"/>
      <c r="N950" s="23"/>
      <c r="O950" s="220">
        <f t="shared" ref="O950" si="139">M950+N950</f>
        <v>0</v>
      </c>
      <c r="P950" s="259"/>
      <c r="Q950" s="308">
        <f t="shared" ref="Q950" si="140">I950+M950</f>
        <v>0</v>
      </c>
      <c r="R950" s="92">
        <f t="shared" ref="R950" si="141">J950+N950</f>
        <v>1215</v>
      </c>
      <c r="S950" s="92">
        <f t="shared" ref="S950" si="142">K950+O950</f>
        <v>1215</v>
      </c>
    </row>
    <row r="951" spans="2:19" x14ac:dyDescent="0.2">
      <c r="B951" s="88">
        <f t="shared" si="135"/>
        <v>233</v>
      </c>
      <c r="C951" s="4"/>
      <c r="D951" s="4"/>
      <c r="E951" s="4"/>
      <c r="F951" s="30" t="s">
        <v>131</v>
      </c>
      <c r="G951" s="4">
        <v>635</v>
      </c>
      <c r="H951" s="4" t="s">
        <v>145</v>
      </c>
      <c r="I951" s="23">
        <f>10350+5000</f>
        <v>15350</v>
      </c>
      <c r="J951" s="23"/>
      <c r="K951" s="220">
        <f t="shared" si="131"/>
        <v>15350</v>
      </c>
      <c r="L951" s="259"/>
      <c r="M951" s="227"/>
      <c r="N951" s="23"/>
      <c r="O951" s="220">
        <f t="shared" si="132"/>
        <v>0</v>
      </c>
      <c r="P951" s="259"/>
      <c r="Q951" s="308">
        <f t="shared" si="136"/>
        <v>15350</v>
      </c>
      <c r="R951" s="92">
        <f t="shared" si="133"/>
        <v>0</v>
      </c>
      <c r="S951" s="92">
        <f t="shared" si="134"/>
        <v>15350</v>
      </c>
    </row>
    <row r="952" spans="2:19" x14ac:dyDescent="0.2">
      <c r="B952" s="88">
        <f t="shared" si="135"/>
        <v>234</v>
      </c>
      <c r="C952" s="4"/>
      <c r="D952" s="4"/>
      <c r="E952" s="4"/>
      <c r="F952" s="30" t="s">
        <v>131</v>
      </c>
      <c r="G952" s="4">
        <v>637</v>
      </c>
      <c r="H952" s="4" t="s">
        <v>134</v>
      </c>
      <c r="I952" s="23">
        <f>25950-10267</f>
        <v>15683</v>
      </c>
      <c r="J952" s="23"/>
      <c r="K952" s="220">
        <f t="shared" si="131"/>
        <v>15683</v>
      </c>
      <c r="L952" s="259"/>
      <c r="M952" s="227"/>
      <c r="N952" s="23"/>
      <c r="O952" s="220">
        <f t="shared" si="132"/>
        <v>0</v>
      </c>
      <c r="P952" s="259"/>
      <c r="Q952" s="308">
        <f t="shared" si="136"/>
        <v>15683</v>
      </c>
      <c r="R952" s="92">
        <f t="shared" si="133"/>
        <v>0</v>
      </c>
      <c r="S952" s="92">
        <f t="shared" si="134"/>
        <v>15683</v>
      </c>
    </row>
    <row r="953" spans="2:19" x14ac:dyDescent="0.2">
      <c r="B953" s="88">
        <f t="shared" si="135"/>
        <v>235</v>
      </c>
      <c r="C953" s="10"/>
      <c r="D953" s="10"/>
      <c r="E953" s="10"/>
      <c r="F953" s="29" t="s">
        <v>131</v>
      </c>
      <c r="G953" s="10">
        <v>640</v>
      </c>
      <c r="H953" s="10" t="s">
        <v>141</v>
      </c>
      <c r="I953" s="27">
        <v>1351</v>
      </c>
      <c r="J953" s="27"/>
      <c r="K953" s="250">
        <f t="shared" si="131"/>
        <v>1351</v>
      </c>
      <c r="L953" s="259"/>
      <c r="M953" s="315"/>
      <c r="N953" s="27"/>
      <c r="O953" s="250">
        <f t="shared" si="132"/>
        <v>0</v>
      </c>
      <c r="P953" s="259"/>
      <c r="Q953" s="309">
        <f t="shared" si="136"/>
        <v>1351</v>
      </c>
      <c r="R953" s="91">
        <f t="shared" si="133"/>
        <v>0</v>
      </c>
      <c r="S953" s="91">
        <f t="shared" si="134"/>
        <v>1351</v>
      </c>
    </row>
    <row r="954" spans="2:19" x14ac:dyDescent="0.2">
      <c r="B954" s="88">
        <f t="shared" si="135"/>
        <v>236</v>
      </c>
      <c r="C954" s="10"/>
      <c r="D954" s="10"/>
      <c r="E954" s="10"/>
      <c r="F954" s="29" t="s">
        <v>118</v>
      </c>
      <c r="G954" s="10">
        <v>610</v>
      </c>
      <c r="H954" s="10" t="s">
        <v>143</v>
      </c>
      <c r="I954" s="27">
        <f>443722+8414+50+8415</f>
        <v>460601</v>
      </c>
      <c r="J954" s="27"/>
      <c r="K954" s="250">
        <f t="shared" si="131"/>
        <v>460601</v>
      </c>
      <c r="L954" s="259"/>
      <c r="M954" s="315"/>
      <c r="N954" s="27"/>
      <c r="O954" s="250">
        <f t="shared" si="132"/>
        <v>0</v>
      </c>
      <c r="P954" s="259"/>
      <c r="Q954" s="309">
        <f t="shared" si="136"/>
        <v>460601</v>
      </c>
      <c r="R954" s="91">
        <f t="shared" si="133"/>
        <v>0</v>
      </c>
      <c r="S954" s="91">
        <f t="shared" si="134"/>
        <v>460601</v>
      </c>
    </row>
    <row r="955" spans="2:19" x14ac:dyDescent="0.2">
      <c r="B955" s="88">
        <f t="shared" si="135"/>
        <v>237</v>
      </c>
      <c r="C955" s="10"/>
      <c r="D955" s="10"/>
      <c r="E955" s="10"/>
      <c r="F955" s="29" t="s">
        <v>118</v>
      </c>
      <c r="G955" s="10">
        <v>620</v>
      </c>
      <c r="H955" s="10" t="s">
        <v>136</v>
      </c>
      <c r="I955" s="27">
        <f>156192+2962+10+2962</f>
        <v>162126</v>
      </c>
      <c r="J955" s="27"/>
      <c r="K955" s="250">
        <f t="shared" si="131"/>
        <v>162126</v>
      </c>
      <c r="L955" s="259"/>
      <c r="M955" s="315"/>
      <c r="N955" s="27"/>
      <c r="O955" s="250">
        <f t="shared" si="132"/>
        <v>0</v>
      </c>
      <c r="P955" s="259"/>
      <c r="Q955" s="309">
        <f t="shared" si="136"/>
        <v>162126</v>
      </c>
      <c r="R955" s="91">
        <f t="shared" si="133"/>
        <v>0</v>
      </c>
      <c r="S955" s="91">
        <f t="shared" si="134"/>
        <v>162126</v>
      </c>
    </row>
    <row r="956" spans="2:19" x14ac:dyDescent="0.2">
      <c r="B956" s="88">
        <f t="shared" si="135"/>
        <v>238</v>
      </c>
      <c r="C956" s="10"/>
      <c r="D956" s="10"/>
      <c r="E956" s="10"/>
      <c r="F956" s="29" t="s">
        <v>118</v>
      </c>
      <c r="G956" s="10">
        <v>630</v>
      </c>
      <c r="H956" s="10" t="s">
        <v>133</v>
      </c>
      <c r="I956" s="27">
        <f>SUM(I957:I961)</f>
        <v>90334</v>
      </c>
      <c r="J956" s="27">
        <f>SUM(J957:J961)</f>
        <v>0</v>
      </c>
      <c r="K956" s="250">
        <f t="shared" si="131"/>
        <v>90334</v>
      </c>
      <c r="L956" s="259"/>
      <c r="M956" s="315"/>
      <c r="N956" s="27"/>
      <c r="O956" s="250">
        <f t="shared" si="132"/>
        <v>0</v>
      </c>
      <c r="P956" s="259"/>
      <c r="Q956" s="309">
        <f t="shared" si="136"/>
        <v>90334</v>
      </c>
      <c r="R956" s="91">
        <f t="shared" si="133"/>
        <v>0</v>
      </c>
      <c r="S956" s="91">
        <f t="shared" si="134"/>
        <v>90334</v>
      </c>
    </row>
    <row r="957" spans="2:19" x14ac:dyDescent="0.2">
      <c r="B957" s="88">
        <f t="shared" si="135"/>
        <v>239</v>
      </c>
      <c r="C957" s="4"/>
      <c r="D957" s="4"/>
      <c r="E957" s="4"/>
      <c r="F957" s="30" t="s">
        <v>118</v>
      </c>
      <c r="G957" s="4">
        <v>631</v>
      </c>
      <c r="H957" s="4" t="s">
        <v>139</v>
      </c>
      <c r="I957" s="23">
        <v>137</v>
      </c>
      <c r="J957" s="23"/>
      <c r="K957" s="220">
        <f t="shared" si="131"/>
        <v>137</v>
      </c>
      <c r="L957" s="259"/>
      <c r="M957" s="227"/>
      <c r="N957" s="23"/>
      <c r="O957" s="220">
        <f t="shared" si="132"/>
        <v>0</v>
      </c>
      <c r="P957" s="259"/>
      <c r="Q957" s="308">
        <f t="shared" si="136"/>
        <v>137</v>
      </c>
      <c r="R957" s="92">
        <f t="shared" si="133"/>
        <v>0</v>
      </c>
      <c r="S957" s="92">
        <f t="shared" si="134"/>
        <v>137</v>
      </c>
    </row>
    <row r="958" spans="2:19" x14ac:dyDescent="0.2">
      <c r="B958" s="88">
        <f t="shared" si="135"/>
        <v>240</v>
      </c>
      <c r="C958" s="4"/>
      <c r="D958" s="4"/>
      <c r="E958" s="4"/>
      <c r="F958" s="30" t="s">
        <v>118</v>
      </c>
      <c r="G958" s="4">
        <v>632</v>
      </c>
      <c r="H958" s="4" t="s">
        <v>146</v>
      </c>
      <c r="I958" s="23">
        <v>22415</v>
      </c>
      <c r="J958" s="23"/>
      <c r="K958" s="220">
        <f t="shared" si="131"/>
        <v>22415</v>
      </c>
      <c r="L958" s="259"/>
      <c r="M958" s="227"/>
      <c r="N958" s="23"/>
      <c r="O958" s="220">
        <f t="shared" si="132"/>
        <v>0</v>
      </c>
      <c r="P958" s="259"/>
      <c r="Q958" s="308">
        <f t="shared" si="136"/>
        <v>22415</v>
      </c>
      <c r="R958" s="92">
        <f t="shared" si="133"/>
        <v>0</v>
      </c>
      <c r="S958" s="92">
        <f t="shared" si="134"/>
        <v>22415</v>
      </c>
    </row>
    <row r="959" spans="2:19" x14ac:dyDescent="0.2">
      <c r="B959" s="88">
        <f t="shared" si="135"/>
        <v>241</v>
      </c>
      <c r="C959" s="4"/>
      <c r="D959" s="4"/>
      <c r="E959" s="4"/>
      <c r="F959" s="30" t="s">
        <v>118</v>
      </c>
      <c r="G959" s="4">
        <v>633</v>
      </c>
      <c r="H959" s="4" t="s">
        <v>137</v>
      </c>
      <c r="I959" s="23">
        <f>36552-10000</f>
        <v>26552</v>
      </c>
      <c r="J959" s="23"/>
      <c r="K959" s="220">
        <f t="shared" si="131"/>
        <v>26552</v>
      </c>
      <c r="L959" s="259"/>
      <c r="M959" s="227"/>
      <c r="N959" s="23"/>
      <c r="O959" s="220">
        <f t="shared" si="132"/>
        <v>0</v>
      </c>
      <c r="P959" s="259"/>
      <c r="Q959" s="308">
        <f t="shared" si="136"/>
        <v>26552</v>
      </c>
      <c r="R959" s="92">
        <f t="shared" si="133"/>
        <v>0</v>
      </c>
      <c r="S959" s="92">
        <f t="shared" si="134"/>
        <v>26552</v>
      </c>
    </row>
    <row r="960" spans="2:19" x14ac:dyDescent="0.2">
      <c r="B960" s="88">
        <f t="shared" si="135"/>
        <v>242</v>
      </c>
      <c r="C960" s="4"/>
      <c r="D960" s="4"/>
      <c r="E960" s="4"/>
      <c r="F960" s="30" t="s">
        <v>118</v>
      </c>
      <c r="G960" s="4">
        <v>635</v>
      </c>
      <c r="H960" s="4" t="s">
        <v>145</v>
      </c>
      <c r="I960" s="23">
        <f>13150+5000</f>
        <v>18150</v>
      </c>
      <c r="J960" s="23"/>
      <c r="K960" s="220">
        <f t="shared" si="131"/>
        <v>18150</v>
      </c>
      <c r="L960" s="259"/>
      <c r="M960" s="227"/>
      <c r="N960" s="23"/>
      <c r="O960" s="220">
        <f t="shared" si="132"/>
        <v>0</v>
      </c>
      <c r="P960" s="259"/>
      <c r="Q960" s="308">
        <f t="shared" si="136"/>
        <v>18150</v>
      </c>
      <c r="R960" s="92">
        <f t="shared" si="133"/>
        <v>0</v>
      </c>
      <c r="S960" s="92">
        <f t="shared" si="134"/>
        <v>18150</v>
      </c>
    </row>
    <row r="961" spans="2:19" x14ac:dyDescent="0.2">
      <c r="B961" s="88">
        <f t="shared" si="135"/>
        <v>243</v>
      </c>
      <c r="C961" s="4"/>
      <c r="D961" s="4"/>
      <c r="E961" s="4"/>
      <c r="F961" s="30" t="s">
        <v>118</v>
      </c>
      <c r="G961" s="4">
        <v>637</v>
      </c>
      <c r="H961" s="4" t="s">
        <v>134</v>
      </c>
      <c r="I961" s="23">
        <f>26080+2000-5000</f>
        <v>23080</v>
      </c>
      <c r="J961" s="23"/>
      <c r="K961" s="220">
        <f t="shared" si="131"/>
        <v>23080</v>
      </c>
      <c r="L961" s="259"/>
      <c r="M961" s="227"/>
      <c r="N961" s="23"/>
      <c r="O961" s="220">
        <f t="shared" si="132"/>
        <v>0</v>
      </c>
      <c r="P961" s="259"/>
      <c r="Q961" s="308">
        <f t="shared" si="136"/>
        <v>23080</v>
      </c>
      <c r="R961" s="92">
        <f t="shared" si="133"/>
        <v>0</v>
      </c>
      <c r="S961" s="92">
        <f t="shared" si="134"/>
        <v>23080</v>
      </c>
    </row>
    <row r="962" spans="2:19" x14ac:dyDescent="0.2">
      <c r="B962" s="88">
        <f t="shared" si="135"/>
        <v>244</v>
      </c>
      <c r="C962" s="10"/>
      <c r="D962" s="10"/>
      <c r="E962" s="10"/>
      <c r="F962" s="29" t="s">
        <v>118</v>
      </c>
      <c r="G962" s="10">
        <v>640</v>
      </c>
      <c r="H962" s="10" t="s">
        <v>141</v>
      </c>
      <c r="I962" s="27">
        <v>1649</v>
      </c>
      <c r="J962" s="27"/>
      <c r="K962" s="250">
        <f t="shared" si="131"/>
        <v>1649</v>
      </c>
      <c r="L962" s="259"/>
      <c r="M962" s="315"/>
      <c r="N962" s="27"/>
      <c r="O962" s="250">
        <f t="shared" si="132"/>
        <v>0</v>
      </c>
      <c r="P962" s="259"/>
      <c r="Q962" s="309">
        <f t="shared" si="136"/>
        <v>1649</v>
      </c>
      <c r="R962" s="91">
        <f t="shared" si="133"/>
        <v>0</v>
      </c>
      <c r="S962" s="91">
        <f t="shared" si="134"/>
        <v>1649</v>
      </c>
    </row>
    <row r="963" spans="2:19" x14ac:dyDescent="0.2">
      <c r="B963" s="88">
        <f t="shared" si="135"/>
        <v>245</v>
      </c>
      <c r="C963" s="10"/>
      <c r="D963" s="10"/>
      <c r="E963" s="10"/>
      <c r="F963" s="29"/>
      <c r="G963" s="10">
        <v>630</v>
      </c>
      <c r="H963" s="10" t="s">
        <v>594</v>
      </c>
      <c r="I963" s="27">
        <v>1029</v>
      </c>
      <c r="J963" s="27"/>
      <c r="K963" s="250">
        <f t="shared" si="131"/>
        <v>1029</v>
      </c>
      <c r="L963" s="259"/>
      <c r="M963" s="315"/>
      <c r="N963" s="27"/>
      <c r="O963" s="250">
        <f t="shared" si="132"/>
        <v>0</v>
      </c>
      <c r="P963" s="259"/>
      <c r="Q963" s="309">
        <f t="shared" si="136"/>
        <v>1029</v>
      </c>
      <c r="R963" s="91">
        <f t="shared" si="133"/>
        <v>0</v>
      </c>
      <c r="S963" s="91">
        <f t="shared" si="134"/>
        <v>1029</v>
      </c>
    </row>
    <row r="964" spans="2:19" x14ac:dyDescent="0.2">
      <c r="B964" s="88">
        <f t="shared" si="135"/>
        <v>246</v>
      </c>
      <c r="C964" s="10"/>
      <c r="D964" s="10"/>
      <c r="E964" s="10"/>
      <c r="F964" s="29" t="s">
        <v>118</v>
      </c>
      <c r="G964" s="10">
        <v>710</v>
      </c>
      <c r="H964" s="10" t="s">
        <v>188</v>
      </c>
      <c r="I964" s="27"/>
      <c r="J964" s="27"/>
      <c r="K964" s="250">
        <f t="shared" si="131"/>
        <v>0</v>
      </c>
      <c r="L964" s="259"/>
      <c r="M964" s="315">
        <f>M965</f>
        <v>38729</v>
      </c>
      <c r="N964" s="27">
        <f t="shared" ref="N964:N965" si="143">N965</f>
        <v>0</v>
      </c>
      <c r="O964" s="250">
        <f t="shared" si="132"/>
        <v>38729</v>
      </c>
      <c r="P964" s="259"/>
      <c r="Q964" s="309">
        <f t="shared" si="136"/>
        <v>38729</v>
      </c>
      <c r="R964" s="91">
        <f t="shared" si="133"/>
        <v>0</v>
      </c>
      <c r="S964" s="91">
        <f t="shared" si="134"/>
        <v>38729</v>
      </c>
    </row>
    <row r="965" spans="2:19" x14ac:dyDescent="0.2">
      <c r="B965" s="88">
        <f t="shared" si="135"/>
        <v>247</v>
      </c>
      <c r="C965" s="4"/>
      <c r="D965" s="4"/>
      <c r="E965" s="4"/>
      <c r="F965" s="30" t="s">
        <v>118</v>
      </c>
      <c r="G965" s="4">
        <v>716</v>
      </c>
      <c r="H965" s="4" t="s">
        <v>232</v>
      </c>
      <c r="I965" s="23"/>
      <c r="J965" s="23"/>
      <c r="K965" s="220">
        <f t="shared" si="131"/>
        <v>0</v>
      </c>
      <c r="L965" s="259"/>
      <c r="M965" s="227">
        <f>M966</f>
        <v>38729</v>
      </c>
      <c r="N965" s="23">
        <f t="shared" si="143"/>
        <v>0</v>
      </c>
      <c r="O965" s="220">
        <f t="shared" si="132"/>
        <v>38729</v>
      </c>
      <c r="P965" s="259"/>
      <c r="Q965" s="308">
        <f t="shared" si="136"/>
        <v>38729</v>
      </c>
      <c r="R965" s="92">
        <f t="shared" si="133"/>
        <v>0</v>
      </c>
      <c r="S965" s="92">
        <f t="shared" si="134"/>
        <v>38729</v>
      </c>
    </row>
    <row r="966" spans="2:19" x14ac:dyDescent="0.2">
      <c r="B966" s="88">
        <f t="shared" si="135"/>
        <v>248</v>
      </c>
      <c r="C966" s="5"/>
      <c r="D966" s="5"/>
      <c r="E966" s="5"/>
      <c r="F966" s="31"/>
      <c r="G966" s="5"/>
      <c r="H966" s="5" t="s">
        <v>426</v>
      </c>
      <c r="I966" s="25"/>
      <c r="J966" s="25"/>
      <c r="K966" s="251">
        <f t="shared" si="131"/>
        <v>0</v>
      </c>
      <c r="L966" s="259"/>
      <c r="M966" s="337">
        <f>50160-227-11204</f>
        <v>38729</v>
      </c>
      <c r="N966" s="25"/>
      <c r="O966" s="251">
        <f t="shared" si="132"/>
        <v>38729</v>
      </c>
      <c r="P966" s="259"/>
      <c r="Q966" s="332">
        <f t="shared" si="136"/>
        <v>38729</v>
      </c>
      <c r="R966" s="93">
        <f t="shared" si="133"/>
        <v>0</v>
      </c>
      <c r="S966" s="93">
        <f t="shared" si="134"/>
        <v>38729</v>
      </c>
    </row>
    <row r="967" spans="2:19" ht="15" x14ac:dyDescent="0.25">
      <c r="B967" s="88">
        <f t="shared" si="135"/>
        <v>249</v>
      </c>
      <c r="C967" s="13"/>
      <c r="D967" s="13"/>
      <c r="E967" s="13">
        <v>8</v>
      </c>
      <c r="F967" s="32"/>
      <c r="G967" s="13"/>
      <c r="H967" s="13" t="s">
        <v>10</v>
      </c>
      <c r="I967" s="42">
        <f>I968+I969+I970+I978+I979+I980+I987+I977</f>
        <v>1613602</v>
      </c>
      <c r="J967" s="42">
        <f>J968+J969+J970+J978+J979+J980+J987+J977</f>
        <v>0</v>
      </c>
      <c r="K967" s="255">
        <f t="shared" si="131"/>
        <v>1613602</v>
      </c>
      <c r="L967" s="259"/>
      <c r="M967" s="317">
        <v>0</v>
      </c>
      <c r="N967" s="42"/>
      <c r="O967" s="255">
        <f t="shared" si="132"/>
        <v>0</v>
      </c>
      <c r="P967" s="259"/>
      <c r="Q967" s="312">
        <f t="shared" si="136"/>
        <v>1613602</v>
      </c>
      <c r="R967" s="99">
        <f t="shared" si="133"/>
        <v>0</v>
      </c>
      <c r="S967" s="99">
        <f t="shared" si="134"/>
        <v>1613602</v>
      </c>
    </row>
    <row r="968" spans="2:19" x14ac:dyDescent="0.2">
      <c r="B968" s="88">
        <f t="shared" si="135"/>
        <v>250</v>
      </c>
      <c r="C968" s="10"/>
      <c r="D968" s="10"/>
      <c r="E968" s="10"/>
      <c r="F968" s="29" t="s">
        <v>131</v>
      </c>
      <c r="G968" s="10">
        <v>610</v>
      </c>
      <c r="H968" s="10" t="s">
        <v>143</v>
      </c>
      <c r="I968" s="27">
        <f>383230+1066+7280-43990-8346</f>
        <v>339240</v>
      </c>
      <c r="J968" s="27"/>
      <c r="K968" s="250">
        <f t="shared" si="131"/>
        <v>339240</v>
      </c>
      <c r="L968" s="259"/>
      <c r="M968" s="315"/>
      <c r="N968" s="27"/>
      <c r="O968" s="250">
        <f t="shared" si="132"/>
        <v>0</v>
      </c>
      <c r="P968" s="259"/>
      <c r="Q968" s="309">
        <f t="shared" si="136"/>
        <v>339240</v>
      </c>
      <c r="R968" s="91">
        <f t="shared" si="133"/>
        <v>0</v>
      </c>
      <c r="S968" s="91">
        <f t="shared" si="134"/>
        <v>339240</v>
      </c>
    </row>
    <row r="969" spans="2:19" x14ac:dyDescent="0.2">
      <c r="B969" s="88">
        <f t="shared" si="135"/>
        <v>251</v>
      </c>
      <c r="C969" s="10"/>
      <c r="D969" s="10"/>
      <c r="E969" s="10"/>
      <c r="F969" s="29" t="s">
        <v>131</v>
      </c>
      <c r="G969" s="10">
        <v>620</v>
      </c>
      <c r="H969" s="10" t="s">
        <v>136</v>
      </c>
      <c r="I969" s="27">
        <f>134082+373+2548-15396-2921</f>
        <v>118686</v>
      </c>
      <c r="J969" s="27"/>
      <c r="K969" s="250">
        <f t="shared" si="131"/>
        <v>118686</v>
      </c>
      <c r="L969" s="259"/>
      <c r="M969" s="315"/>
      <c r="N969" s="27"/>
      <c r="O969" s="250">
        <f t="shared" si="132"/>
        <v>0</v>
      </c>
      <c r="P969" s="259"/>
      <c r="Q969" s="309">
        <f t="shared" si="136"/>
        <v>118686</v>
      </c>
      <c r="R969" s="91">
        <f t="shared" si="133"/>
        <v>0</v>
      </c>
      <c r="S969" s="91">
        <f t="shared" si="134"/>
        <v>118686</v>
      </c>
    </row>
    <row r="970" spans="2:19" x14ac:dyDescent="0.2">
      <c r="B970" s="88">
        <f t="shared" si="135"/>
        <v>252</v>
      </c>
      <c r="C970" s="10"/>
      <c r="D970" s="10"/>
      <c r="E970" s="10"/>
      <c r="F970" s="29" t="s">
        <v>131</v>
      </c>
      <c r="G970" s="10">
        <v>630</v>
      </c>
      <c r="H970" s="10" t="s">
        <v>133</v>
      </c>
      <c r="I970" s="27">
        <f>SUM(I971:I976)</f>
        <v>78265</v>
      </c>
      <c r="J970" s="27">
        <f>SUM(J971:J976)</f>
        <v>0</v>
      </c>
      <c r="K970" s="250">
        <f t="shared" si="131"/>
        <v>78265</v>
      </c>
      <c r="L970" s="259"/>
      <c r="M970" s="315"/>
      <c r="N970" s="27"/>
      <c r="O970" s="250">
        <f t="shared" si="132"/>
        <v>0</v>
      </c>
      <c r="P970" s="259"/>
      <c r="Q970" s="309">
        <f t="shared" si="136"/>
        <v>78265</v>
      </c>
      <c r="R970" s="91">
        <f t="shared" si="133"/>
        <v>0</v>
      </c>
      <c r="S970" s="91">
        <f t="shared" si="134"/>
        <v>78265</v>
      </c>
    </row>
    <row r="971" spans="2:19" x14ac:dyDescent="0.2">
      <c r="B971" s="88">
        <f t="shared" si="135"/>
        <v>253</v>
      </c>
      <c r="C971" s="4"/>
      <c r="D971" s="4"/>
      <c r="E971" s="4"/>
      <c r="F971" s="30" t="s">
        <v>131</v>
      </c>
      <c r="G971" s="4">
        <v>631</v>
      </c>
      <c r="H971" s="4" t="s">
        <v>139</v>
      </c>
      <c r="I971" s="23">
        <v>20</v>
      </c>
      <c r="J971" s="23"/>
      <c r="K971" s="220">
        <f t="shared" si="131"/>
        <v>20</v>
      </c>
      <c r="L971" s="259"/>
      <c r="M971" s="227"/>
      <c r="N971" s="23"/>
      <c r="O971" s="220">
        <f t="shared" si="132"/>
        <v>0</v>
      </c>
      <c r="P971" s="259"/>
      <c r="Q971" s="308">
        <f t="shared" si="136"/>
        <v>20</v>
      </c>
      <c r="R971" s="92">
        <f t="shared" si="133"/>
        <v>0</v>
      </c>
      <c r="S971" s="92">
        <f t="shared" si="134"/>
        <v>20</v>
      </c>
    </row>
    <row r="972" spans="2:19" x14ac:dyDescent="0.2">
      <c r="B972" s="88">
        <f t="shared" si="135"/>
        <v>254</v>
      </c>
      <c r="C972" s="4"/>
      <c r="D972" s="4"/>
      <c r="E972" s="4"/>
      <c r="F972" s="30" t="s">
        <v>131</v>
      </c>
      <c r="G972" s="4">
        <v>632</v>
      </c>
      <c r="H972" s="4" t="s">
        <v>146</v>
      </c>
      <c r="I972" s="23">
        <f>44390-7978</f>
        <v>36412</v>
      </c>
      <c r="J972" s="23"/>
      <c r="K972" s="220">
        <f t="shared" si="131"/>
        <v>36412</v>
      </c>
      <c r="L972" s="259"/>
      <c r="M972" s="227"/>
      <c r="N972" s="23"/>
      <c r="O972" s="220">
        <f t="shared" si="132"/>
        <v>0</v>
      </c>
      <c r="P972" s="259"/>
      <c r="Q972" s="308">
        <f t="shared" si="136"/>
        <v>36412</v>
      </c>
      <c r="R972" s="92">
        <f t="shared" si="133"/>
        <v>0</v>
      </c>
      <c r="S972" s="92">
        <f t="shared" si="134"/>
        <v>36412</v>
      </c>
    </row>
    <row r="973" spans="2:19" x14ac:dyDescent="0.2">
      <c r="B973" s="88">
        <f t="shared" si="135"/>
        <v>255</v>
      </c>
      <c r="C973" s="4"/>
      <c r="D973" s="4"/>
      <c r="E973" s="4"/>
      <c r="F973" s="30" t="s">
        <v>131</v>
      </c>
      <c r="G973" s="4">
        <v>633</v>
      </c>
      <c r="H973" s="4" t="s">
        <v>137</v>
      </c>
      <c r="I973" s="23">
        <v>10583</v>
      </c>
      <c r="J973" s="23"/>
      <c r="K973" s="220">
        <f t="shared" si="131"/>
        <v>10583</v>
      </c>
      <c r="L973" s="259"/>
      <c r="M973" s="227"/>
      <c r="N973" s="23"/>
      <c r="O973" s="220">
        <f t="shared" si="132"/>
        <v>0</v>
      </c>
      <c r="P973" s="259"/>
      <c r="Q973" s="308">
        <f t="shared" si="136"/>
        <v>10583</v>
      </c>
      <c r="R973" s="92">
        <f t="shared" si="133"/>
        <v>0</v>
      </c>
      <c r="S973" s="92">
        <f t="shared" si="134"/>
        <v>10583</v>
      </c>
    </row>
    <row r="974" spans="2:19" x14ac:dyDescent="0.2">
      <c r="B974" s="88">
        <f t="shared" si="135"/>
        <v>256</v>
      </c>
      <c r="C974" s="4"/>
      <c r="D974" s="4"/>
      <c r="E974" s="4"/>
      <c r="F974" s="30" t="s">
        <v>131</v>
      </c>
      <c r="G974" s="4">
        <v>635</v>
      </c>
      <c r="H974" s="4" t="s">
        <v>145</v>
      </c>
      <c r="I974" s="23">
        <v>4010</v>
      </c>
      <c r="J974" s="23"/>
      <c r="K974" s="220">
        <f t="shared" si="131"/>
        <v>4010</v>
      </c>
      <c r="L974" s="259"/>
      <c r="M974" s="227"/>
      <c r="N974" s="23"/>
      <c r="O974" s="220">
        <f t="shared" si="132"/>
        <v>0</v>
      </c>
      <c r="P974" s="259"/>
      <c r="Q974" s="308">
        <f t="shared" si="136"/>
        <v>4010</v>
      </c>
      <c r="R974" s="92">
        <f t="shared" si="133"/>
        <v>0</v>
      </c>
      <c r="S974" s="92">
        <f t="shared" si="134"/>
        <v>4010</v>
      </c>
    </row>
    <row r="975" spans="2:19" x14ac:dyDescent="0.2">
      <c r="B975" s="88">
        <f t="shared" si="135"/>
        <v>257</v>
      </c>
      <c r="C975" s="4"/>
      <c r="D975" s="4"/>
      <c r="E975" s="4"/>
      <c r="F975" s="30" t="s">
        <v>131</v>
      </c>
      <c r="G975" s="4">
        <v>636</v>
      </c>
      <c r="H975" s="4" t="s">
        <v>138</v>
      </c>
      <c r="I975" s="23">
        <v>1400</v>
      </c>
      <c r="J975" s="23"/>
      <c r="K975" s="220">
        <f t="shared" si="131"/>
        <v>1400</v>
      </c>
      <c r="L975" s="259"/>
      <c r="M975" s="227"/>
      <c r="N975" s="23"/>
      <c r="O975" s="220">
        <f t="shared" si="132"/>
        <v>0</v>
      </c>
      <c r="P975" s="259"/>
      <c r="Q975" s="308">
        <f t="shared" si="136"/>
        <v>1400</v>
      </c>
      <c r="R975" s="92">
        <f t="shared" si="133"/>
        <v>0</v>
      </c>
      <c r="S975" s="92">
        <f t="shared" si="134"/>
        <v>1400</v>
      </c>
    </row>
    <row r="976" spans="2:19" x14ac:dyDescent="0.2">
      <c r="B976" s="88">
        <f t="shared" si="135"/>
        <v>258</v>
      </c>
      <c r="C976" s="4"/>
      <c r="D976" s="4"/>
      <c r="E976" s="4"/>
      <c r="F976" s="30" t="s">
        <v>131</v>
      </c>
      <c r="G976" s="4">
        <v>637</v>
      </c>
      <c r="H976" s="4" t="s">
        <v>134</v>
      </c>
      <c r="I976" s="23">
        <v>25840</v>
      </c>
      <c r="J976" s="23"/>
      <c r="K976" s="220">
        <f t="shared" si="131"/>
        <v>25840</v>
      </c>
      <c r="L976" s="259"/>
      <c r="M976" s="227"/>
      <c r="N976" s="23"/>
      <c r="O976" s="220">
        <f t="shared" si="132"/>
        <v>0</v>
      </c>
      <c r="P976" s="259"/>
      <c r="Q976" s="308">
        <f t="shared" si="136"/>
        <v>25840</v>
      </c>
      <c r="R976" s="92">
        <f t="shared" si="133"/>
        <v>0</v>
      </c>
      <c r="S976" s="92">
        <f t="shared" si="134"/>
        <v>25840</v>
      </c>
    </row>
    <row r="977" spans="2:19" x14ac:dyDescent="0.2">
      <c r="B977" s="88">
        <f t="shared" si="135"/>
        <v>259</v>
      </c>
      <c r="C977" s="4"/>
      <c r="D977" s="4"/>
      <c r="E977" s="4"/>
      <c r="F977" s="34" t="s">
        <v>131</v>
      </c>
      <c r="G977" s="3">
        <v>640</v>
      </c>
      <c r="H977" s="3" t="s">
        <v>141</v>
      </c>
      <c r="I977" s="22">
        <v>950</v>
      </c>
      <c r="J977" s="22"/>
      <c r="K977" s="219">
        <f t="shared" si="131"/>
        <v>950</v>
      </c>
      <c r="L977" s="259"/>
      <c r="M977" s="226"/>
      <c r="N977" s="22"/>
      <c r="O977" s="219">
        <f t="shared" si="132"/>
        <v>0</v>
      </c>
      <c r="P977" s="259"/>
      <c r="Q977" s="373">
        <f t="shared" si="136"/>
        <v>950</v>
      </c>
      <c r="R977" s="118">
        <f t="shared" si="133"/>
        <v>0</v>
      </c>
      <c r="S977" s="118">
        <f t="shared" si="134"/>
        <v>950</v>
      </c>
    </row>
    <row r="978" spans="2:19" x14ac:dyDescent="0.2">
      <c r="B978" s="88">
        <f t="shared" si="135"/>
        <v>260</v>
      </c>
      <c r="C978" s="10"/>
      <c r="D978" s="10"/>
      <c r="E978" s="10"/>
      <c r="F978" s="29" t="s">
        <v>118</v>
      </c>
      <c r="G978" s="10">
        <v>610</v>
      </c>
      <c r="H978" s="10" t="s">
        <v>143</v>
      </c>
      <c r="I978" s="27">
        <f>619412+1066+7280+50+8346</f>
        <v>636154</v>
      </c>
      <c r="J978" s="27"/>
      <c r="K978" s="250">
        <f t="shared" si="131"/>
        <v>636154</v>
      </c>
      <c r="L978" s="259"/>
      <c r="M978" s="315"/>
      <c r="N978" s="27"/>
      <c r="O978" s="250">
        <f t="shared" si="132"/>
        <v>0</v>
      </c>
      <c r="P978" s="259"/>
      <c r="Q978" s="309">
        <f t="shared" si="136"/>
        <v>636154</v>
      </c>
      <c r="R978" s="91">
        <f t="shared" si="133"/>
        <v>0</v>
      </c>
      <c r="S978" s="91">
        <f t="shared" si="134"/>
        <v>636154</v>
      </c>
    </row>
    <row r="979" spans="2:19" x14ac:dyDescent="0.2">
      <c r="B979" s="88">
        <f t="shared" si="135"/>
        <v>261</v>
      </c>
      <c r="C979" s="10"/>
      <c r="D979" s="10"/>
      <c r="E979" s="10"/>
      <c r="F979" s="29" t="s">
        <v>118</v>
      </c>
      <c r="G979" s="10">
        <v>620</v>
      </c>
      <c r="H979" s="10" t="s">
        <v>136</v>
      </c>
      <c r="I979" s="27">
        <f>216841+374+2548+10+2921</f>
        <v>222694</v>
      </c>
      <c r="J979" s="27"/>
      <c r="K979" s="250">
        <f t="shared" si="131"/>
        <v>222694</v>
      </c>
      <c r="L979" s="259"/>
      <c r="M979" s="315"/>
      <c r="N979" s="27"/>
      <c r="O979" s="250">
        <f t="shared" si="132"/>
        <v>0</v>
      </c>
      <c r="P979" s="259"/>
      <c r="Q979" s="309">
        <f t="shared" si="136"/>
        <v>222694</v>
      </c>
      <c r="R979" s="91">
        <f t="shared" si="133"/>
        <v>0</v>
      </c>
      <c r="S979" s="91">
        <f t="shared" si="134"/>
        <v>222694</v>
      </c>
    </row>
    <row r="980" spans="2:19" x14ac:dyDescent="0.2">
      <c r="B980" s="88">
        <f t="shared" si="135"/>
        <v>262</v>
      </c>
      <c r="C980" s="10"/>
      <c r="D980" s="10"/>
      <c r="E980" s="10"/>
      <c r="F980" s="29" t="s">
        <v>118</v>
      </c>
      <c r="G980" s="10">
        <v>630</v>
      </c>
      <c r="H980" s="10" t="s">
        <v>133</v>
      </c>
      <c r="I980" s="27">
        <f>SUM(I981:I986)</f>
        <v>209203</v>
      </c>
      <c r="J980" s="27">
        <f>SUM(J981:J986)</f>
        <v>0</v>
      </c>
      <c r="K980" s="250">
        <f t="shared" si="131"/>
        <v>209203</v>
      </c>
      <c r="L980" s="259"/>
      <c r="M980" s="315"/>
      <c r="N980" s="27"/>
      <c r="O980" s="250">
        <f t="shared" si="132"/>
        <v>0</v>
      </c>
      <c r="P980" s="259"/>
      <c r="Q980" s="309">
        <f t="shared" si="136"/>
        <v>209203</v>
      </c>
      <c r="R980" s="91">
        <f t="shared" si="133"/>
        <v>0</v>
      </c>
      <c r="S980" s="91">
        <f t="shared" si="134"/>
        <v>209203</v>
      </c>
    </row>
    <row r="981" spans="2:19" x14ac:dyDescent="0.2">
      <c r="B981" s="88">
        <f t="shared" si="135"/>
        <v>263</v>
      </c>
      <c r="C981" s="4"/>
      <c r="D981" s="4"/>
      <c r="E981" s="4"/>
      <c r="F981" s="30" t="s">
        <v>118</v>
      </c>
      <c r="G981" s="4">
        <v>631</v>
      </c>
      <c r="H981" s="4" t="s">
        <v>139</v>
      </c>
      <c r="I981" s="23">
        <v>30</v>
      </c>
      <c r="J981" s="23"/>
      <c r="K981" s="220">
        <f t="shared" si="131"/>
        <v>30</v>
      </c>
      <c r="L981" s="259"/>
      <c r="M981" s="227"/>
      <c r="N981" s="23"/>
      <c r="O981" s="220">
        <f t="shared" si="132"/>
        <v>0</v>
      </c>
      <c r="P981" s="259"/>
      <c r="Q981" s="308">
        <f t="shared" si="136"/>
        <v>30</v>
      </c>
      <c r="R981" s="92">
        <f t="shared" si="133"/>
        <v>0</v>
      </c>
      <c r="S981" s="92">
        <f t="shared" si="134"/>
        <v>30</v>
      </c>
    </row>
    <row r="982" spans="2:19" x14ac:dyDescent="0.2">
      <c r="B982" s="88">
        <f t="shared" si="135"/>
        <v>264</v>
      </c>
      <c r="C982" s="4"/>
      <c r="D982" s="4"/>
      <c r="E982" s="4"/>
      <c r="F982" s="30" t="s">
        <v>118</v>
      </c>
      <c r="G982" s="4">
        <v>632</v>
      </c>
      <c r="H982" s="4" t="s">
        <v>146</v>
      </c>
      <c r="I982" s="23">
        <v>82725</v>
      </c>
      <c r="J982" s="23"/>
      <c r="K982" s="220">
        <f t="shared" si="131"/>
        <v>82725</v>
      </c>
      <c r="L982" s="259"/>
      <c r="M982" s="227"/>
      <c r="N982" s="23"/>
      <c r="O982" s="220">
        <f t="shared" si="132"/>
        <v>0</v>
      </c>
      <c r="P982" s="259"/>
      <c r="Q982" s="308">
        <f t="shared" si="136"/>
        <v>82725</v>
      </c>
      <c r="R982" s="92">
        <f t="shared" si="133"/>
        <v>0</v>
      </c>
      <c r="S982" s="92">
        <f t="shared" si="134"/>
        <v>82725</v>
      </c>
    </row>
    <row r="983" spans="2:19" x14ac:dyDescent="0.2">
      <c r="B983" s="88">
        <f t="shared" si="135"/>
        <v>265</v>
      </c>
      <c r="C983" s="4"/>
      <c r="D983" s="4"/>
      <c r="E983" s="4"/>
      <c r="F983" s="30" t="s">
        <v>118</v>
      </c>
      <c r="G983" s="4">
        <v>633</v>
      </c>
      <c r="H983" s="4" t="s">
        <v>137</v>
      </c>
      <c r="I983" s="23">
        <f>32268+200</f>
        <v>32468</v>
      </c>
      <c r="J983" s="23"/>
      <c r="K983" s="220">
        <f t="shared" si="131"/>
        <v>32468</v>
      </c>
      <c r="L983" s="259"/>
      <c r="M983" s="227"/>
      <c r="N983" s="23"/>
      <c r="O983" s="220">
        <f t="shared" si="132"/>
        <v>0</v>
      </c>
      <c r="P983" s="259"/>
      <c r="Q983" s="308">
        <f t="shared" si="136"/>
        <v>32468</v>
      </c>
      <c r="R983" s="92">
        <f t="shared" si="133"/>
        <v>0</v>
      </c>
      <c r="S983" s="92">
        <f t="shared" si="134"/>
        <v>32468</v>
      </c>
    </row>
    <row r="984" spans="2:19" x14ac:dyDescent="0.2">
      <c r="B984" s="88">
        <f t="shared" si="135"/>
        <v>266</v>
      </c>
      <c r="C984" s="4"/>
      <c r="D984" s="4"/>
      <c r="E984" s="4"/>
      <c r="F984" s="30" t="s">
        <v>118</v>
      </c>
      <c r="G984" s="4">
        <v>635</v>
      </c>
      <c r="H984" s="4" t="s">
        <v>145</v>
      </c>
      <c r="I984" s="23">
        <v>10730</v>
      </c>
      <c r="J984" s="23"/>
      <c r="K984" s="220">
        <f t="shared" si="131"/>
        <v>10730</v>
      </c>
      <c r="L984" s="259"/>
      <c r="M984" s="227"/>
      <c r="N984" s="23"/>
      <c r="O984" s="220">
        <f t="shared" si="132"/>
        <v>0</v>
      </c>
      <c r="P984" s="259"/>
      <c r="Q984" s="308">
        <f t="shared" si="136"/>
        <v>10730</v>
      </c>
      <c r="R984" s="92">
        <f t="shared" si="133"/>
        <v>0</v>
      </c>
      <c r="S984" s="92">
        <f t="shared" si="134"/>
        <v>10730</v>
      </c>
    </row>
    <row r="985" spans="2:19" x14ac:dyDescent="0.2">
      <c r="B985" s="88">
        <f t="shared" si="135"/>
        <v>267</v>
      </c>
      <c r="C985" s="4"/>
      <c r="D985" s="4"/>
      <c r="E985" s="4"/>
      <c r="F985" s="30" t="s">
        <v>118</v>
      </c>
      <c r="G985" s="4">
        <v>636</v>
      </c>
      <c r="H985" s="4" t="s">
        <v>138</v>
      </c>
      <c r="I985" s="23">
        <v>43000</v>
      </c>
      <c r="J985" s="23"/>
      <c r="K985" s="220">
        <f t="shared" si="131"/>
        <v>43000</v>
      </c>
      <c r="L985" s="265"/>
      <c r="M985" s="227"/>
      <c r="N985" s="23"/>
      <c r="O985" s="220">
        <f t="shared" si="132"/>
        <v>0</v>
      </c>
      <c r="P985" s="265"/>
      <c r="Q985" s="308">
        <f t="shared" si="136"/>
        <v>43000</v>
      </c>
      <c r="R985" s="92">
        <f t="shared" si="133"/>
        <v>0</v>
      </c>
      <c r="S985" s="92">
        <f t="shared" si="134"/>
        <v>43000</v>
      </c>
    </row>
    <row r="986" spans="2:19" x14ac:dyDescent="0.2">
      <c r="B986" s="88">
        <f t="shared" si="135"/>
        <v>268</v>
      </c>
      <c r="C986" s="4"/>
      <c r="D986" s="4"/>
      <c r="E986" s="4"/>
      <c r="F986" s="30" t="s">
        <v>118</v>
      </c>
      <c r="G986" s="4">
        <v>637</v>
      </c>
      <c r="H986" s="4" t="s">
        <v>134</v>
      </c>
      <c r="I986" s="23">
        <v>40250</v>
      </c>
      <c r="J986" s="23"/>
      <c r="K986" s="220">
        <f t="shared" ref="K986:K1052" si="144">I986+J986</f>
        <v>40250</v>
      </c>
      <c r="L986" s="265"/>
      <c r="M986" s="227"/>
      <c r="N986" s="23"/>
      <c r="O986" s="220">
        <f t="shared" ref="O986:O1052" si="145">M986+N986</f>
        <v>0</v>
      </c>
      <c r="P986" s="265"/>
      <c r="Q986" s="308">
        <f t="shared" si="136"/>
        <v>40250</v>
      </c>
      <c r="R986" s="92">
        <f t="shared" ref="R986:R1059" si="146">J986+N986</f>
        <v>0</v>
      </c>
      <c r="S986" s="92">
        <f t="shared" ref="S986:S1059" si="147">K986+O986</f>
        <v>40250</v>
      </c>
    </row>
    <row r="987" spans="2:19" x14ac:dyDescent="0.2">
      <c r="B987" s="88">
        <f t="shared" ref="B987:B1053" si="148">B986+1</f>
        <v>269</v>
      </c>
      <c r="C987" s="10"/>
      <c r="D987" s="10"/>
      <c r="E987" s="10"/>
      <c r="F987" s="29" t="s">
        <v>118</v>
      </c>
      <c r="G987" s="10">
        <v>640</v>
      </c>
      <c r="H987" s="10" t="s">
        <v>141</v>
      </c>
      <c r="I987" s="27">
        <v>8410</v>
      </c>
      <c r="J987" s="27"/>
      <c r="K987" s="250">
        <f t="shared" si="144"/>
        <v>8410</v>
      </c>
      <c r="L987" s="259"/>
      <c r="M987" s="315"/>
      <c r="N987" s="27"/>
      <c r="O987" s="250">
        <f t="shared" si="145"/>
        <v>0</v>
      </c>
      <c r="P987" s="259"/>
      <c r="Q987" s="309">
        <f t="shared" si="136"/>
        <v>8410</v>
      </c>
      <c r="R987" s="91">
        <f t="shared" si="146"/>
        <v>0</v>
      </c>
      <c r="S987" s="91">
        <f t="shared" si="147"/>
        <v>8410</v>
      </c>
    </row>
    <row r="988" spans="2:19" ht="15" x14ac:dyDescent="0.25">
      <c r="B988" s="88">
        <f t="shared" si="148"/>
        <v>270</v>
      </c>
      <c r="C988" s="13"/>
      <c r="D988" s="13"/>
      <c r="E988" s="13">
        <v>9</v>
      </c>
      <c r="F988" s="32"/>
      <c r="G988" s="13"/>
      <c r="H988" s="13" t="s">
        <v>8</v>
      </c>
      <c r="I988" s="42">
        <f>I989+I990+I991+I998+I999+I1000+I1001+I1007+I1008</f>
        <v>716335</v>
      </c>
      <c r="J988" s="42">
        <f>J989+J990+J991+J998+J999+J1000+J1001+J1007+J1008</f>
        <v>7686</v>
      </c>
      <c r="K988" s="255">
        <f t="shared" si="144"/>
        <v>724021</v>
      </c>
      <c r="L988" s="259"/>
      <c r="M988" s="317">
        <f>M989+M990+M991+M998+M999+M1000+M1001+M1007+M1009</f>
        <v>375000</v>
      </c>
      <c r="N988" s="42">
        <f t="shared" ref="N988" si="149">N989+N990+N991+N998+N999+N1000+N1001+N1007+N1009</f>
        <v>0</v>
      </c>
      <c r="O988" s="255">
        <f t="shared" si="145"/>
        <v>375000</v>
      </c>
      <c r="P988" s="259"/>
      <c r="Q988" s="312">
        <f t="shared" si="136"/>
        <v>1091335</v>
      </c>
      <c r="R988" s="99">
        <f t="shared" si="146"/>
        <v>7686</v>
      </c>
      <c r="S988" s="99">
        <f t="shared" si="147"/>
        <v>1099021</v>
      </c>
    </row>
    <row r="989" spans="2:19" x14ac:dyDescent="0.2">
      <c r="B989" s="88">
        <f t="shared" si="148"/>
        <v>271</v>
      </c>
      <c r="C989" s="10"/>
      <c r="D989" s="10"/>
      <c r="E989" s="10"/>
      <c r="F989" s="29" t="s">
        <v>131</v>
      </c>
      <c r="G989" s="10">
        <v>610</v>
      </c>
      <c r="H989" s="10" t="s">
        <v>143</v>
      </c>
      <c r="I989" s="27">
        <f>190070+14187+17287-18187</f>
        <v>203357</v>
      </c>
      <c r="J989" s="27">
        <v>1950</v>
      </c>
      <c r="K989" s="250">
        <f t="shared" si="144"/>
        <v>205307</v>
      </c>
      <c r="L989" s="259"/>
      <c r="M989" s="315"/>
      <c r="N989" s="27"/>
      <c r="O989" s="250">
        <f t="shared" si="145"/>
        <v>0</v>
      </c>
      <c r="P989" s="259"/>
      <c r="Q989" s="309">
        <f t="shared" si="136"/>
        <v>203357</v>
      </c>
      <c r="R989" s="91">
        <f t="shared" si="146"/>
        <v>1950</v>
      </c>
      <c r="S989" s="91">
        <f t="shared" si="147"/>
        <v>205307</v>
      </c>
    </row>
    <row r="990" spans="2:19" x14ac:dyDescent="0.2">
      <c r="B990" s="88">
        <f t="shared" si="148"/>
        <v>272</v>
      </c>
      <c r="C990" s="10"/>
      <c r="D990" s="10"/>
      <c r="E990" s="10"/>
      <c r="F990" s="29" t="s">
        <v>131</v>
      </c>
      <c r="G990" s="10">
        <v>620</v>
      </c>
      <c r="H990" s="10" t="s">
        <v>136</v>
      </c>
      <c r="I990" s="27">
        <f>67464+4958+6042-6356</f>
        <v>72108</v>
      </c>
      <c r="J990" s="27">
        <v>700</v>
      </c>
      <c r="K990" s="250">
        <f t="shared" si="144"/>
        <v>72808</v>
      </c>
      <c r="L990" s="259"/>
      <c r="M990" s="315"/>
      <c r="N990" s="27"/>
      <c r="O990" s="250">
        <f t="shared" si="145"/>
        <v>0</v>
      </c>
      <c r="P990" s="259"/>
      <c r="Q990" s="309">
        <f t="shared" si="136"/>
        <v>72108</v>
      </c>
      <c r="R990" s="91">
        <f t="shared" si="146"/>
        <v>700</v>
      </c>
      <c r="S990" s="91">
        <f t="shared" si="147"/>
        <v>72808</v>
      </c>
    </row>
    <row r="991" spans="2:19" x14ac:dyDescent="0.2">
      <c r="B991" s="88">
        <f t="shared" si="148"/>
        <v>273</v>
      </c>
      <c r="C991" s="10"/>
      <c r="D991" s="10"/>
      <c r="E991" s="10"/>
      <c r="F991" s="29" t="s">
        <v>131</v>
      </c>
      <c r="G991" s="10">
        <v>630</v>
      </c>
      <c r="H991" s="10" t="s">
        <v>133</v>
      </c>
      <c r="I991" s="27">
        <f>SUM(I992:I997)</f>
        <v>46939</v>
      </c>
      <c r="J991" s="27">
        <f>SUM(J992:J997)</f>
        <v>936</v>
      </c>
      <c r="K991" s="250">
        <f t="shared" si="144"/>
        <v>47875</v>
      </c>
      <c r="L991" s="259"/>
      <c r="M991" s="315"/>
      <c r="N991" s="27"/>
      <c r="O991" s="250">
        <f t="shared" si="145"/>
        <v>0</v>
      </c>
      <c r="P991" s="259"/>
      <c r="Q991" s="309">
        <f t="shared" si="136"/>
        <v>46939</v>
      </c>
      <c r="R991" s="91">
        <f t="shared" si="146"/>
        <v>936</v>
      </c>
      <c r="S991" s="91">
        <f t="shared" si="147"/>
        <v>47875</v>
      </c>
    </row>
    <row r="992" spans="2:19" x14ac:dyDescent="0.2">
      <c r="B992" s="88">
        <f t="shared" si="148"/>
        <v>274</v>
      </c>
      <c r="C992" s="4"/>
      <c r="D992" s="4"/>
      <c r="E992" s="4"/>
      <c r="F992" s="30" t="s">
        <v>131</v>
      </c>
      <c r="G992" s="4">
        <v>631</v>
      </c>
      <c r="H992" s="4" t="s">
        <v>139</v>
      </c>
      <c r="I992" s="23">
        <v>101</v>
      </c>
      <c r="J992" s="23"/>
      <c r="K992" s="220">
        <f t="shared" si="144"/>
        <v>101</v>
      </c>
      <c r="L992" s="259"/>
      <c r="M992" s="227"/>
      <c r="N992" s="23"/>
      <c r="O992" s="220">
        <f t="shared" si="145"/>
        <v>0</v>
      </c>
      <c r="P992" s="259"/>
      <c r="Q992" s="308">
        <f t="shared" si="136"/>
        <v>101</v>
      </c>
      <c r="R992" s="92">
        <f t="shared" si="146"/>
        <v>0</v>
      </c>
      <c r="S992" s="92">
        <f t="shared" si="147"/>
        <v>101</v>
      </c>
    </row>
    <row r="993" spans="2:19" x14ac:dyDescent="0.2">
      <c r="B993" s="88">
        <f t="shared" si="148"/>
        <v>275</v>
      </c>
      <c r="C993" s="4"/>
      <c r="D993" s="4"/>
      <c r="E993" s="4"/>
      <c r="F993" s="30" t="s">
        <v>131</v>
      </c>
      <c r="G993" s="4">
        <v>632</v>
      </c>
      <c r="H993" s="4" t="s">
        <v>146</v>
      </c>
      <c r="I993" s="23">
        <f>18920+280</f>
        <v>19200</v>
      </c>
      <c r="J993" s="23"/>
      <c r="K993" s="220">
        <f t="shared" si="144"/>
        <v>19200</v>
      </c>
      <c r="L993" s="259"/>
      <c r="M993" s="227"/>
      <c r="N993" s="23"/>
      <c r="O993" s="220">
        <f t="shared" si="145"/>
        <v>0</v>
      </c>
      <c r="P993" s="259"/>
      <c r="Q993" s="308">
        <f t="shared" si="136"/>
        <v>19200</v>
      </c>
      <c r="R993" s="92">
        <f t="shared" si="146"/>
        <v>0</v>
      </c>
      <c r="S993" s="92">
        <f t="shared" si="147"/>
        <v>19200</v>
      </c>
    </row>
    <row r="994" spans="2:19" x14ac:dyDescent="0.2">
      <c r="B994" s="88">
        <f t="shared" si="148"/>
        <v>276</v>
      </c>
      <c r="C994" s="4"/>
      <c r="D994" s="4"/>
      <c r="E994" s="4"/>
      <c r="F994" s="30" t="s">
        <v>131</v>
      </c>
      <c r="G994" s="4">
        <v>633</v>
      </c>
      <c r="H994" s="4" t="s">
        <v>137</v>
      </c>
      <c r="I994" s="23">
        <f>5100+400</f>
        <v>5500</v>
      </c>
      <c r="J994" s="23"/>
      <c r="K994" s="220">
        <f t="shared" si="144"/>
        <v>5500</v>
      </c>
      <c r="L994" s="259"/>
      <c r="M994" s="227"/>
      <c r="N994" s="23"/>
      <c r="O994" s="220">
        <f t="shared" si="145"/>
        <v>0</v>
      </c>
      <c r="P994" s="259"/>
      <c r="Q994" s="308">
        <f t="shared" si="136"/>
        <v>5500</v>
      </c>
      <c r="R994" s="92">
        <f t="shared" si="146"/>
        <v>0</v>
      </c>
      <c r="S994" s="92">
        <f t="shared" si="147"/>
        <v>5500</v>
      </c>
    </row>
    <row r="995" spans="2:19" x14ac:dyDescent="0.2">
      <c r="B995" s="88">
        <f t="shared" si="148"/>
        <v>277</v>
      </c>
      <c r="C995" s="4"/>
      <c r="D995" s="4"/>
      <c r="E995" s="4"/>
      <c r="F995" s="30" t="s">
        <v>131</v>
      </c>
      <c r="G995" s="4">
        <v>634</v>
      </c>
      <c r="H995" s="4" t="s">
        <v>144</v>
      </c>
      <c r="I995" s="23">
        <v>0</v>
      </c>
      <c r="J995" s="23">
        <f>1000-64</f>
        <v>936</v>
      </c>
      <c r="K995" s="220">
        <f t="shared" ref="K995" si="150">I995+J995</f>
        <v>936</v>
      </c>
      <c r="L995" s="259"/>
      <c r="M995" s="227"/>
      <c r="N995" s="23"/>
      <c r="O995" s="220">
        <f t="shared" ref="O995" si="151">M995+N995</f>
        <v>0</v>
      </c>
      <c r="P995" s="259"/>
      <c r="Q995" s="308">
        <f t="shared" ref="Q995" si="152">I995+M995</f>
        <v>0</v>
      </c>
      <c r="R995" s="92">
        <f t="shared" ref="R995" si="153">J995+N995</f>
        <v>936</v>
      </c>
      <c r="S995" s="92">
        <f t="shared" ref="S995" si="154">K995+O995</f>
        <v>936</v>
      </c>
    </row>
    <row r="996" spans="2:19" x14ac:dyDescent="0.2">
      <c r="B996" s="88">
        <f t="shared" si="148"/>
        <v>278</v>
      </c>
      <c r="C996" s="4"/>
      <c r="D996" s="4"/>
      <c r="E996" s="4"/>
      <c r="F996" s="30" t="s">
        <v>131</v>
      </c>
      <c r="G996" s="4">
        <v>635</v>
      </c>
      <c r="H996" s="4" t="s">
        <v>145</v>
      </c>
      <c r="I996" s="23">
        <v>1300</v>
      </c>
      <c r="J996" s="23"/>
      <c r="K996" s="220">
        <f t="shared" si="144"/>
        <v>1300</v>
      </c>
      <c r="L996" s="259"/>
      <c r="M996" s="227"/>
      <c r="N996" s="23"/>
      <c r="O996" s="220">
        <f t="shared" si="145"/>
        <v>0</v>
      </c>
      <c r="P996" s="259"/>
      <c r="Q996" s="308">
        <f t="shared" si="136"/>
        <v>1300</v>
      </c>
      <c r="R996" s="92">
        <f t="shared" si="146"/>
        <v>0</v>
      </c>
      <c r="S996" s="92">
        <f t="shared" si="147"/>
        <v>1300</v>
      </c>
    </row>
    <row r="997" spans="2:19" x14ac:dyDescent="0.2">
      <c r="B997" s="88">
        <f t="shared" si="148"/>
        <v>279</v>
      </c>
      <c r="C997" s="4"/>
      <c r="D997" s="4"/>
      <c r="E997" s="4"/>
      <c r="F997" s="30" t="s">
        <v>131</v>
      </c>
      <c r="G997" s="4">
        <v>637</v>
      </c>
      <c r="H997" s="4" t="s">
        <v>134</v>
      </c>
      <c r="I997" s="23">
        <f>19509+1329</f>
        <v>20838</v>
      </c>
      <c r="J997" s="23"/>
      <c r="K997" s="220">
        <f t="shared" si="144"/>
        <v>20838</v>
      </c>
      <c r="L997" s="259"/>
      <c r="M997" s="227"/>
      <c r="N997" s="23"/>
      <c r="O997" s="220">
        <f t="shared" si="145"/>
        <v>0</v>
      </c>
      <c r="P997" s="259"/>
      <c r="Q997" s="308">
        <f t="shared" si="136"/>
        <v>20838</v>
      </c>
      <c r="R997" s="92">
        <f t="shared" si="146"/>
        <v>0</v>
      </c>
      <c r="S997" s="92">
        <f t="shared" si="147"/>
        <v>20838</v>
      </c>
    </row>
    <row r="998" spans="2:19" x14ac:dyDescent="0.2">
      <c r="B998" s="88">
        <f t="shared" si="148"/>
        <v>280</v>
      </c>
      <c r="C998" s="10"/>
      <c r="D998" s="10"/>
      <c r="E998" s="10"/>
      <c r="F998" s="29" t="s">
        <v>131</v>
      </c>
      <c r="G998" s="10">
        <v>640</v>
      </c>
      <c r="H998" s="10" t="s">
        <v>141</v>
      </c>
      <c r="I998" s="27">
        <f>3350+150</f>
        <v>3500</v>
      </c>
      <c r="J998" s="27"/>
      <c r="K998" s="250">
        <f t="shared" si="144"/>
        <v>3500</v>
      </c>
      <c r="L998" s="259"/>
      <c r="M998" s="315"/>
      <c r="N998" s="27"/>
      <c r="O998" s="250">
        <f t="shared" si="145"/>
        <v>0</v>
      </c>
      <c r="P998" s="259"/>
      <c r="Q998" s="309">
        <f t="shared" si="136"/>
        <v>3500</v>
      </c>
      <c r="R998" s="91">
        <f t="shared" si="146"/>
        <v>0</v>
      </c>
      <c r="S998" s="91">
        <f t="shared" si="147"/>
        <v>3500</v>
      </c>
    </row>
    <row r="999" spans="2:19" x14ac:dyDescent="0.2">
      <c r="B999" s="88">
        <f t="shared" si="148"/>
        <v>281</v>
      </c>
      <c r="C999" s="10"/>
      <c r="D999" s="10"/>
      <c r="E999" s="10"/>
      <c r="F999" s="29" t="s">
        <v>118</v>
      </c>
      <c r="G999" s="10">
        <v>610</v>
      </c>
      <c r="H999" s="10" t="s">
        <v>143</v>
      </c>
      <c r="I999" s="27">
        <f>190070+14188+17338+18187</f>
        <v>239783</v>
      </c>
      <c r="J999" s="27"/>
      <c r="K999" s="250">
        <f t="shared" si="144"/>
        <v>239783</v>
      </c>
      <c r="L999" s="259"/>
      <c r="M999" s="315"/>
      <c r="N999" s="27"/>
      <c r="O999" s="250">
        <f t="shared" si="145"/>
        <v>0</v>
      </c>
      <c r="P999" s="259"/>
      <c r="Q999" s="309">
        <f t="shared" ref="Q999:Q1068" si="155">I999+M999</f>
        <v>239783</v>
      </c>
      <c r="R999" s="91">
        <f t="shared" si="146"/>
        <v>0</v>
      </c>
      <c r="S999" s="91">
        <f t="shared" si="147"/>
        <v>239783</v>
      </c>
    </row>
    <row r="1000" spans="2:19" x14ac:dyDescent="0.2">
      <c r="B1000" s="88">
        <f t="shared" si="148"/>
        <v>282</v>
      </c>
      <c r="C1000" s="10"/>
      <c r="D1000" s="10"/>
      <c r="E1000" s="10"/>
      <c r="F1000" s="29" t="s">
        <v>118</v>
      </c>
      <c r="G1000" s="10">
        <v>620</v>
      </c>
      <c r="H1000" s="10" t="s">
        <v>136</v>
      </c>
      <c r="I1000" s="27">
        <f>67466+4959+6052+6356</f>
        <v>84833</v>
      </c>
      <c r="J1000" s="27"/>
      <c r="K1000" s="250">
        <f t="shared" si="144"/>
        <v>84833</v>
      </c>
      <c r="L1000" s="259"/>
      <c r="M1000" s="315"/>
      <c r="N1000" s="27"/>
      <c r="O1000" s="250">
        <f t="shared" si="145"/>
        <v>0</v>
      </c>
      <c r="P1000" s="259"/>
      <c r="Q1000" s="309">
        <f t="shared" si="155"/>
        <v>84833</v>
      </c>
      <c r="R1000" s="91">
        <f t="shared" si="146"/>
        <v>0</v>
      </c>
      <c r="S1000" s="91">
        <f t="shared" si="147"/>
        <v>84833</v>
      </c>
    </row>
    <row r="1001" spans="2:19" x14ac:dyDescent="0.2">
      <c r="B1001" s="88">
        <f t="shared" si="148"/>
        <v>283</v>
      </c>
      <c r="C1001" s="10"/>
      <c r="D1001" s="10"/>
      <c r="E1001" s="10"/>
      <c r="F1001" s="29" t="s">
        <v>118</v>
      </c>
      <c r="G1001" s="10">
        <v>630</v>
      </c>
      <c r="H1001" s="10" t="s">
        <v>133</v>
      </c>
      <c r="I1001" s="27">
        <f>SUM(I1002:I1006)</f>
        <v>57295</v>
      </c>
      <c r="J1001" s="27">
        <f>SUM(J1002:J1006)</f>
        <v>0</v>
      </c>
      <c r="K1001" s="250">
        <f t="shared" si="144"/>
        <v>57295</v>
      </c>
      <c r="L1001" s="259"/>
      <c r="M1001" s="315"/>
      <c r="N1001" s="27"/>
      <c r="O1001" s="250">
        <f t="shared" si="145"/>
        <v>0</v>
      </c>
      <c r="P1001" s="259"/>
      <c r="Q1001" s="309">
        <f t="shared" si="155"/>
        <v>57295</v>
      </c>
      <c r="R1001" s="91">
        <f t="shared" si="146"/>
        <v>0</v>
      </c>
      <c r="S1001" s="91">
        <f t="shared" si="147"/>
        <v>57295</v>
      </c>
    </row>
    <row r="1002" spans="2:19" x14ac:dyDescent="0.2">
      <c r="B1002" s="88">
        <f t="shared" si="148"/>
        <v>284</v>
      </c>
      <c r="C1002" s="4"/>
      <c r="D1002" s="4"/>
      <c r="E1002" s="4"/>
      <c r="F1002" s="30" t="s">
        <v>118</v>
      </c>
      <c r="G1002" s="4">
        <v>631</v>
      </c>
      <c r="H1002" s="4" t="s">
        <v>139</v>
      </c>
      <c r="I1002" s="23">
        <v>101</v>
      </c>
      <c r="J1002" s="23"/>
      <c r="K1002" s="220">
        <f t="shared" si="144"/>
        <v>101</v>
      </c>
      <c r="L1002" s="259"/>
      <c r="M1002" s="227"/>
      <c r="N1002" s="23"/>
      <c r="O1002" s="220">
        <f t="shared" si="145"/>
        <v>0</v>
      </c>
      <c r="P1002" s="259"/>
      <c r="Q1002" s="308">
        <f t="shared" si="155"/>
        <v>101</v>
      </c>
      <c r="R1002" s="92">
        <f t="shared" si="146"/>
        <v>0</v>
      </c>
      <c r="S1002" s="92">
        <f t="shared" si="147"/>
        <v>101</v>
      </c>
    </row>
    <row r="1003" spans="2:19" x14ac:dyDescent="0.2">
      <c r="B1003" s="88">
        <f t="shared" si="148"/>
        <v>285</v>
      </c>
      <c r="C1003" s="4"/>
      <c r="D1003" s="4"/>
      <c r="E1003" s="4"/>
      <c r="F1003" s="30" t="s">
        <v>118</v>
      </c>
      <c r="G1003" s="4">
        <v>632</v>
      </c>
      <c r="H1003" s="4" t="s">
        <v>146</v>
      </c>
      <c r="I1003" s="23">
        <f>21920+280</f>
        <v>22200</v>
      </c>
      <c r="J1003" s="23"/>
      <c r="K1003" s="220">
        <f t="shared" si="144"/>
        <v>22200</v>
      </c>
      <c r="L1003" s="259"/>
      <c r="M1003" s="227"/>
      <c r="N1003" s="23"/>
      <c r="O1003" s="220">
        <f t="shared" si="145"/>
        <v>0</v>
      </c>
      <c r="P1003" s="259"/>
      <c r="Q1003" s="308">
        <f t="shared" si="155"/>
        <v>22200</v>
      </c>
      <c r="R1003" s="92">
        <f t="shared" si="146"/>
        <v>0</v>
      </c>
      <c r="S1003" s="92">
        <f t="shared" si="147"/>
        <v>22200</v>
      </c>
    </row>
    <row r="1004" spans="2:19" x14ac:dyDescent="0.2">
      <c r="B1004" s="88">
        <f t="shared" si="148"/>
        <v>286</v>
      </c>
      <c r="C1004" s="4"/>
      <c r="D1004" s="4"/>
      <c r="E1004" s="4"/>
      <c r="F1004" s="30" t="s">
        <v>118</v>
      </c>
      <c r="G1004" s="4">
        <v>633</v>
      </c>
      <c r="H1004" s="4" t="s">
        <v>137</v>
      </c>
      <c r="I1004" s="23">
        <f>10540+400</f>
        <v>10940</v>
      </c>
      <c r="J1004" s="23"/>
      <c r="K1004" s="220">
        <f t="shared" si="144"/>
        <v>10940</v>
      </c>
      <c r="L1004" s="259"/>
      <c r="M1004" s="227"/>
      <c r="N1004" s="23"/>
      <c r="O1004" s="220">
        <f t="shared" si="145"/>
        <v>0</v>
      </c>
      <c r="P1004" s="259"/>
      <c r="Q1004" s="308">
        <f t="shared" si="155"/>
        <v>10940</v>
      </c>
      <c r="R1004" s="92">
        <f t="shared" si="146"/>
        <v>0</v>
      </c>
      <c r="S1004" s="92">
        <f t="shared" si="147"/>
        <v>10940</v>
      </c>
    </row>
    <row r="1005" spans="2:19" x14ac:dyDescent="0.2">
      <c r="B1005" s="88">
        <f t="shared" si="148"/>
        <v>287</v>
      </c>
      <c r="C1005" s="4"/>
      <c r="D1005" s="4"/>
      <c r="E1005" s="4"/>
      <c r="F1005" s="30" t="s">
        <v>118</v>
      </c>
      <c r="G1005" s="4">
        <v>635</v>
      </c>
      <c r="H1005" s="4" t="s">
        <v>145</v>
      </c>
      <c r="I1005" s="23">
        <v>1300</v>
      </c>
      <c r="J1005" s="23"/>
      <c r="K1005" s="220">
        <f t="shared" si="144"/>
        <v>1300</v>
      </c>
      <c r="L1005" s="259"/>
      <c r="M1005" s="227"/>
      <c r="N1005" s="23"/>
      <c r="O1005" s="220">
        <f t="shared" si="145"/>
        <v>0</v>
      </c>
      <c r="P1005" s="259"/>
      <c r="Q1005" s="308">
        <f t="shared" si="155"/>
        <v>1300</v>
      </c>
      <c r="R1005" s="92">
        <f t="shared" si="146"/>
        <v>0</v>
      </c>
      <c r="S1005" s="92">
        <f t="shared" si="147"/>
        <v>1300</v>
      </c>
    </row>
    <row r="1006" spans="2:19" x14ac:dyDescent="0.2">
      <c r="B1006" s="88">
        <f t="shared" si="148"/>
        <v>288</v>
      </c>
      <c r="C1006" s="4"/>
      <c r="D1006" s="4"/>
      <c r="E1006" s="4"/>
      <c r="F1006" s="30" t="s">
        <v>118</v>
      </c>
      <c r="G1006" s="4">
        <v>637</v>
      </c>
      <c r="H1006" s="4" t="s">
        <v>134</v>
      </c>
      <c r="I1006" s="23">
        <f>21259+1329+166</f>
        <v>22754</v>
      </c>
      <c r="J1006" s="23"/>
      <c r="K1006" s="220">
        <f t="shared" si="144"/>
        <v>22754</v>
      </c>
      <c r="L1006" s="259"/>
      <c r="M1006" s="227"/>
      <c r="N1006" s="23"/>
      <c r="O1006" s="220">
        <f t="shared" si="145"/>
        <v>0</v>
      </c>
      <c r="P1006" s="259"/>
      <c r="Q1006" s="308">
        <f t="shared" si="155"/>
        <v>22754</v>
      </c>
      <c r="R1006" s="92">
        <f t="shared" si="146"/>
        <v>0</v>
      </c>
      <c r="S1006" s="92">
        <f t="shared" si="147"/>
        <v>22754</v>
      </c>
    </row>
    <row r="1007" spans="2:19" x14ac:dyDescent="0.2">
      <c r="B1007" s="88">
        <f t="shared" si="148"/>
        <v>289</v>
      </c>
      <c r="C1007" s="10"/>
      <c r="D1007" s="10"/>
      <c r="E1007" s="10"/>
      <c r="F1007" s="29" t="s">
        <v>118</v>
      </c>
      <c r="G1007" s="10">
        <v>640</v>
      </c>
      <c r="H1007" s="10" t="s">
        <v>141</v>
      </c>
      <c r="I1007" s="27">
        <f>3350+150</f>
        <v>3500</v>
      </c>
      <c r="J1007" s="27">
        <v>4100</v>
      </c>
      <c r="K1007" s="250">
        <f t="shared" si="144"/>
        <v>7600</v>
      </c>
      <c r="L1007" s="259"/>
      <c r="M1007" s="315"/>
      <c r="N1007" s="27"/>
      <c r="O1007" s="250">
        <f t="shared" si="145"/>
        <v>0</v>
      </c>
      <c r="P1007" s="259"/>
      <c r="Q1007" s="309">
        <f t="shared" si="155"/>
        <v>3500</v>
      </c>
      <c r="R1007" s="91">
        <f t="shared" si="146"/>
        <v>4100</v>
      </c>
      <c r="S1007" s="91">
        <f t="shared" si="147"/>
        <v>7600</v>
      </c>
    </row>
    <row r="1008" spans="2:19" x14ac:dyDescent="0.2">
      <c r="B1008" s="88">
        <f t="shared" si="148"/>
        <v>290</v>
      </c>
      <c r="C1008" s="10"/>
      <c r="D1008" s="10"/>
      <c r="E1008" s="10"/>
      <c r="F1008" s="29"/>
      <c r="G1008" s="10">
        <v>630</v>
      </c>
      <c r="H1008" s="10" t="s">
        <v>594</v>
      </c>
      <c r="I1008" s="27">
        <v>5020</v>
      </c>
      <c r="J1008" s="27"/>
      <c r="K1008" s="250">
        <f t="shared" si="144"/>
        <v>5020</v>
      </c>
      <c r="L1008" s="259"/>
      <c r="M1008" s="315"/>
      <c r="N1008" s="27"/>
      <c r="O1008" s="250">
        <f t="shared" si="145"/>
        <v>0</v>
      </c>
      <c r="P1008" s="259"/>
      <c r="Q1008" s="309">
        <f t="shared" si="155"/>
        <v>5020</v>
      </c>
      <c r="R1008" s="91">
        <f t="shared" si="146"/>
        <v>0</v>
      </c>
      <c r="S1008" s="91">
        <f t="shared" si="147"/>
        <v>5020</v>
      </c>
    </row>
    <row r="1009" spans="2:19" x14ac:dyDescent="0.2">
      <c r="B1009" s="88">
        <f t="shared" si="148"/>
        <v>291</v>
      </c>
      <c r="C1009" s="10"/>
      <c r="D1009" s="10"/>
      <c r="E1009" s="10"/>
      <c r="F1009" s="29" t="s">
        <v>118</v>
      </c>
      <c r="G1009" s="10">
        <v>710</v>
      </c>
      <c r="H1009" s="10" t="s">
        <v>188</v>
      </c>
      <c r="I1009" s="27"/>
      <c r="J1009" s="27"/>
      <c r="K1009" s="250">
        <f t="shared" si="144"/>
        <v>0</v>
      </c>
      <c r="L1009" s="259"/>
      <c r="M1009" s="315">
        <f>M1010</f>
        <v>375000</v>
      </c>
      <c r="N1009" s="27">
        <f t="shared" ref="N1009" si="156">N1010</f>
        <v>0</v>
      </c>
      <c r="O1009" s="250">
        <f t="shared" si="145"/>
        <v>375000</v>
      </c>
      <c r="P1009" s="259"/>
      <c r="Q1009" s="309">
        <f t="shared" si="155"/>
        <v>375000</v>
      </c>
      <c r="R1009" s="91">
        <f t="shared" si="146"/>
        <v>0</v>
      </c>
      <c r="S1009" s="91">
        <f t="shared" si="147"/>
        <v>375000</v>
      </c>
    </row>
    <row r="1010" spans="2:19" x14ac:dyDescent="0.2">
      <c r="B1010" s="88">
        <f t="shared" si="148"/>
        <v>292</v>
      </c>
      <c r="C1010" s="4"/>
      <c r="D1010" s="4"/>
      <c r="E1010" s="4"/>
      <c r="F1010" s="30" t="s">
        <v>118</v>
      </c>
      <c r="G1010" s="4">
        <v>717</v>
      </c>
      <c r="H1010" s="4" t="s">
        <v>198</v>
      </c>
      <c r="I1010" s="23"/>
      <c r="J1010" s="23"/>
      <c r="K1010" s="220">
        <f t="shared" si="144"/>
        <v>0</v>
      </c>
      <c r="L1010" s="259"/>
      <c r="M1010" s="363">
        <f>SUM(M1011:M1012)</f>
        <v>375000</v>
      </c>
      <c r="N1010" s="68">
        <f t="shared" ref="N1010" si="157">SUM(N1011:N1012)</f>
        <v>0</v>
      </c>
      <c r="O1010" s="358">
        <f t="shared" si="145"/>
        <v>375000</v>
      </c>
      <c r="P1010" s="259"/>
      <c r="Q1010" s="308">
        <f t="shared" si="155"/>
        <v>375000</v>
      </c>
      <c r="R1010" s="92">
        <f t="shared" si="146"/>
        <v>0</v>
      </c>
      <c r="S1010" s="92">
        <f t="shared" si="147"/>
        <v>375000</v>
      </c>
    </row>
    <row r="1011" spans="2:19" x14ac:dyDescent="0.2">
      <c r="B1011" s="88">
        <f>B1010+1</f>
        <v>293</v>
      </c>
      <c r="C1011" s="5"/>
      <c r="D1011" s="5"/>
      <c r="E1011" s="5"/>
      <c r="F1011" s="31"/>
      <c r="G1011" s="5"/>
      <c r="H1011" s="5" t="s">
        <v>477</v>
      </c>
      <c r="I1011" s="25"/>
      <c r="J1011" s="25"/>
      <c r="K1011" s="251">
        <f t="shared" si="144"/>
        <v>0</v>
      </c>
      <c r="L1011" s="259"/>
      <c r="M1011" s="349">
        <v>370000</v>
      </c>
      <c r="N1011" s="44"/>
      <c r="O1011" s="354">
        <f t="shared" si="145"/>
        <v>370000</v>
      </c>
      <c r="P1011" s="259"/>
      <c r="Q1011" s="332">
        <f t="shared" si="155"/>
        <v>370000</v>
      </c>
      <c r="R1011" s="93">
        <f t="shared" si="146"/>
        <v>0</v>
      </c>
      <c r="S1011" s="93">
        <f t="shared" si="147"/>
        <v>370000</v>
      </c>
    </row>
    <row r="1012" spans="2:19" x14ac:dyDescent="0.2">
      <c r="B1012" s="88">
        <f>B1011+1</f>
        <v>294</v>
      </c>
      <c r="C1012" s="5"/>
      <c r="D1012" s="5"/>
      <c r="E1012" s="5"/>
      <c r="F1012" s="31"/>
      <c r="G1012" s="5"/>
      <c r="H1012" s="5" t="s">
        <v>612</v>
      </c>
      <c r="I1012" s="25"/>
      <c r="J1012" s="25"/>
      <c r="K1012" s="251">
        <f t="shared" si="144"/>
        <v>0</v>
      </c>
      <c r="L1012" s="259"/>
      <c r="M1012" s="349">
        <v>5000</v>
      </c>
      <c r="N1012" s="44"/>
      <c r="O1012" s="354">
        <f t="shared" si="145"/>
        <v>5000</v>
      </c>
      <c r="P1012" s="259"/>
      <c r="Q1012" s="332">
        <f t="shared" si="155"/>
        <v>5000</v>
      </c>
      <c r="R1012" s="93">
        <f t="shared" si="146"/>
        <v>0</v>
      </c>
      <c r="S1012" s="93">
        <f t="shared" si="147"/>
        <v>5000</v>
      </c>
    </row>
    <row r="1013" spans="2:19" ht="15" x14ac:dyDescent="0.25">
      <c r="B1013" s="88">
        <f>B1012+1</f>
        <v>295</v>
      </c>
      <c r="C1013" s="13"/>
      <c r="D1013" s="13"/>
      <c r="E1013" s="13">
        <v>10</v>
      </c>
      <c r="F1013" s="32"/>
      <c r="G1013" s="13"/>
      <c r="H1013" s="13" t="s">
        <v>2</v>
      </c>
      <c r="I1013" s="42">
        <f>I1014+I1015+I1016+I1023+I1024+I1025+I1026+I1033+I1034</f>
        <v>540097</v>
      </c>
      <c r="J1013" s="42">
        <f>J1014+J1015+J1016+J1023+J1024+J1025+J1026+J1033+J1034</f>
        <v>-1350</v>
      </c>
      <c r="K1013" s="255">
        <f t="shared" si="144"/>
        <v>538747</v>
      </c>
      <c r="L1013" s="259"/>
      <c r="M1013" s="317">
        <f>M1035</f>
        <v>51950</v>
      </c>
      <c r="N1013" s="42">
        <f t="shared" ref="N1013" si="158">N1035</f>
        <v>0</v>
      </c>
      <c r="O1013" s="255">
        <f t="shared" si="145"/>
        <v>51950</v>
      </c>
      <c r="P1013" s="259"/>
      <c r="Q1013" s="312">
        <f t="shared" si="155"/>
        <v>592047</v>
      </c>
      <c r="R1013" s="99">
        <f t="shared" si="146"/>
        <v>-1350</v>
      </c>
      <c r="S1013" s="99">
        <f t="shared" si="147"/>
        <v>590697</v>
      </c>
    </row>
    <row r="1014" spans="2:19" x14ac:dyDescent="0.2">
      <c r="B1014" s="88">
        <f>B1013+1</f>
        <v>296</v>
      </c>
      <c r="C1014" s="10"/>
      <c r="D1014" s="10"/>
      <c r="E1014" s="10"/>
      <c r="F1014" s="29" t="s">
        <v>131</v>
      </c>
      <c r="G1014" s="10">
        <v>610</v>
      </c>
      <c r="H1014" s="10" t="s">
        <v>143</v>
      </c>
      <c r="I1014" s="27">
        <f>126145+11681+4810+6017+998</f>
        <v>149651</v>
      </c>
      <c r="J1014" s="27">
        <f>-3500+1950</f>
        <v>-1550</v>
      </c>
      <c r="K1014" s="250">
        <f t="shared" si="144"/>
        <v>148101</v>
      </c>
      <c r="L1014" s="259"/>
      <c r="M1014" s="315"/>
      <c r="N1014" s="27"/>
      <c r="O1014" s="250">
        <f t="shared" si="145"/>
        <v>0</v>
      </c>
      <c r="P1014" s="259"/>
      <c r="Q1014" s="309">
        <f t="shared" si="155"/>
        <v>149651</v>
      </c>
      <c r="R1014" s="91">
        <f t="shared" si="146"/>
        <v>-1550</v>
      </c>
      <c r="S1014" s="91">
        <f t="shared" si="147"/>
        <v>148101</v>
      </c>
    </row>
    <row r="1015" spans="2:19" x14ac:dyDescent="0.2">
      <c r="B1015" s="88">
        <f t="shared" ref="B1015:B1023" si="159">B1014+1</f>
        <v>297</v>
      </c>
      <c r="C1015" s="10"/>
      <c r="D1015" s="10"/>
      <c r="E1015" s="10"/>
      <c r="F1015" s="29" t="s">
        <v>131</v>
      </c>
      <c r="G1015" s="10">
        <v>620</v>
      </c>
      <c r="H1015" s="10" t="s">
        <v>136</v>
      </c>
      <c r="I1015" s="27">
        <f>44200+4083+1690+2095+349</f>
        <v>52417</v>
      </c>
      <c r="J1015" s="27">
        <f>-1500+700</f>
        <v>-800</v>
      </c>
      <c r="K1015" s="250">
        <f t="shared" si="144"/>
        <v>51617</v>
      </c>
      <c r="L1015" s="259"/>
      <c r="M1015" s="315"/>
      <c r="N1015" s="27"/>
      <c r="O1015" s="250">
        <f t="shared" si="145"/>
        <v>0</v>
      </c>
      <c r="P1015" s="259"/>
      <c r="Q1015" s="309">
        <f t="shared" si="155"/>
        <v>52417</v>
      </c>
      <c r="R1015" s="91">
        <f t="shared" si="146"/>
        <v>-800</v>
      </c>
      <c r="S1015" s="91">
        <f t="shared" si="147"/>
        <v>51617</v>
      </c>
    </row>
    <row r="1016" spans="2:19" x14ac:dyDescent="0.2">
      <c r="B1016" s="88">
        <f t="shared" si="159"/>
        <v>298</v>
      </c>
      <c r="C1016" s="10"/>
      <c r="D1016" s="10"/>
      <c r="E1016" s="10"/>
      <c r="F1016" s="29" t="s">
        <v>131</v>
      </c>
      <c r="G1016" s="10">
        <v>630</v>
      </c>
      <c r="H1016" s="10" t="s">
        <v>133</v>
      </c>
      <c r="I1016" s="27">
        <f>SUM(I1017:I1022)</f>
        <v>29286</v>
      </c>
      <c r="J1016" s="27">
        <f>SUM(J1017:J1022)</f>
        <v>1000</v>
      </c>
      <c r="K1016" s="250">
        <f t="shared" si="144"/>
        <v>30286</v>
      </c>
      <c r="L1016" s="259"/>
      <c r="M1016" s="315"/>
      <c r="N1016" s="27"/>
      <c r="O1016" s="250">
        <f t="shared" si="145"/>
        <v>0</v>
      </c>
      <c r="P1016" s="259"/>
      <c r="Q1016" s="309">
        <f t="shared" si="155"/>
        <v>29286</v>
      </c>
      <c r="R1016" s="91">
        <f t="shared" si="146"/>
        <v>1000</v>
      </c>
      <c r="S1016" s="91">
        <f t="shared" si="147"/>
        <v>30286</v>
      </c>
    </row>
    <row r="1017" spans="2:19" x14ac:dyDescent="0.2">
      <c r="B1017" s="88">
        <f t="shared" si="159"/>
        <v>299</v>
      </c>
      <c r="C1017" s="4"/>
      <c r="D1017" s="4"/>
      <c r="E1017" s="4"/>
      <c r="F1017" s="30" t="s">
        <v>131</v>
      </c>
      <c r="G1017" s="4">
        <v>631</v>
      </c>
      <c r="H1017" s="4" t="s">
        <v>139</v>
      </c>
      <c r="I1017" s="23">
        <v>305</v>
      </c>
      <c r="J1017" s="23"/>
      <c r="K1017" s="220">
        <f t="shared" si="144"/>
        <v>305</v>
      </c>
      <c r="L1017" s="259"/>
      <c r="M1017" s="227"/>
      <c r="N1017" s="23"/>
      <c r="O1017" s="220">
        <f t="shared" si="145"/>
        <v>0</v>
      </c>
      <c r="P1017" s="259"/>
      <c r="Q1017" s="308">
        <f t="shared" si="155"/>
        <v>305</v>
      </c>
      <c r="R1017" s="92">
        <f t="shared" si="146"/>
        <v>0</v>
      </c>
      <c r="S1017" s="92">
        <f t="shared" si="147"/>
        <v>305</v>
      </c>
    </row>
    <row r="1018" spans="2:19" x14ac:dyDescent="0.2">
      <c r="B1018" s="88">
        <f t="shared" si="159"/>
        <v>300</v>
      </c>
      <c r="C1018" s="4"/>
      <c r="D1018" s="4"/>
      <c r="E1018" s="4"/>
      <c r="F1018" s="30" t="s">
        <v>131</v>
      </c>
      <c r="G1018" s="4">
        <v>632</v>
      </c>
      <c r="H1018" s="4" t="s">
        <v>146</v>
      </c>
      <c r="I1018" s="23">
        <v>11760</v>
      </c>
      <c r="J1018" s="23"/>
      <c r="K1018" s="220">
        <f t="shared" si="144"/>
        <v>11760</v>
      </c>
      <c r="L1018" s="259"/>
      <c r="M1018" s="227"/>
      <c r="N1018" s="23"/>
      <c r="O1018" s="220">
        <f t="shared" si="145"/>
        <v>0</v>
      </c>
      <c r="P1018" s="259"/>
      <c r="Q1018" s="308">
        <f t="shared" si="155"/>
        <v>11760</v>
      </c>
      <c r="R1018" s="92">
        <f t="shared" si="146"/>
        <v>0</v>
      </c>
      <c r="S1018" s="92">
        <f t="shared" si="147"/>
        <v>11760</v>
      </c>
    </row>
    <row r="1019" spans="2:19" x14ac:dyDescent="0.2">
      <c r="B1019" s="88">
        <f t="shared" si="159"/>
        <v>301</v>
      </c>
      <c r="C1019" s="4"/>
      <c r="D1019" s="4"/>
      <c r="E1019" s="4"/>
      <c r="F1019" s="30" t="s">
        <v>131</v>
      </c>
      <c r="G1019" s="4">
        <v>633</v>
      </c>
      <c r="H1019" s="4" t="s">
        <v>137</v>
      </c>
      <c r="I1019" s="23">
        <f>5540+321</f>
        <v>5861</v>
      </c>
      <c r="J1019" s="23"/>
      <c r="K1019" s="220">
        <f t="shared" si="144"/>
        <v>5861</v>
      </c>
      <c r="L1019" s="259"/>
      <c r="M1019" s="227"/>
      <c r="N1019" s="23"/>
      <c r="O1019" s="220">
        <f t="shared" si="145"/>
        <v>0</v>
      </c>
      <c r="P1019" s="259"/>
      <c r="Q1019" s="308">
        <f t="shared" si="155"/>
        <v>5861</v>
      </c>
      <c r="R1019" s="92">
        <f t="shared" si="146"/>
        <v>0</v>
      </c>
      <c r="S1019" s="92">
        <f t="shared" si="147"/>
        <v>5861</v>
      </c>
    </row>
    <row r="1020" spans="2:19" x14ac:dyDescent="0.2">
      <c r="B1020" s="88">
        <f t="shared" si="159"/>
        <v>302</v>
      </c>
      <c r="C1020" s="4"/>
      <c r="D1020" s="4"/>
      <c r="E1020" s="4"/>
      <c r="F1020" s="30" t="s">
        <v>131</v>
      </c>
      <c r="G1020" s="4">
        <v>634</v>
      </c>
      <c r="H1020" s="4" t="s">
        <v>144</v>
      </c>
      <c r="I1020" s="23">
        <v>0</v>
      </c>
      <c r="J1020" s="23">
        <v>1000</v>
      </c>
      <c r="K1020" s="220">
        <f t="shared" ref="K1020" si="160">I1020+J1020</f>
        <v>1000</v>
      </c>
      <c r="L1020" s="259"/>
      <c r="M1020" s="227"/>
      <c r="N1020" s="23"/>
      <c r="O1020" s="220">
        <f t="shared" ref="O1020" si="161">M1020+N1020</f>
        <v>0</v>
      </c>
      <c r="P1020" s="259"/>
      <c r="Q1020" s="308">
        <f t="shared" ref="Q1020" si="162">I1020+M1020</f>
        <v>0</v>
      </c>
      <c r="R1020" s="92">
        <f t="shared" ref="R1020" si="163">J1020+N1020</f>
        <v>1000</v>
      </c>
      <c r="S1020" s="92">
        <f t="shared" ref="S1020" si="164">K1020+O1020</f>
        <v>1000</v>
      </c>
    </row>
    <row r="1021" spans="2:19" x14ac:dyDescent="0.2">
      <c r="B1021" s="88">
        <f t="shared" si="159"/>
        <v>303</v>
      </c>
      <c r="C1021" s="4"/>
      <c r="D1021" s="4"/>
      <c r="E1021" s="4"/>
      <c r="F1021" s="30" t="s">
        <v>131</v>
      </c>
      <c r="G1021" s="4">
        <v>635</v>
      </c>
      <c r="H1021" s="4" t="s">
        <v>145</v>
      </c>
      <c r="I1021" s="23">
        <v>2080</v>
      </c>
      <c r="J1021" s="23"/>
      <c r="K1021" s="220">
        <f t="shared" si="144"/>
        <v>2080</v>
      </c>
      <c r="L1021" s="259"/>
      <c r="M1021" s="227"/>
      <c r="N1021" s="23"/>
      <c r="O1021" s="220">
        <f t="shared" si="145"/>
        <v>0</v>
      </c>
      <c r="P1021" s="259"/>
      <c r="Q1021" s="308">
        <f t="shared" si="155"/>
        <v>2080</v>
      </c>
      <c r="R1021" s="92">
        <f t="shared" si="146"/>
        <v>0</v>
      </c>
      <c r="S1021" s="92">
        <f t="shared" si="147"/>
        <v>2080</v>
      </c>
    </row>
    <row r="1022" spans="2:19" x14ac:dyDescent="0.2">
      <c r="B1022" s="88">
        <f t="shared" si="159"/>
        <v>304</v>
      </c>
      <c r="C1022" s="4"/>
      <c r="D1022" s="4"/>
      <c r="E1022" s="4"/>
      <c r="F1022" s="30" t="s">
        <v>131</v>
      </c>
      <c r="G1022" s="4">
        <v>637</v>
      </c>
      <c r="H1022" s="4" t="s">
        <v>134</v>
      </c>
      <c r="I1022" s="23">
        <v>9280</v>
      </c>
      <c r="J1022" s="23"/>
      <c r="K1022" s="220">
        <f t="shared" si="144"/>
        <v>9280</v>
      </c>
      <c r="L1022" s="259"/>
      <c r="M1022" s="227"/>
      <c r="N1022" s="23"/>
      <c r="O1022" s="220">
        <f t="shared" si="145"/>
        <v>0</v>
      </c>
      <c r="P1022" s="259"/>
      <c r="Q1022" s="308">
        <f t="shared" si="155"/>
        <v>9280</v>
      </c>
      <c r="R1022" s="92">
        <f t="shared" si="146"/>
        <v>0</v>
      </c>
      <c r="S1022" s="92">
        <f t="shared" si="147"/>
        <v>9280</v>
      </c>
    </row>
    <row r="1023" spans="2:19" x14ac:dyDescent="0.2">
      <c r="B1023" s="88">
        <f t="shared" si="159"/>
        <v>305</v>
      </c>
      <c r="C1023" s="10"/>
      <c r="D1023" s="10"/>
      <c r="E1023" s="10"/>
      <c r="F1023" s="29" t="s">
        <v>131</v>
      </c>
      <c r="G1023" s="10">
        <v>640</v>
      </c>
      <c r="H1023" s="10" t="s">
        <v>141</v>
      </c>
      <c r="I1023" s="27">
        <f>315-65</f>
        <v>250</v>
      </c>
      <c r="J1023" s="27"/>
      <c r="K1023" s="250">
        <f t="shared" si="144"/>
        <v>250</v>
      </c>
      <c r="L1023" s="259"/>
      <c r="M1023" s="315"/>
      <c r="N1023" s="27"/>
      <c r="O1023" s="250">
        <f t="shared" si="145"/>
        <v>0</v>
      </c>
      <c r="P1023" s="259"/>
      <c r="Q1023" s="309">
        <f t="shared" si="155"/>
        <v>250</v>
      </c>
      <c r="R1023" s="91">
        <f t="shared" si="146"/>
        <v>0</v>
      </c>
      <c r="S1023" s="91">
        <f t="shared" si="147"/>
        <v>250</v>
      </c>
    </row>
    <row r="1024" spans="2:19" x14ac:dyDescent="0.2">
      <c r="B1024" s="88">
        <f t="shared" si="148"/>
        <v>306</v>
      </c>
      <c r="C1024" s="10"/>
      <c r="D1024" s="10"/>
      <c r="E1024" s="10"/>
      <c r="F1024" s="29" t="s">
        <v>118</v>
      </c>
      <c r="G1024" s="10">
        <v>610</v>
      </c>
      <c r="H1024" s="10" t="s">
        <v>143</v>
      </c>
      <c r="I1024" s="27">
        <f>126145+11681+6018+11681</f>
        <v>155525</v>
      </c>
      <c r="J1024" s="27"/>
      <c r="K1024" s="250">
        <f t="shared" si="144"/>
        <v>155525</v>
      </c>
      <c r="L1024" s="259"/>
      <c r="M1024" s="315"/>
      <c r="N1024" s="27"/>
      <c r="O1024" s="250">
        <f t="shared" si="145"/>
        <v>0</v>
      </c>
      <c r="P1024" s="259"/>
      <c r="Q1024" s="309">
        <f t="shared" si="155"/>
        <v>155525</v>
      </c>
      <c r="R1024" s="91">
        <f t="shared" si="146"/>
        <v>0</v>
      </c>
      <c r="S1024" s="91">
        <f t="shared" si="147"/>
        <v>155525</v>
      </c>
    </row>
    <row r="1025" spans="2:19" x14ac:dyDescent="0.2">
      <c r="B1025" s="88">
        <f t="shared" si="148"/>
        <v>307</v>
      </c>
      <c r="C1025" s="10"/>
      <c r="D1025" s="10"/>
      <c r="E1025" s="10"/>
      <c r="F1025" s="29" t="s">
        <v>118</v>
      </c>
      <c r="G1025" s="10">
        <v>620</v>
      </c>
      <c r="H1025" s="10" t="s">
        <v>136</v>
      </c>
      <c r="I1025" s="27">
        <f>44200+4083+2096+4083</f>
        <v>54462</v>
      </c>
      <c r="J1025" s="27"/>
      <c r="K1025" s="250">
        <f t="shared" si="144"/>
        <v>54462</v>
      </c>
      <c r="L1025" s="259"/>
      <c r="M1025" s="315"/>
      <c r="N1025" s="27"/>
      <c r="O1025" s="250">
        <f t="shared" si="145"/>
        <v>0</v>
      </c>
      <c r="P1025" s="259"/>
      <c r="Q1025" s="309">
        <f t="shared" si="155"/>
        <v>54462</v>
      </c>
      <c r="R1025" s="91">
        <f t="shared" si="146"/>
        <v>0</v>
      </c>
      <c r="S1025" s="91">
        <f t="shared" si="147"/>
        <v>54462</v>
      </c>
    </row>
    <row r="1026" spans="2:19" x14ac:dyDescent="0.2">
      <c r="B1026" s="88">
        <f t="shared" si="148"/>
        <v>308</v>
      </c>
      <c r="C1026" s="10"/>
      <c r="D1026" s="10"/>
      <c r="E1026" s="10"/>
      <c r="F1026" s="29" t="s">
        <v>118</v>
      </c>
      <c r="G1026" s="10">
        <v>630</v>
      </c>
      <c r="H1026" s="10" t="s">
        <v>133</v>
      </c>
      <c r="I1026" s="27">
        <f>SUM(I1027:I1032)</f>
        <v>73952</v>
      </c>
      <c r="J1026" s="27">
        <f>SUM(J1027:J1032)</f>
        <v>0</v>
      </c>
      <c r="K1026" s="250">
        <f t="shared" si="144"/>
        <v>73952</v>
      </c>
      <c r="L1026" s="259"/>
      <c r="M1026" s="315"/>
      <c r="N1026" s="27"/>
      <c r="O1026" s="250">
        <f t="shared" si="145"/>
        <v>0</v>
      </c>
      <c r="P1026" s="259"/>
      <c r="Q1026" s="309">
        <f t="shared" si="155"/>
        <v>73952</v>
      </c>
      <c r="R1026" s="91">
        <f t="shared" si="146"/>
        <v>0</v>
      </c>
      <c r="S1026" s="91">
        <f t="shared" si="147"/>
        <v>73952</v>
      </c>
    </row>
    <row r="1027" spans="2:19" x14ac:dyDescent="0.2">
      <c r="B1027" s="88">
        <f t="shared" si="148"/>
        <v>309</v>
      </c>
      <c r="C1027" s="4"/>
      <c r="D1027" s="4"/>
      <c r="E1027" s="4"/>
      <c r="F1027" s="30" t="s">
        <v>118</v>
      </c>
      <c r="G1027" s="4">
        <v>631</v>
      </c>
      <c r="H1027" s="4" t="s">
        <v>139</v>
      </c>
      <c r="I1027" s="23">
        <v>305</v>
      </c>
      <c r="J1027" s="23"/>
      <c r="K1027" s="220">
        <f t="shared" si="144"/>
        <v>305</v>
      </c>
      <c r="L1027" s="259"/>
      <c r="M1027" s="227"/>
      <c r="N1027" s="23"/>
      <c r="O1027" s="220">
        <f t="shared" si="145"/>
        <v>0</v>
      </c>
      <c r="P1027" s="259"/>
      <c r="Q1027" s="308">
        <f t="shared" si="155"/>
        <v>305</v>
      </c>
      <c r="R1027" s="92">
        <f t="shared" si="146"/>
        <v>0</v>
      </c>
      <c r="S1027" s="92">
        <f t="shared" si="147"/>
        <v>305</v>
      </c>
    </row>
    <row r="1028" spans="2:19" x14ac:dyDescent="0.2">
      <c r="B1028" s="88">
        <f t="shared" si="148"/>
        <v>310</v>
      </c>
      <c r="C1028" s="4"/>
      <c r="D1028" s="4"/>
      <c r="E1028" s="4"/>
      <c r="F1028" s="30" t="s">
        <v>118</v>
      </c>
      <c r="G1028" s="4">
        <v>632</v>
      </c>
      <c r="H1028" s="4" t="s">
        <v>146</v>
      </c>
      <c r="I1028" s="23">
        <f>57880-15000</f>
        <v>42880</v>
      </c>
      <c r="J1028" s="23"/>
      <c r="K1028" s="220">
        <f t="shared" si="144"/>
        <v>42880</v>
      </c>
      <c r="L1028" s="259"/>
      <c r="M1028" s="227"/>
      <c r="N1028" s="23"/>
      <c r="O1028" s="220">
        <f t="shared" si="145"/>
        <v>0</v>
      </c>
      <c r="P1028" s="259"/>
      <c r="Q1028" s="308">
        <f t="shared" si="155"/>
        <v>42880</v>
      </c>
      <c r="R1028" s="92">
        <f t="shared" si="146"/>
        <v>0</v>
      </c>
      <c r="S1028" s="92">
        <f t="shared" si="147"/>
        <v>42880</v>
      </c>
    </row>
    <row r="1029" spans="2:19" x14ac:dyDescent="0.2">
      <c r="B1029" s="88">
        <f t="shared" si="148"/>
        <v>311</v>
      </c>
      <c r="C1029" s="4"/>
      <c r="D1029" s="4"/>
      <c r="E1029" s="4"/>
      <c r="F1029" s="30" t="s">
        <v>118</v>
      </c>
      <c r="G1029" s="4">
        <v>633</v>
      </c>
      <c r="H1029" s="4" t="s">
        <v>137</v>
      </c>
      <c r="I1029" s="23">
        <f>14036+321</f>
        <v>14357</v>
      </c>
      <c r="J1029" s="23"/>
      <c r="K1029" s="220">
        <f t="shared" si="144"/>
        <v>14357</v>
      </c>
      <c r="L1029" s="259"/>
      <c r="M1029" s="227"/>
      <c r="N1029" s="23"/>
      <c r="O1029" s="220">
        <f t="shared" si="145"/>
        <v>0</v>
      </c>
      <c r="P1029" s="259"/>
      <c r="Q1029" s="308">
        <f t="shared" si="155"/>
        <v>14357</v>
      </c>
      <c r="R1029" s="92">
        <f t="shared" si="146"/>
        <v>0</v>
      </c>
      <c r="S1029" s="92">
        <f t="shared" si="147"/>
        <v>14357</v>
      </c>
    </row>
    <row r="1030" spans="2:19" x14ac:dyDescent="0.2">
      <c r="B1030" s="88">
        <f t="shared" si="148"/>
        <v>312</v>
      </c>
      <c r="C1030" s="4"/>
      <c r="D1030" s="4"/>
      <c r="E1030" s="4"/>
      <c r="F1030" s="30" t="s">
        <v>118</v>
      </c>
      <c r="G1030" s="4">
        <v>634</v>
      </c>
      <c r="H1030" s="4" t="s">
        <v>144</v>
      </c>
      <c r="I1030" s="23">
        <v>800</v>
      </c>
      <c r="J1030" s="23"/>
      <c r="K1030" s="220">
        <f t="shared" si="144"/>
        <v>800</v>
      </c>
      <c r="L1030" s="259"/>
      <c r="M1030" s="227"/>
      <c r="N1030" s="23"/>
      <c r="O1030" s="220">
        <f t="shared" si="145"/>
        <v>0</v>
      </c>
      <c r="P1030" s="259"/>
      <c r="Q1030" s="308">
        <f t="shared" si="155"/>
        <v>800</v>
      </c>
      <c r="R1030" s="92">
        <f t="shared" si="146"/>
        <v>0</v>
      </c>
      <c r="S1030" s="92">
        <f t="shared" si="147"/>
        <v>800</v>
      </c>
    </row>
    <row r="1031" spans="2:19" x14ac:dyDescent="0.2">
      <c r="B1031" s="88">
        <f t="shared" si="148"/>
        <v>313</v>
      </c>
      <c r="C1031" s="4"/>
      <c r="D1031" s="4"/>
      <c r="E1031" s="4"/>
      <c r="F1031" s="30" t="s">
        <v>118</v>
      </c>
      <c r="G1031" s="4">
        <v>635</v>
      </c>
      <c r="H1031" s="4" t="s">
        <v>145</v>
      </c>
      <c r="I1031" s="23">
        <v>3780</v>
      </c>
      <c r="J1031" s="23"/>
      <c r="K1031" s="220">
        <f t="shared" si="144"/>
        <v>3780</v>
      </c>
      <c r="L1031" s="259"/>
      <c r="M1031" s="227"/>
      <c r="N1031" s="23"/>
      <c r="O1031" s="220">
        <f t="shared" si="145"/>
        <v>0</v>
      </c>
      <c r="P1031" s="259"/>
      <c r="Q1031" s="308">
        <f t="shared" si="155"/>
        <v>3780</v>
      </c>
      <c r="R1031" s="92">
        <f t="shared" si="146"/>
        <v>0</v>
      </c>
      <c r="S1031" s="92">
        <f t="shared" si="147"/>
        <v>3780</v>
      </c>
    </row>
    <row r="1032" spans="2:19" x14ac:dyDescent="0.2">
      <c r="B1032" s="88">
        <f t="shared" si="148"/>
        <v>314</v>
      </c>
      <c r="C1032" s="4"/>
      <c r="D1032" s="4"/>
      <c r="E1032" s="4"/>
      <c r="F1032" s="30" t="s">
        <v>118</v>
      </c>
      <c r="G1032" s="4">
        <v>637</v>
      </c>
      <c r="H1032" s="4" t="s">
        <v>134</v>
      </c>
      <c r="I1032" s="23">
        <v>11830</v>
      </c>
      <c r="J1032" s="23"/>
      <c r="K1032" s="220">
        <f t="shared" si="144"/>
        <v>11830</v>
      </c>
      <c r="L1032" s="259"/>
      <c r="M1032" s="227"/>
      <c r="N1032" s="23"/>
      <c r="O1032" s="220">
        <f t="shared" si="145"/>
        <v>0</v>
      </c>
      <c r="P1032" s="259"/>
      <c r="Q1032" s="308">
        <f t="shared" si="155"/>
        <v>11830</v>
      </c>
      <c r="R1032" s="92">
        <f t="shared" si="146"/>
        <v>0</v>
      </c>
      <c r="S1032" s="92">
        <f t="shared" si="147"/>
        <v>11830</v>
      </c>
    </row>
    <row r="1033" spans="2:19" x14ac:dyDescent="0.2">
      <c r="B1033" s="88">
        <f t="shared" si="148"/>
        <v>315</v>
      </c>
      <c r="C1033" s="10"/>
      <c r="D1033" s="10"/>
      <c r="E1033" s="10"/>
      <c r="F1033" s="29" t="s">
        <v>118</v>
      </c>
      <c r="G1033" s="10">
        <v>640</v>
      </c>
      <c r="H1033" s="10" t="s">
        <v>141</v>
      </c>
      <c r="I1033" s="27">
        <f>315-65</f>
        <v>250</v>
      </c>
      <c r="J1033" s="27"/>
      <c r="K1033" s="250">
        <f t="shared" si="144"/>
        <v>250</v>
      </c>
      <c r="L1033" s="259"/>
      <c r="M1033" s="315"/>
      <c r="N1033" s="27"/>
      <c r="O1033" s="250">
        <f t="shared" si="145"/>
        <v>0</v>
      </c>
      <c r="P1033" s="259"/>
      <c r="Q1033" s="309">
        <f t="shared" si="155"/>
        <v>250</v>
      </c>
      <c r="R1033" s="91">
        <f t="shared" si="146"/>
        <v>0</v>
      </c>
      <c r="S1033" s="91">
        <f t="shared" si="147"/>
        <v>250</v>
      </c>
    </row>
    <row r="1034" spans="2:19" x14ac:dyDescent="0.2">
      <c r="B1034" s="88">
        <f t="shared" si="148"/>
        <v>316</v>
      </c>
      <c r="C1034" s="10"/>
      <c r="D1034" s="10"/>
      <c r="E1034" s="10"/>
      <c r="F1034" s="29"/>
      <c r="G1034" s="10">
        <v>600</v>
      </c>
      <c r="H1034" s="10" t="s">
        <v>594</v>
      </c>
      <c r="I1034" s="27">
        <v>24304</v>
      </c>
      <c r="J1034" s="27"/>
      <c r="K1034" s="250">
        <f t="shared" si="144"/>
        <v>24304</v>
      </c>
      <c r="L1034" s="259"/>
      <c r="M1034" s="315"/>
      <c r="N1034" s="27"/>
      <c r="O1034" s="250">
        <f t="shared" si="145"/>
        <v>0</v>
      </c>
      <c r="P1034" s="259"/>
      <c r="Q1034" s="309">
        <f t="shared" si="155"/>
        <v>24304</v>
      </c>
      <c r="R1034" s="91">
        <f t="shared" si="146"/>
        <v>0</v>
      </c>
      <c r="S1034" s="91">
        <f t="shared" si="147"/>
        <v>24304</v>
      </c>
    </row>
    <row r="1035" spans="2:19" x14ac:dyDescent="0.2">
      <c r="B1035" s="88">
        <f t="shared" si="148"/>
        <v>317</v>
      </c>
      <c r="C1035" s="10"/>
      <c r="D1035" s="10"/>
      <c r="E1035" s="10"/>
      <c r="F1035" s="29" t="s">
        <v>118</v>
      </c>
      <c r="G1035" s="10">
        <v>710</v>
      </c>
      <c r="H1035" s="10" t="s">
        <v>188</v>
      </c>
      <c r="I1035" s="27"/>
      <c r="J1035" s="27"/>
      <c r="K1035" s="250">
        <f t="shared" si="144"/>
        <v>0</v>
      </c>
      <c r="L1035" s="259"/>
      <c r="M1035" s="315">
        <f>M1036</f>
        <v>51950</v>
      </c>
      <c r="N1035" s="27">
        <f t="shared" ref="N1035" si="165">N1036</f>
        <v>0</v>
      </c>
      <c r="O1035" s="250">
        <f t="shared" si="145"/>
        <v>51950</v>
      </c>
      <c r="P1035" s="259"/>
      <c r="Q1035" s="309">
        <f t="shared" si="155"/>
        <v>51950</v>
      </c>
      <c r="R1035" s="91">
        <f t="shared" si="146"/>
        <v>0</v>
      </c>
      <c r="S1035" s="91">
        <f t="shared" si="147"/>
        <v>51950</v>
      </c>
    </row>
    <row r="1036" spans="2:19" x14ac:dyDescent="0.2">
      <c r="B1036" s="88">
        <f t="shared" si="148"/>
        <v>318</v>
      </c>
      <c r="C1036" s="4"/>
      <c r="D1036" s="4"/>
      <c r="E1036" s="4"/>
      <c r="F1036" s="30" t="s">
        <v>118</v>
      </c>
      <c r="G1036" s="4">
        <v>717</v>
      </c>
      <c r="H1036" s="4" t="s">
        <v>198</v>
      </c>
      <c r="I1036" s="23"/>
      <c r="J1036" s="23"/>
      <c r="K1036" s="220">
        <f t="shared" si="144"/>
        <v>0</v>
      </c>
      <c r="L1036" s="368"/>
      <c r="M1036" s="227">
        <f>SUM(M1037:M1037)</f>
        <v>51950</v>
      </c>
      <c r="N1036" s="23">
        <f t="shared" ref="N1036" si="166">SUM(N1037:N1037)</f>
        <v>0</v>
      </c>
      <c r="O1036" s="220">
        <f t="shared" si="145"/>
        <v>51950</v>
      </c>
      <c r="P1036" s="259"/>
      <c r="Q1036" s="308">
        <f t="shared" si="155"/>
        <v>51950</v>
      </c>
      <c r="R1036" s="92">
        <f t="shared" si="146"/>
        <v>0</v>
      </c>
      <c r="S1036" s="92">
        <f t="shared" si="147"/>
        <v>51950</v>
      </c>
    </row>
    <row r="1037" spans="2:19" x14ac:dyDescent="0.2">
      <c r="B1037" s="88">
        <f t="shared" si="148"/>
        <v>319</v>
      </c>
      <c r="C1037" s="5"/>
      <c r="D1037" s="5"/>
      <c r="E1037" s="5"/>
      <c r="F1037" s="31"/>
      <c r="G1037" s="5"/>
      <c r="H1037" s="5" t="s">
        <v>330</v>
      </c>
      <c r="I1037" s="25"/>
      <c r="J1037" s="25"/>
      <c r="K1037" s="251">
        <f t="shared" si="144"/>
        <v>0</v>
      </c>
      <c r="L1037" s="259"/>
      <c r="M1037" s="349">
        <f>60000-7000-1050</f>
        <v>51950</v>
      </c>
      <c r="N1037" s="44"/>
      <c r="O1037" s="354">
        <f t="shared" si="145"/>
        <v>51950</v>
      </c>
      <c r="P1037" s="259"/>
      <c r="Q1037" s="332">
        <f t="shared" si="155"/>
        <v>51950</v>
      </c>
      <c r="R1037" s="93">
        <f t="shared" si="146"/>
        <v>0</v>
      </c>
      <c r="S1037" s="93">
        <f t="shared" si="147"/>
        <v>51950</v>
      </c>
    </row>
    <row r="1038" spans="2:19" ht="15" x14ac:dyDescent="0.25">
      <c r="B1038" s="88">
        <f t="shared" si="148"/>
        <v>320</v>
      </c>
      <c r="C1038" s="13"/>
      <c r="D1038" s="13"/>
      <c r="E1038" s="13">
        <v>11</v>
      </c>
      <c r="F1038" s="32"/>
      <c r="G1038" s="13"/>
      <c r="H1038" s="13" t="s">
        <v>11</v>
      </c>
      <c r="I1038" s="42">
        <f>I1039+I1040+I1041+I1048+I1049+I1050+I1051+I1057+I1058</f>
        <v>1342118</v>
      </c>
      <c r="J1038" s="42">
        <f>J1039+J1040+J1041+J1048+J1049+J1050+J1051+J1057+J1058</f>
        <v>1610</v>
      </c>
      <c r="K1038" s="255">
        <f t="shared" si="144"/>
        <v>1343728</v>
      </c>
      <c r="L1038" s="259"/>
      <c r="M1038" s="317">
        <v>0</v>
      </c>
      <c r="N1038" s="42">
        <v>0</v>
      </c>
      <c r="O1038" s="255">
        <f t="shared" si="145"/>
        <v>0</v>
      </c>
      <c r="P1038" s="259"/>
      <c r="Q1038" s="312">
        <f t="shared" si="155"/>
        <v>1342118</v>
      </c>
      <c r="R1038" s="99">
        <f t="shared" si="146"/>
        <v>1610</v>
      </c>
      <c r="S1038" s="99">
        <f t="shared" si="147"/>
        <v>1343728</v>
      </c>
    </row>
    <row r="1039" spans="2:19" x14ac:dyDescent="0.2">
      <c r="B1039" s="88">
        <f t="shared" si="148"/>
        <v>321</v>
      </c>
      <c r="C1039" s="10"/>
      <c r="D1039" s="10"/>
      <c r="E1039" s="10"/>
      <c r="F1039" s="29" t="s">
        <v>131</v>
      </c>
      <c r="G1039" s="10">
        <v>610</v>
      </c>
      <c r="H1039" s="10" t="s">
        <v>143</v>
      </c>
      <c r="I1039" s="27">
        <f>275039+21295-5012-21295</f>
        <v>270027</v>
      </c>
      <c r="J1039" s="27"/>
      <c r="K1039" s="250">
        <f t="shared" si="144"/>
        <v>270027</v>
      </c>
      <c r="L1039" s="259"/>
      <c r="M1039" s="315"/>
      <c r="N1039" s="27"/>
      <c r="O1039" s="250">
        <f t="shared" si="145"/>
        <v>0</v>
      </c>
      <c r="P1039" s="259"/>
      <c r="Q1039" s="309">
        <f t="shared" si="155"/>
        <v>270027</v>
      </c>
      <c r="R1039" s="91">
        <f t="shared" si="146"/>
        <v>0</v>
      </c>
      <c r="S1039" s="91">
        <f t="shared" si="147"/>
        <v>270027</v>
      </c>
    </row>
    <row r="1040" spans="2:19" x14ac:dyDescent="0.2">
      <c r="B1040" s="88">
        <f t="shared" si="148"/>
        <v>322</v>
      </c>
      <c r="C1040" s="10"/>
      <c r="D1040" s="10"/>
      <c r="E1040" s="10"/>
      <c r="F1040" s="29" t="s">
        <v>131</v>
      </c>
      <c r="G1040" s="10">
        <v>620</v>
      </c>
      <c r="H1040" s="10" t="s">
        <v>136</v>
      </c>
      <c r="I1040" s="27">
        <f>96254+8081-1755-8081</f>
        <v>94499</v>
      </c>
      <c r="J1040" s="27"/>
      <c r="K1040" s="250">
        <f t="shared" si="144"/>
        <v>94499</v>
      </c>
      <c r="L1040" s="259"/>
      <c r="M1040" s="315"/>
      <c r="N1040" s="27"/>
      <c r="O1040" s="250">
        <f t="shared" si="145"/>
        <v>0</v>
      </c>
      <c r="P1040" s="259"/>
      <c r="Q1040" s="309">
        <f t="shared" si="155"/>
        <v>94499</v>
      </c>
      <c r="R1040" s="91">
        <f t="shared" si="146"/>
        <v>0</v>
      </c>
      <c r="S1040" s="91">
        <f t="shared" si="147"/>
        <v>94499</v>
      </c>
    </row>
    <row r="1041" spans="2:19" x14ac:dyDescent="0.2">
      <c r="B1041" s="88">
        <f t="shared" si="148"/>
        <v>323</v>
      </c>
      <c r="C1041" s="10"/>
      <c r="D1041" s="10"/>
      <c r="E1041" s="10"/>
      <c r="F1041" s="29" t="s">
        <v>131</v>
      </c>
      <c r="G1041" s="10">
        <v>630</v>
      </c>
      <c r="H1041" s="10" t="s">
        <v>133</v>
      </c>
      <c r="I1041" s="27">
        <f>SUM(I1042:I1047)</f>
        <v>66290</v>
      </c>
      <c r="J1041" s="27">
        <f>SUM(J1042:J1047)</f>
        <v>1610</v>
      </c>
      <c r="K1041" s="250">
        <f t="shared" si="144"/>
        <v>67900</v>
      </c>
      <c r="L1041" s="259"/>
      <c r="M1041" s="315"/>
      <c r="N1041" s="27"/>
      <c r="O1041" s="250">
        <f t="shared" si="145"/>
        <v>0</v>
      </c>
      <c r="P1041" s="259"/>
      <c r="Q1041" s="309">
        <f t="shared" si="155"/>
        <v>66290</v>
      </c>
      <c r="R1041" s="91">
        <f t="shared" si="146"/>
        <v>1610</v>
      </c>
      <c r="S1041" s="91">
        <f t="shared" si="147"/>
        <v>67900</v>
      </c>
    </row>
    <row r="1042" spans="2:19" x14ac:dyDescent="0.2">
      <c r="B1042" s="88">
        <f t="shared" si="148"/>
        <v>324</v>
      </c>
      <c r="C1042" s="4"/>
      <c r="D1042" s="4"/>
      <c r="E1042" s="4"/>
      <c r="F1042" s="30" t="s">
        <v>131</v>
      </c>
      <c r="G1042" s="4">
        <v>631</v>
      </c>
      <c r="H1042" s="4" t="s">
        <v>139</v>
      </c>
      <c r="I1042" s="23">
        <v>17</v>
      </c>
      <c r="J1042" s="23"/>
      <c r="K1042" s="220">
        <f t="shared" si="144"/>
        <v>17</v>
      </c>
      <c r="L1042" s="259"/>
      <c r="M1042" s="227"/>
      <c r="N1042" s="23"/>
      <c r="O1042" s="220">
        <f t="shared" si="145"/>
        <v>0</v>
      </c>
      <c r="P1042" s="259"/>
      <c r="Q1042" s="308">
        <f t="shared" si="155"/>
        <v>17</v>
      </c>
      <c r="R1042" s="92">
        <f t="shared" si="146"/>
        <v>0</v>
      </c>
      <c r="S1042" s="92">
        <f t="shared" si="147"/>
        <v>17</v>
      </c>
    </row>
    <row r="1043" spans="2:19" x14ac:dyDescent="0.2">
      <c r="B1043" s="88">
        <f t="shared" si="148"/>
        <v>325</v>
      </c>
      <c r="C1043" s="4"/>
      <c r="D1043" s="4"/>
      <c r="E1043" s="4"/>
      <c r="F1043" s="30" t="s">
        <v>131</v>
      </c>
      <c r="G1043" s="4">
        <v>632</v>
      </c>
      <c r="H1043" s="4" t="s">
        <v>146</v>
      </c>
      <c r="I1043" s="23">
        <f>12010-1312</f>
        <v>10698</v>
      </c>
      <c r="J1043" s="23"/>
      <c r="K1043" s="220">
        <f t="shared" si="144"/>
        <v>10698</v>
      </c>
      <c r="L1043" s="259"/>
      <c r="M1043" s="227"/>
      <c r="N1043" s="23"/>
      <c r="O1043" s="220">
        <f t="shared" si="145"/>
        <v>0</v>
      </c>
      <c r="P1043" s="259"/>
      <c r="Q1043" s="308">
        <f t="shared" si="155"/>
        <v>10698</v>
      </c>
      <c r="R1043" s="92">
        <f t="shared" si="146"/>
        <v>0</v>
      </c>
      <c r="S1043" s="92">
        <f t="shared" si="147"/>
        <v>10698</v>
      </c>
    </row>
    <row r="1044" spans="2:19" x14ac:dyDescent="0.2">
      <c r="B1044" s="88">
        <f t="shared" si="148"/>
        <v>326</v>
      </c>
      <c r="C1044" s="4"/>
      <c r="D1044" s="4"/>
      <c r="E1044" s="4"/>
      <c r="F1044" s="30" t="s">
        <v>131</v>
      </c>
      <c r="G1044" s="4">
        <v>633</v>
      </c>
      <c r="H1044" s="4" t="s">
        <v>137</v>
      </c>
      <c r="I1044" s="23">
        <v>18466</v>
      </c>
      <c r="J1044" s="23"/>
      <c r="K1044" s="220">
        <f t="shared" si="144"/>
        <v>18466</v>
      </c>
      <c r="L1044" s="259"/>
      <c r="M1044" s="227"/>
      <c r="N1044" s="23"/>
      <c r="O1044" s="220">
        <f t="shared" si="145"/>
        <v>0</v>
      </c>
      <c r="P1044" s="259"/>
      <c r="Q1044" s="308">
        <f t="shared" si="155"/>
        <v>18466</v>
      </c>
      <c r="R1044" s="92">
        <f t="shared" si="146"/>
        <v>0</v>
      </c>
      <c r="S1044" s="92">
        <f t="shared" si="147"/>
        <v>18466</v>
      </c>
    </row>
    <row r="1045" spans="2:19" x14ac:dyDescent="0.2">
      <c r="B1045" s="88">
        <f t="shared" si="148"/>
        <v>327</v>
      </c>
      <c r="C1045" s="4"/>
      <c r="D1045" s="4"/>
      <c r="E1045" s="4"/>
      <c r="F1045" s="30" t="s">
        <v>131</v>
      </c>
      <c r="G1045" s="4">
        <v>634</v>
      </c>
      <c r="H1045" s="4" t="s">
        <v>144</v>
      </c>
      <c r="I1045" s="23">
        <v>0</v>
      </c>
      <c r="J1045" s="23">
        <v>1610</v>
      </c>
      <c r="K1045" s="220">
        <f t="shared" si="144"/>
        <v>1610</v>
      </c>
      <c r="L1045" s="259"/>
      <c r="M1045" s="227"/>
      <c r="N1045" s="23"/>
      <c r="O1045" s="220">
        <f t="shared" ref="O1045" si="167">M1045+N1045</f>
        <v>0</v>
      </c>
      <c r="P1045" s="259"/>
      <c r="Q1045" s="308">
        <f t="shared" ref="Q1045" si="168">I1045+M1045</f>
        <v>0</v>
      </c>
      <c r="R1045" s="92">
        <f t="shared" ref="R1045" si="169">J1045+N1045</f>
        <v>1610</v>
      </c>
      <c r="S1045" s="92">
        <f t="shared" ref="S1045" si="170">K1045+O1045</f>
        <v>1610</v>
      </c>
    </row>
    <row r="1046" spans="2:19" x14ac:dyDescent="0.2">
      <c r="B1046" s="88">
        <f t="shared" si="148"/>
        <v>328</v>
      </c>
      <c r="C1046" s="4"/>
      <c r="D1046" s="4"/>
      <c r="E1046" s="4"/>
      <c r="F1046" s="30" t="s">
        <v>131</v>
      </c>
      <c r="G1046" s="4">
        <v>635</v>
      </c>
      <c r="H1046" s="4" t="s">
        <v>145</v>
      </c>
      <c r="I1046" s="23">
        <v>13354</v>
      </c>
      <c r="J1046" s="23"/>
      <c r="K1046" s="220">
        <f t="shared" si="144"/>
        <v>13354</v>
      </c>
      <c r="L1046" s="259"/>
      <c r="M1046" s="227"/>
      <c r="N1046" s="23"/>
      <c r="O1046" s="220">
        <f t="shared" si="145"/>
        <v>0</v>
      </c>
      <c r="P1046" s="259"/>
      <c r="Q1046" s="308">
        <f t="shared" si="155"/>
        <v>13354</v>
      </c>
      <c r="R1046" s="92">
        <f t="shared" si="146"/>
        <v>0</v>
      </c>
      <c r="S1046" s="92">
        <f t="shared" si="147"/>
        <v>13354</v>
      </c>
    </row>
    <row r="1047" spans="2:19" x14ac:dyDescent="0.2">
      <c r="B1047" s="88">
        <f t="shared" si="148"/>
        <v>329</v>
      </c>
      <c r="C1047" s="4"/>
      <c r="D1047" s="4"/>
      <c r="E1047" s="4"/>
      <c r="F1047" s="30" t="s">
        <v>131</v>
      </c>
      <c r="G1047" s="4">
        <v>637</v>
      </c>
      <c r="H1047" s="4" t="s">
        <v>134</v>
      </c>
      <c r="I1047" s="23">
        <v>23755</v>
      </c>
      <c r="J1047" s="23"/>
      <c r="K1047" s="220">
        <f t="shared" si="144"/>
        <v>23755</v>
      </c>
      <c r="L1047" s="259"/>
      <c r="M1047" s="227"/>
      <c r="N1047" s="23"/>
      <c r="O1047" s="220">
        <f t="shared" si="145"/>
        <v>0</v>
      </c>
      <c r="P1047" s="259"/>
      <c r="Q1047" s="308">
        <f t="shared" si="155"/>
        <v>23755</v>
      </c>
      <c r="R1047" s="92">
        <f t="shared" si="146"/>
        <v>0</v>
      </c>
      <c r="S1047" s="92">
        <f t="shared" si="147"/>
        <v>23755</v>
      </c>
    </row>
    <row r="1048" spans="2:19" x14ac:dyDescent="0.2">
      <c r="B1048" s="88">
        <f t="shared" si="148"/>
        <v>330</v>
      </c>
      <c r="C1048" s="10"/>
      <c r="D1048" s="10"/>
      <c r="E1048" s="10"/>
      <c r="F1048" s="29" t="s">
        <v>131</v>
      </c>
      <c r="G1048" s="10">
        <v>640</v>
      </c>
      <c r="H1048" s="10" t="s">
        <v>141</v>
      </c>
      <c r="I1048" s="27">
        <v>1470</v>
      </c>
      <c r="J1048" s="27"/>
      <c r="K1048" s="250">
        <f t="shared" si="144"/>
        <v>1470</v>
      </c>
      <c r="L1048" s="259"/>
      <c r="M1048" s="315"/>
      <c r="N1048" s="27"/>
      <c r="O1048" s="250">
        <f t="shared" si="145"/>
        <v>0</v>
      </c>
      <c r="P1048" s="259"/>
      <c r="Q1048" s="309">
        <f t="shared" si="155"/>
        <v>1470</v>
      </c>
      <c r="R1048" s="91">
        <f t="shared" si="146"/>
        <v>0</v>
      </c>
      <c r="S1048" s="91">
        <f t="shared" si="147"/>
        <v>1470</v>
      </c>
    </row>
    <row r="1049" spans="2:19" x14ac:dyDescent="0.2">
      <c r="B1049" s="88">
        <f t="shared" si="148"/>
        <v>331</v>
      </c>
      <c r="C1049" s="10"/>
      <c r="D1049" s="10"/>
      <c r="E1049" s="10"/>
      <c r="F1049" s="29" t="s">
        <v>118</v>
      </c>
      <c r="G1049" s="10">
        <v>610</v>
      </c>
      <c r="H1049" s="10" t="s">
        <v>143</v>
      </c>
      <c r="I1049" s="27">
        <f>482327+21295+21295</f>
        <v>524917</v>
      </c>
      <c r="J1049" s="27"/>
      <c r="K1049" s="250">
        <f t="shared" si="144"/>
        <v>524917</v>
      </c>
      <c r="L1049" s="259"/>
      <c r="M1049" s="315"/>
      <c r="N1049" s="27"/>
      <c r="O1049" s="250">
        <f t="shared" si="145"/>
        <v>0</v>
      </c>
      <c r="P1049" s="259"/>
      <c r="Q1049" s="309">
        <f t="shared" si="155"/>
        <v>524917</v>
      </c>
      <c r="R1049" s="91">
        <f t="shared" si="146"/>
        <v>0</v>
      </c>
      <c r="S1049" s="91">
        <f t="shared" si="147"/>
        <v>524917</v>
      </c>
    </row>
    <row r="1050" spans="2:19" x14ac:dyDescent="0.2">
      <c r="B1050" s="88">
        <f t="shared" si="148"/>
        <v>332</v>
      </c>
      <c r="C1050" s="10"/>
      <c r="D1050" s="10"/>
      <c r="E1050" s="10"/>
      <c r="F1050" s="29" t="s">
        <v>118</v>
      </c>
      <c r="G1050" s="10">
        <v>620</v>
      </c>
      <c r="H1050" s="10" t="s">
        <v>136</v>
      </c>
      <c r="I1050" s="27">
        <f>168790+8082+8821</f>
        <v>185693</v>
      </c>
      <c r="J1050" s="27"/>
      <c r="K1050" s="250">
        <f t="shared" si="144"/>
        <v>185693</v>
      </c>
      <c r="L1050" s="259"/>
      <c r="M1050" s="315"/>
      <c r="N1050" s="27"/>
      <c r="O1050" s="250">
        <f t="shared" si="145"/>
        <v>0</v>
      </c>
      <c r="P1050" s="259"/>
      <c r="Q1050" s="309">
        <f t="shared" si="155"/>
        <v>185693</v>
      </c>
      <c r="R1050" s="91">
        <f t="shared" si="146"/>
        <v>0</v>
      </c>
      <c r="S1050" s="91">
        <f t="shared" si="147"/>
        <v>185693</v>
      </c>
    </row>
    <row r="1051" spans="2:19" x14ac:dyDescent="0.2">
      <c r="B1051" s="88">
        <f t="shared" si="148"/>
        <v>333</v>
      </c>
      <c r="C1051" s="10"/>
      <c r="D1051" s="10"/>
      <c r="E1051" s="10"/>
      <c r="F1051" s="29" t="s">
        <v>118</v>
      </c>
      <c r="G1051" s="10">
        <v>630</v>
      </c>
      <c r="H1051" s="10" t="s">
        <v>133</v>
      </c>
      <c r="I1051" s="27">
        <f>SUM(I1052:I1056)</f>
        <v>189238</v>
      </c>
      <c r="J1051" s="27">
        <f>SUM(J1052:J1056)</f>
        <v>0</v>
      </c>
      <c r="K1051" s="250">
        <f t="shared" si="144"/>
        <v>189238</v>
      </c>
      <c r="L1051" s="259"/>
      <c r="M1051" s="315"/>
      <c r="N1051" s="27"/>
      <c r="O1051" s="250">
        <f t="shared" si="145"/>
        <v>0</v>
      </c>
      <c r="P1051" s="259"/>
      <c r="Q1051" s="309">
        <f t="shared" si="155"/>
        <v>189238</v>
      </c>
      <c r="R1051" s="91">
        <f t="shared" si="146"/>
        <v>0</v>
      </c>
      <c r="S1051" s="91">
        <f t="shared" si="147"/>
        <v>189238</v>
      </c>
    </row>
    <row r="1052" spans="2:19" x14ac:dyDescent="0.2">
      <c r="B1052" s="88">
        <f t="shared" si="148"/>
        <v>334</v>
      </c>
      <c r="C1052" s="4"/>
      <c r="D1052" s="4"/>
      <c r="E1052" s="4"/>
      <c r="F1052" s="30" t="s">
        <v>118</v>
      </c>
      <c r="G1052" s="4">
        <v>631</v>
      </c>
      <c r="H1052" s="4" t="s">
        <v>139</v>
      </c>
      <c r="I1052" s="23">
        <v>25</v>
      </c>
      <c r="J1052" s="23"/>
      <c r="K1052" s="220">
        <f t="shared" si="144"/>
        <v>25</v>
      </c>
      <c r="L1052" s="259"/>
      <c r="M1052" s="227"/>
      <c r="N1052" s="23"/>
      <c r="O1052" s="220">
        <f t="shared" si="145"/>
        <v>0</v>
      </c>
      <c r="P1052" s="259"/>
      <c r="Q1052" s="308">
        <f t="shared" si="155"/>
        <v>25</v>
      </c>
      <c r="R1052" s="92">
        <f t="shared" si="146"/>
        <v>0</v>
      </c>
      <c r="S1052" s="92">
        <f t="shared" si="147"/>
        <v>25</v>
      </c>
    </row>
    <row r="1053" spans="2:19" x14ac:dyDescent="0.2">
      <c r="B1053" s="88">
        <f t="shared" si="148"/>
        <v>335</v>
      </c>
      <c r="C1053" s="4"/>
      <c r="D1053" s="4"/>
      <c r="E1053" s="4"/>
      <c r="F1053" s="30" t="s">
        <v>118</v>
      </c>
      <c r="G1053" s="4">
        <v>632</v>
      </c>
      <c r="H1053" s="4" t="s">
        <v>146</v>
      </c>
      <c r="I1053" s="23">
        <v>65483</v>
      </c>
      <c r="J1053" s="23"/>
      <c r="K1053" s="220">
        <f t="shared" ref="K1053:K1119" si="171">I1053+J1053</f>
        <v>65483</v>
      </c>
      <c r="L1053" s="259"/>
      <c r="M1053" s="227"/>
      <c r="N1053" s="23"/>
      <c r="O1053" s="220">
        <f t="shared" ref="O1053:O1118" si="172">M1053+N1053</f>
        <v>0</v>
      </c>
      <c r="P1053" s="259"/>
      <c r="Q1053" s="308">
        <f t="shared" si="155"/>
        <v>65483</v>
      </c>
      <c r="R1053" s="92">
        <f t="shared" si="146"/>
        <v>0</v>
      </c>
      <c r="S1053" s="92">
        <f t="shared" si="147"/>
        <v>65483</v>
      </c>
    </row>
    <row r="1054" spans="2:19" x14ac:dyDescent="0.2">
      <c r="B1054" s="88">
        <f t="shared" ref="B1054:B1119" si="173">B1053+1</f>
        <v>336</v>
      </c>
      <c r="C1054" s="4"/>
      <c r="D1054" s="4"/>
      <c r="E1054" s="4"/>
      <c r="F1054" s="30" t="s">
        <v>118</v>
      </c>
      <c r="G1054" s="4">
        <v>633</v>
      </c>
      <c r="H1054" s="4" t="s">
        <v>137</v>
      </c>
      <c r="I1054" s="23">
        <v>40723</v>
      </c>
      <c r="J1054" s="23"/>
      <c r="K1054" s="220">
        <f t="shared" si="171"/>
        <v>40723</v>
      </c>
      <c r="L1054" s="259"/>
      <c r="M1054" s="227"/>
      <c r="N1054" s="23"/>
      <c r="O1054" s="220">
        <f t="shared" si="172"/>
        <v>0</v>
      </c>
      <c r="P1054" s="259"/>
      <c r="Q1054" s="308">
        <f t="shared" si="155"/>
        <v>40723</v>
      </c>
      <c r="R1054" s="92">
        <f t="shared" si="146"/>
        <v>0</v>
      </c>
      <c r="S1054" s="92">
        <f t="shared" si="147"/>
        <v>40723</v>
      </c>
    </row>
    <row r="1055" spans="2:19" x14ac:dyDescent="0.2">
      <c r="B1055" s="88">
        <f t="shared" si="173"/>
        <v>337</v>
      </c>
      <c r="C1055" s="4"/>
      <c r="D1055" s="4"/>
      <c r="E1055" s="4"/>
      <c r="F1055" s="30" t="s">
        <v>118</v>
      </c>
      <c r="G1055" s="4">
        <v>635</v>
      </c>
      <c r="H1055" s="4" t="s">
        <v>145</v>
      </c>
      <c r="I1055" s="23">
        <v>28445</v>
      </c>
      <c r="J1055" s="23"/>
      <c r="K1055" s="220">
        <f t="shared" si="171"/>
        <v>28445</v>
      </c>
      <c r="L1055" s="259"/>
      <c r="M1055" s="227"/>
      <c r="N1055" s="23"/>
      <c r="O1055" s="220">
        <f t="shared" si="172"/>
        <v>0</v>
      </c>
      <c r="P1055" s="259"/>
      <c r="Q1055" s="308">
        <f t="shared" si="155"/>
        <v>28445</v>
      </c>
      <c r="R1055" s="92">
        <f t="shared" si="146"/>
        <v>0</v>
      </c>
      <c r="S1055" s="92">
        <f t="shared" si="147"/>
        <v>28445</v>
      </c>
    </row>
    <row r="1056" spans="2:19" x14ac:dyDescent="0.2">
      <c r="B1056" s="88">
        <f t="shared" si="173"/>
        <v>338</v>
      </c>
      <c r="C1056" s="4"/>
      <c r="D1056" s="4"/>
      <c r="E1056" s="4"/>
      <c r="F1056" s="30" t="s">
        <v>118</v>
      </c>
      <c r="G1056" s="4">
        <v>637</v>
      </c>
      <c r="H1056" s="4" t="s">
        <v>134</v>
      </c>
      <c r="I1056" s="23">
        <f>49952+2500+2110</f>
        <v>54562</v>
      </c>
      <c r="J1056" s="23"/>
      <c r="K1056" s="220">
        <f t="shared" si="171"/>
        <v>54562</v>
      </c>
      <c r="L1056" s="259"/>
      <c r="M1056" s="227"/>
      <c r="N1056" s="23"/>
      <c r="O1056" s="220">
        <f t="shared" si="172"/>
        <v>0</v>
      </c>
      <c r="P1056" s="259"/>
      <c r="Q1056" s="308">
        <f t="shared" si="155"/>
        <v>54562</v>
      </c>
      <c r="R1056" s="92">
        <f t="shared" si="146"/>
        <v>0</v>
      </c>
      <c r="S1056" s="92">
        <f t="shared" si="147"/>
        <v>54562</v>
      </c>
    </row>
    <row r="1057" spans="2:19" x14ac:dyDescent="0.2">
      <c r="B1057" s="88">
        <f t="shared" si="173"/>
        <v>339</v>
      </c>
      <c r="C1057" s="10"/>
      <c r="D1057" s="10"/>
      <c r="E1057" s="10"/>
      <c r="F1057" s="29" t="s">
        <v>118</v>
      </c>
      <c r="G1057" s="10">
        <v>640</v>
      </c>
      <c r="H1057" s="10" t="s">
        <v>141</v>
      </c>
      <c r="I1057" s="27">
        <v>3865</v>
      </c>
      <c r="J1057" s="27"/>
      <c r="K1057" s="250">
        <f t="shared" si="171"/>
        <v>3865</v>
      </c>
      <c r="L1057" s="259"/>
      <c r="M1057" s="315"/>
      <c r="N1057" s="27"/>
      <c r="O1057" s="250">
        <f t="shared" si="172"/>
        <v>0</v>
      </c>
      <c r="P1057" s="259"/>
      <c r="Q1057" s="309">
        <f t="shared" si="155"/>
        <v>3865</v>
      </c>
      <c r="R1057" s="91">
        <f t="shared" si="146"/>
        <v>0</v>
      </c>
      <c r="S1057" s="91">
        <f t="shared" si="147"/>
        <v>3865</v>
      </c>
    </row>
    <row r="1058" spans="2:19" x14ac:dyDescent="0.2">
      <c r="B1058" s="88">
        <f t="shared" si="173"/>
        <v>340</v>
      </c>
      <c r="C1058" s="10"/>
      <c r="D1058" s="10"/>
      <c r="E1058" s="10"/>
      <c r="F1058" s="29"/>
      <c r="G1058" s="10">
        <v>630</v>
      </c>
      <c r="H1058" s="10" t="s">
        <v>594</v>
      </c>
      <c r="I1058" s="27">
        <v>6119</v>
      </c>
      <c r="J1058" s="27"/>
      <c r="K1058" s="250">
        <f t="shared" si="171"/>
        <v>6119</v>
      </c>
      <c r="L1058" s="259"/>
      <c r="M1058" s="315"/>
      <c r="N1058" s="27"/>
      <c r="O1058" s="250">
        <f t="shared" si="172"/>
        <v>0</v>
      </c>
      <c r="P1058" s="259"/>
      <c r="Q1058" s="309">
        <f t="shared" si="155"/>
        <v>6119</v>
      </c>
      <c r="R1058" s="91">
        <f t="shared" si="146"/>
        <v>0</v>
      </c>
      <c r="S1058" s="91">
        <f t="shared" si="147"/>
        <v>6119</v>
      </c>
    </row>
    <row r="1059" spans="2:19" ht="15" x14ac:dyDescent="0.25">
      <c r="B1059" s="88">
        <f t="shared" si="173"/>
        <v>341</v>
      </c>
      <c r="C1059" s="13"/>
      <c r="D1059" s="13"/>
      <c r="E1059" s="13">
        <v>12</v>
      </c>
      <c r="F1059" s="32"/>
      <c r="G1059" s="13"/>
      <c r="H1059" s="13" t="s">
        <v>9</v>
      </c>
      <c r="I1059" s="42">
        <f>I1060+I1061+I1062+I1070+I1071+I1072+I1073+I1080+I1081</f>
        <v>1279916</v>
      </c>
      <c r="J1059" s="42">
        <f>J1060+J1061+J1062+J1070+J1071+J1072+J1073+J1080+J1081</f>
        <v>4282</v>
      </c>
      <c r="K1059" s="255">
        <f t="shared" si="171"/>
        <v>1284198</v>
      </c>
      <c r="L1059" s="259"/>
      <c r="M1059" s="317">
        <v>0</v>
      </c>
      <c r="N1059" s="42">
        <v>0</v>
      </c>
      <c r="O1059" s="255">
        <f t="shared" si="172"/>
        <v>0</v>
      </c>
      <c r="P1059" s="259"/>
      <c r="Q1059" s="312">
        <f t="shared" si="155"/>
        <v>1279916</v>
      </c>
      <c r="R1059" s="99">
        <f t="shared" si="146"/>
        <v>4282</v>
      </c>
      <c r="S1059" s="99">
        <f t="shared" si="147"/>
        <v>1284198</v>
      </c>
    </row>
    <row r="1060" spans="2:19" x14ac:dyDescent="0.2">
      <c r="B1060" s="88">
        <f t="shared" si="173"/>
        <v>342</v>
      </c>
      <c r="C1060" s="10"/>
      <c r="D1060" s="10"/>
      <c r="E1060" s="10"/>
      <c r="F1060" s="29" t="s">
        <v>131</v>
      </c>
      <c r="G1060" s="10">
        <v>610</v>
      </c>
      <c r="H1060" s="10" t="s">
        <v>143</v>
      </c>
      <c r="I1060" s="27">
        <f>362610+14850-27320-14850</f>
        <v>335290</v>
      </c>
      <c r="J1060" s="27">
        <v>1950</v>
      </c>
      <c r="K1060" s="250">
        <f t="shared" si="171"/>
        <v>337240</v>
      </c>
      <c r="L1060" s="259"/>
      <c r="M1060" s="315"/>
      <c r="N1060" s="27"/>
      <c r="O1060" s="250">
        <f t="shared" si="172"/>
        <v>0</v>
      </c>
      <c r="P1060" s="259"/>
      <c r="Q1060" s="309">
        <f t="shared" si="155"/>
        <v>335290</v>
      </c>
      <c r="R1060" s="91">
        <f t="shared" ref="R1060:R1129" si="174">J1060+N1060</f>
        <v>1950</v>
      </c>
      <c r="S1060" s="91">
        <f t="shared" ref="S1060:S1129" si="175">K1060+O1060</f>
        <v>337240</v>
      </c>
    </row>
    <row r="1061" spans="2:19" x14ac:dyDescent="0.2">
      <c r="B1061" s="88">
        <f t="shared" si="173"/>
        <v>343</v>
      </c>
      <c r="C1061" s="10"/>
      <c r="D1061" s="10"/>
      <c r="E1061" s="10"/>
      <c r="F1061" s="29" t="s">
        <v>131</v>
      </c>
      <c r="G1061" s="10">
        <v>620</v>
      </c>
      <c r="H1061" s="10" t="s">
        <v>136</v>
      </c>
      <c r="I1061" s="27">
        <f>125960+5560-1414-5560</f>
        <v>124546</v>
      </c>
      <c r="J1061" s="27">
        <v>700</v>
      </c>
      <c r="K1061" s="250">
        <f t="shared" si="171"/>
        <v>125246</v>
      </c>
      <c r="L1061" s="259"/>
      <c r="M1061" s="315"/>
      <c r="N1061" s="27"/>
      <c r="O1061" s="250">
        <f t="shared" si="172"/>
        <v>0</v>
      </c>
      <c r="P1061" s="259"/>
      <c r="Q1061" s="309">
        <f t="shared" si="155"/>
        <v>124546</v>
      </c>
      <c r="R1061" s="91">
        <f t="shared" si="174"/>
        <v>700</v>
      </c>
      <c r="S1061" s="91">
        <f t="shared" si="175"/>
        <v>125246</v>
      </c>
    </row>
    <row r="1062" spans="2:19" x14ac:dyDescent="0.2">
      <c r="B1062" s="88">
        <f t="shared" si="173"/>
        <v>344</v>
      </c>
      <c r="C1062" s="10"/>
      <c r="D1062" s="10"/>
      <c r="E1062" s="10"/>
      <c r="F1062" s="29" t="s">
        <v>131</v>
      </c>
      <c r="G1062" s="10">
        <v>630</v>
      </c>
      <c r="H1062" s="10" t="s">
        <v>133</v>
      </c>
      <c r="I1062" s="27">
        <f>SUM(I1063:I1069)</f>
        <v>59280</v>
      </c>
      <c r="J1062" s="27">
        <f>SUM(J1063:J1069)</f>
        <v>1632</v>
      </c>
      <c r="K1062" s="250">
        <f t="shared" si="171"/>
        <v>60912</v>
      </c>
      <c r="L1062" s="259"/>
      <c r="M1062" s="315"/>
      <c r="N1062" s="27"/>
      <c r="O1062" s="250">
        <f t="shared" si="172"/>
        <v>0</v>
      </c>
      <c r="P1062" s="259"/>
      <c r="Q1062" s="309">
        <f t="shared" si="155"/>
        <v>59280</v>
      </c>
      <c r="R1062" s="91">
        <f t="shared" si="174"/>
        <v>1632</v>
      </c>
      <c r="S1062" s="91">
        <f t="shared" si="175"/>
        <v>60912</v>
      </c>
    </row>
    <row r="1063" spans="2:19" x14ac:dyDescent="0.2">
      <c r="B1063" s="88">
        <f t="shared" si="173"/>
        <v>345</v>
      </c>
      <c r="C1063" s="4"/>
      <c r="D1063" s="4"/>
      <c r="E1063" s="4"/>
      <c r="F1063" s="30" t="s">
        <v>131</v>
      </c>
      <c r="G1063" s="4">
        <v>631</v>
      </c>
      <c r="H1063" s="4" t="s">
        <v>139</v>
      </c>
      <c r="I1063" s="23">
        <v>305</v>
      </c>
      <c r="J1063" s="23"/>
      <c r="K1063" s="220">
        <f t="shared" si="171"/>
        <v>305</v>
      </c>
      <c r="L1063" s="259"/>
      <c r="M1063" s="227"/>
      <c r="N1063" s="23"/>
      <c r="O1063" s="220">
        <f t="shared" si="172"/>
        <v>0</v>
      </c>
      <c r="P1063" s="259"/>
      <c r="Q1063" s="308">
        <f t="shared" si="155"/>
        <v>305</v>
      </c>
      <c r="R1063" s="92">
        <f t="shared" si="174"/>
        <v>0</v>
      </c>
      <c r="S1063" s="92">
        <f t="shared" si="175"/>
        <v>305</v>
      </c>
    </row>
    <row r="1064" spans="2:19" x14ac:dyDescent="0.2">
      <c r="B1064" s="88">
        <f t="shared" si="173"/>
        <v>346</v>
      </c>
      <c r="C1064" s="4"/>
      <c r="D1064" s="4"/>
      <c r="E1064" s="4"/>
      <c r="F1064" s="30" t="s">
        <v>131</v>
      </c>
      <c r="G1064" s="4">
        <v>632</v>
      </c>
      <c r="H1064" s="4" t="s">
        <v>146</v>
      </c>
      <c r="I1064" s="23">
        <v>18350</v>
      </c>
      <c r="J1064" s="23"/>
      <c r="K1064" s="220">
        <f t="shared" si="171"/>
        <v>18350</v>
      </c>
      <c r="L1064" s="259"/>
      <c r="M1064" s="227"/>
      <c r="N1064" s="23"/>
      <c r="O1064" s="220">
        <f t="shared" si="172"/>
        <v>0</v>
      </c>
      <c r="P1064" s="259"/>
      <c r="Q1064" s="308">
        <f t="shared" si="155"/>
        <v>18350</v>
      </c>
      <c r="R1064" s="92">
        <f t="shared" si="174"/>
        <v>0</v>
      </c>
      <c r="S1064" s="92">
        <f t="shared" si="175"/>
        <v>18350</v>
      </c>
    </row>
    <row r="1065" spans="2:19" x14ac:dyDescent="0.2">
      <c r="B1065" s="88">
        <f t="shared" si="173"/>
        <v>347</v>
      </c>
      <c r="C1065" s="4"/>
      <c r="D1065" s="4"/>
      <c r="E1065" s="4"/>
      <c r="F1065" s="30" t="s">
        <v>131</v>
      </c>
      <c r="G1065" s="4">
        <v>633</v>
      </c>
      <c r="H1065" s="4" t="s">
        <v>137</v>
      </c>
      <c r="I1065" s="23">
        <v>9870</v>
      </c>
      <c r="J1065" s="23"/>
      <c r="K1065" s="220">
        <f t="shared" si="171"/>
        <v>9870</v>
      </c>
      <c r="L1065" s="259"/>
      <c r="M1065" s="227"/>
      <c r="N1065" s="23"/>
      <c r="O1065" s="220">
        <f t="shared" si="172"/>
        <v>0</v>
      </c>
      <c r="P1065" s="259"/>
      <c r="Q1065" s="308">
        <f t="shared" si="155"/>
        <v>9870</v>
      </c>
      <c r="R1065" s="92">
        <f t="shared" si="174"/>
        <v>0</v>
      </c>
      <c r="S1065" s="92">
        <f t="shared" si="175"/>
        <v>9870</v>
      </c>
    </row>
    <row r="1066" spans="2:19" x14ac:dyDescent="0.2">
      <c r="B1066" s="88">
        <f t="shared" si="173"/>
        <v>348</v>
      </c>
      <c r="C1066" s="4"/>
      <c r="D1066" s="4"/>
      <c r="E1066" s="4"/>
      <c r="F1066" s="30" t="s">
        <v>131</v>
      </c>
      <c r="G1066" s="4">
        <v>634</v>
      </c>
      <c r="H1066" s="4" t="s">
        <v>144</v>
      </c>
      <c r="I1066" s="23">
        <v>0</v>
      </c>
      <c r="J1066" s="23">
        <v>1632</v>
      </c>
      <c r="K1066" s="220">
        <f t="shared" si="171"/>
        <v>1632</v>
      </c>
      <c r="L1066" s="259"/>
      <c r="M1066" s="227"/>
      <c r="N1066" s="23"/>
      <c r="O1066" s="220">
        <f t="shared" ref="O1066" si="176">M1066+N1066</f>
        <v>0</v>
      </c>
      <c r="P1066" s="259"/>
      <c r="Q1066" s="308">
        <f t="shared" ref="Q1066" si="177">I1066+M1066</f>
        <v>0</v>
      </c>
      <c r="R1066" s="92">
        <f t="shared" ref="R1066" si="178">J1066+N1066</f>
        <v>1632</v>
      </c>
      <c r="S1066" s="92">
        <f t="shared" ref="S1066" si="179">K1066+O1066</f>
        <v>1632</v>
      </c>
    </row>
    <row r="1067" spans="2:19" x14ac:dyDescent="0.2">
      <c r="B1067" s="88">
        <f t="shared" si="173"/>
        <v>349</v>
      </c>
      <c r="C1067" s="4"/>
      <c r="D1067" s="4"/>
      <c r="E1067" s="4"/>
      <c r="F1067" s="30" t="s">
        <v>131</v>
      </c>
      <c r="G1067" s="4">
        <v>635</v>
      </c>
      <c r="H1067" s="4" t="s">
        <v>145</v>
      </c>
      <c r="I1067" s="23">
        <f>15600-2485</f>
        <v>13115</v>
      </c>
      <c r="J1067" s="23"/>
      <c r="K1067" s="220">
        <f t="shared" si="171"/>
        <v>13115</v>
      </c>
      <c r="L1067" s="259"/>
      <c r="M1067" s="227"/>
      <c r="N1067" s="23"/>
      <c r="O1067" s="220">
        <f t="shared" si="172"/>
        <v>0</v>
      </c>
      <c r="P1067" s="259"/>
      <c r="Q1067" s="308">
        <f t="shared" si="155"/>
        <v>13115</v>
      </c>
      <c r="R1067" s="92">
        <f t="shared" si="174"/>
        <v>0</v>
      </c>
      <c r="S1067" s="92">
        <f t="shared" si="175"/>
        <v>13115</v>
      </c>
    </row>
    <row r="1068" spans="2:19" x14ac:dyDescent="0.2">
      <c r="B1068" s="88">
        <f t="shared" si="173"/>
        <v>350</v>
      </c>
      <c r="C1068" s="4"/>
      <c r="D1068" s="4"/>
      <c r="E1068" s="4"/>
      <c r="F1068" s="30" t="s">
        <v>131</v>
      </c>
      <c r="G1068" s="4">
        <v>636</v>
      </c>
      <c r="H1068" s="4" t="s">
        <v>138</v>
      </c>
      <c r="I1068" s="23">
        <v>2400</v>
      </c>
      <c r="J1068" s="23"/>
      <c r="K1068" s="220">
        <f t="shared" si="171"/>
        <v>2400</v>
      </c>
      <c r="L1068" s="259"/>
      <c r="M1068" s="227"/>
      <c r="N1068" s="23"/>
      <c r="O1068" s="220">
        <f t="shared" si="172"/>
        <v>0</v>
      </c>
      <c r="P1068" s="259"/>
      <c r="Q1068" s="308">
        <f t="shared" si="155"/>
        <v>2400</v>
      </c>
      <c r="R1068" s="92">
        <f t="shared" si="174"/>
        <v>0</v>
      </c>
      <c r="S1068" s="92">
        <f t="shared" si="175"/>
        <v>2400</v>
      </c>
    </row>
    <row r="1069" spans="2:19" x14ac:dyDescent="0.2">
      <c r="B1069" s="88">
        <f t="shared" si="173"/>
        <v>351</v>
      </c>
      <c r="C1069" s="4"/>
      <c r="D1069" s="4"/>
      <c r="E1069" s="4"/>
      <c r="F1069" s="30" t="s">
        <v>131</v>
      </c>
      <c r="G1069" s="4">
        <v>637</v>
      </c>
      <c r="H1069" s="4" t="s">
        <v>134</v>
      </c>
      <c r="I1069" s="23">
        <v>15240</v>
      </c>
      <c r="J1069" s="23"/>
      <c r="K1069" s="220">
        <f t="shared" si="171"/>
        <v>15240</v>
      </c>
      <c r="L1069" s="259"/>
      <c r="M1069" s="227"/>
      <c r="N1069" s="23"/>
      <c r="O1069" s="220">
        <f t="shared" si="172"/>
        <v>0</v>
      </c>
      <c r="P1069" s="259"/>
      <c r="Q1069" s="308">
        <f t="shared" ref="Q1069:Q1138" si="180">I1069+M1069</f>
        <v>15240</v>
      </c>
      <c r="R1069" s="92">
        <f t="shared" si="174"/>
        <v>0</v>
      </c>
      <c r="S1069" s="92">
        <f t="shared" si="175"/>
        <v>15240</v>
      </c>
    </row>
    <row r="1070" spans="2:19" x14ac:dyDescent="0.2">
      <c r="B1070" s="88">
        <f t="shared" si="173"/>
        <v>352</v>
      </c>
      <c r="C1070" s="10"/>
      <c r="D1070" s="10"/>
      <c r="E1070" s="10"/>
      <c r="F1070" s="29" t="s">
        <v>131</v>
      </c>
      <c r="G1070" s="10">
        <v>640</v>
      </c>
      <c r="H1070" s="10" t="s">
        <v>141</v>
      </c>
      <c r="I1070" s="27">
        <f>10400+2080</f>
        <v>12480</v>
      </c>
      <c r="J1070" s="27"/>
      <c r="K1070" s="250">
        <f t="shared" si="171"/>
        <v>12480</v>
      </c>
      <c r="L1070" s="259"/>
      <c r="M1070" s="315"/>
      <c r="N1070" s="27"/>
      <c r="O1070" s="250">
        <f t="shared" si="172"/>
        <v>0</v>
      </c>
      <c r="P1070" s="259"/>
      <c r="Q1070" s="309">
        <f t="shared" si="180"/>
        <v>12480</v>
      </c>
      <c r="R1070" s="91">
        <f t="shared" si="174"/>
        <v>0</v>
      </c>
      <c r="S1070" s="91">
        <f t="shared" si="175"/>
        <v>12480</v>
      </c>
    </row>
    <row r="1071" spans="2:19" x14ac:dyDescent="0.2">
      <c r="B1071" s="88">
        <f t="shared" si="173"/>
        <v>353</v>
      </c>
      <c r="C1071" s="10"/>
      <c r="D1071" s="10"/>
      <c r="E1071" s="10"/>
      <c r="F1071" s="29" t="s">
        <v>118</v>
      </c>
      <c r="G1071" s="10">
        <v>610</v>
      </c>
      <c r="H1071" s="10" t="s">
        <v>143</v>
      </c>
      <c r="I1071" s="27">
        <f>378310+14850+50+18950</f>
        <v>412160</v>
      </c>
      <c r="J1071" s="27"/>
      <c r="K1071" s="250">
        <f t="shared" si="171"/>
        <v>412160</v>
      </c>
      <c r="L1071" s="259"/>
      <c r="M1071" s="315"/>
      <c r="N1071" s="27"/>
      <c r="O1071" s="250">
        <f t="shared" si="172"/>
        <v>0</v>
      </c>
      <c r="P1071" s="259"/>
      <c r="Q1071" s="309">
        <f t="shared" si="180"/>
        <v>412160</v>
      </c>
      <c r="R1071" s="91">
        <f t="shared" si="174"/>
        <v>0</v>
      </c>
      <c r="S1071" s="91">
        <f t="shared" si="175"/>
        <v>412160</v>
      </c>
    </row>
    <row r="1072" spans="2:19" x14ac:dyDescent="0.2">
      <c r="B1072" s="88">
        <f t="shared" si="173"/>
        <v>354</v>
      </c>
      <c r="C1072" s="10"/>
      <c r="D1072" s="10"/>
      <c r="E1072" s="10"/>
      <c r="F1072" s="29" t="s">
        <v>118</v>
      </c>
      <c r="G1072" s="10">
        <v>620</v>
      </c>
      <c r="H1072" s="10" t="s">
        <v>136</v>
      </c>
      <c r="I1072" s="27">
        <f>137080+5560+10+5560</f>
        <v>148210</v>
      </c>
      <c r="J1072" s="27"/>
      <c r="K1072" s="250">
        <f t="shared" si="171"/>
        <v>148210</v>
      </c>
      <c r="L1072" s="259"/>
      <c r="M1072" s="315"/>
      <c r="N1072" s="27"/>
      <c r="O1072" s="250">
        <f t="shared" si="172"/>
        <v>0</v>
      </c>
      <c r="P1072" s="259"/>
      <c r="Q1072" s="309">
        <f t="shared" si="180"/>
        <v>148210</v>
      </c>
      <c r="R1072" s="91">
        <f t="shared" si="174"/>
        <v>0</v>
      </c>
      <c r="S1072" s="91">
        <f t="shared" si="175"/>
        <v>148210</v>
      </c>
    </row>
    <row r="1073" spans="2:19" x14ac:dyDescent="0.2">
      <c r="B1073" s="88">
        <f t="shared" si="173"/>
        <v>355</v>
      </c>
      <c r="C1073" s="10"/>
      <c r="D1073" s="10"/>
      <c r="E1073" s="10"/>
      <c r="F1073" s="29" t="s">
        <v>118</v>
      </c>
      <c r="G1073" s="10">
        <v>630</v>
      </c>
      <c r="H1073" s="10" t="s">
        <v>133</v>
      </c>
      <c r="I1073" s="27">
        <f>SUM(I1074:I1079)</f>
        <v>167665</v>
      </c>
      <c r="J1073" s="27">
        <f>SUM(J1074:J1079)</f>
        <v>0</v>
      </c>
      <c r="K1073" s="250">
        <f t="shared" si="171"/>
        <v>167665</v>
      </c>
      <c r="L1073" s="259"/>
      <c r="M1073" s="315"/>
      <c r="N1073" s="27"/>
      <c r="O1073" s="250">
        <f t="shared" si="172"/>
        <v>0</v>
      </c>
      <c r="P1073" s="259"/>
      <c r="Q1073" s="309">
        <f t="shared" si="180"/>
        <v>167665</v>
      </c>
      <c r="R1073" s="91">
        <f t="shared" si="174"/>
        <v>0</v>
      </c>
      <c r="S1073" s="91">
        <f t="shared" si="175"/>
        <v>167665</v>
      </c>
    </row>
    <row r="1074" spans="2:19" x14ac:dyDescent="0.2">
      <c r="B1074" s="88">
        <f t="shared" si="173"/>
        <v>356</v>
      </c>
      <c r="C1074" s="4"/>
      <c r="D1074" s="4"/>
      <c r="E1074" s="4"/>
      <c r="F1074" s="30" t="s">
        <v>118</v>
      </c>
      <c r="G1074" s="4">
        <v>631</v>
      </c>
      <c r="H1074" s="4" t="s">
        <v>139</v>
      </c>
      <c r="I1074" s="23">
        <v>400</v>
      </c>
      <c r="J1074" s="23"/>
      <c r="K1074" s="220">
        <f t="shared" si="171"/>
        <v>400</v>
      </c>
      <c r="L1074" s="259"/>
      <c r="M1074" s="227"/>
      <c r="N1074" s="23"/>
      <c r="O1074" s="220">
        <f t="shared" si="172"/>
        <v>0</v>
      </c>
      <c r="P1074" s="259"/>
      <c r="Q1074" s="308">
        <f t="shared" si="180"/>
        <v>400</v>
      </c>
      <c r="R1074" s="92">
        <f t="shared" si="174"/>
        <v>0</v>
      </c>
      <c r="S1074" s="92">
        <f t="shared" si="175"/>
        <v>400</v>
      </c>
    </row>
    <row r="1075" spans="2:19" x14ac:dyDescent="0.2">
      <c r="B1075" s="88">
        <f t="shared" si="173"/>
        <v>357</v>
      </c>
      <c r="C1075" s="4"/>
      <c r="D1075" s="4"/>
      <c r="E1075" s="4"/>
      <c r="F1075" s="30" t="s">
        <v>118</v>
      </c>
      <c r="G1075" s="4">
        <v>632</v>
      </c>
      <c r="H1075" s="4" t="s">
        <v>146</v>
      </c>
      <c r="I1075" s="23">
        <v>22900</v>
      </c>
      <c r="J1075" s="23"/>
      <c r="K1075" s="220">
        <f t="shared" si="171"/>
        <v>22900</v>
      </c>
      <c r="L1075" s="259"/>
      <c r="M1075" s="227"/>
      <c r="N1075" s="23"/>
      <c r="O1075" s="220">
        <f t="shared" si="172"/>
        <v>0</v>
      </c>
      <c r="P1075" s="259"/>
      <c r="Q1075" s="308">
        <f t="shared" si="180"/>
        <v>22900</v>
      </c>
      <c r="R1075" s="92">
        <f t="shared" si="174"/>
        <v>0</v>
      </c>
      <c r="S1075" s="92">
        <f t="shared" si="175"/>
        <v>22900</v>
      </c>
    </row>
    <row r="1076" spans="2:19" x14ac:dyDescent="0.2">
      <c r="B1076" s="88">
        <f t="shared" si="173"/>
        <v>358</v>
      </c>
      <c r="C1076" s="4"/>
      <c r="D1076" s="4"/>
      <c r="E1076" s="4"/>
      <c r="F1076" s="30" t="s">
        <v>118</v>
      </c>
      <c r="G1076" s="4">
        <v>633</v>
      </c>
      <c r="H1076" s="4" t="s">
        <v>137</v>
      </c>
      <c r="I1076" s="23">
        <f>35530-1900+715</f>
        <v>34345</v>
      </c>
      <c r="J1076" s="23"/>
      <c r="K1076" s="220">
        <f t="shared" si="171"/>
        <v>34345</v>
      </c>
      <c r="L1076" s="259"/>
      <c r="M1076" s="227"/>
      <c r="N1076" s="23"/>
      <c r="O1076" s="220">
        <f t="shared" si="172"/>
        <v>0</v>
      </c>
      <c r="P1076" s="259"/>
      <c r="Q1076" s="308">
        <f t="shared" si="180"/>
        <v>34345</v>
      </c>
      <c r="R1076" s="92">
        <f t="shared" si="174"/>
        <v>0</v>
      </c>
      <c r="S1076" s="92">
        <f t="shared" si="175"/>
        <v>34345</v>
      </c>
    </row>
    <row r="1077" spans="2:19" x14ac:dyDescent="0.2">
      <c r="B1077" s="88">
        <f t="shared" si="173"/>
        <v>359</v>
      </c>
      <c r="C1077" s="4"/>
      <c r="D1077" s="4"/>
      <c r="E1077" s="4"/>
      <c r="F1077" s="30" t="s">
        <v>118</v>
      </c>
      <c r="G1077" s="4">
        <v>635</v>
      </c>
      <c r="H1077" s="4" t="s">
        <v>145</v>
      </c>
      <c r="I1077" s="23">
        <v>70300</v>
      </c>
      <c r="J1077" s="23"/>
      <c r="K1077" s="220">
        <f t="shared" si="171"/>
        <v>70300</v>
      </c>
      <c r="L1077" s="259"/>
      <c r="M1077" s="227"/>
      <c r="N1077" s="23"/>
      <c r="O1077" s="220">
        <f t="shared" si="172"/>
        <v>0</v>
      </c>
      <c r="P1077" s="259"/>
      <c r="Q1077" s="308">
        <f t="shared" si="180"/>
        <v>70300</v>
      </c>
      <c r="R1077" s="92">
        <f t="shared" si="174"/>
        <v>0</v>
      </c>
      <c r="S1077" s="92">
        <f t="shared" si="175"/>
        <v>70300</v>
      </c>
    </row>
    <row r="1078" spans="2:19" x14ac:dyDescent="0.2">
      <c r="B1078" s="88">
        <f t="shared" si="173"/>
        <v>360</v>
      </c>
      <c r="C1078" s="4"/>
      <c r="D1078" s="4"/>
      <c r="E1078" s="4"/>
      <c r="F1078" s="30" t="s">
        <v>118</v>
      </c>
      <c r="G1078" s="4">
        <v>636</v>
      </c>
      <c r="H1078" s="4" t="s">
        <v>138</v>
      </c>
      <c r="I1078" s="23">
        <v>3000</v>
      </c>
      <c r="J1078" s="23"/>
      <c r="K1078" s="220">
        <f t="shared" si="171"/>
        <v>3000</v>
      </c>
      <c r="L1078" s="259"/>
      <c r="M1078" s="227"/>
      <c r="N1078" s="23"/>
      <c r="O1078" s="220">
        <f t="shared" si="172"/>
        <v>0</v>
      </c>
      <c r="P1078" s="259"/>
      <c r="Q1078" s="308">
        <f t="shared" si="180"/>
        <v>3000</v>
      </c>
      <c r="R1078" s="92">
        <f t="shared" si="174"/>
        <v>0</v>
      </c>
      <c r="S1078" s="92">
        <f t="shared" si="175"/>
        <v>3000</v>
      </c>
    </row>
    <row r="1079" spans="2:19" x14ac:dyDescent="0.2">
      <c r="B1079" s="88">
        <f t="shared" si="173"/>
        <v>361</v>
      </c>
      <c r="C1079" s="4"/>
      <c r="D1079" s="4"/>
      <c r="E1079" s="4"/>
      <c r="F1079" s="30" t="s">
        <v>118</v>
      </c>
      <c r="G1079" s="4">
        <v>637</v>
      </c>
      <c r="H1079" s="4" t="s">
        <v>134</v>
      </c>
      <c r="I1079" s="23">
        <f>40820-4100</f>
        <v>36720</v>
      </c>
      <c r="J1079" s="23"/>
      <c r="K1079" s="220">
        <f t="shared" si="171"/>
        <v>36720</v>
      </c>
      <c r="L1079" s="259"/>
      <c r="M1079" s="227"/>
      <c r="N1079" s="23"/>
      <c r="O1079" s="220">
        <f t="shared" si="172"/>
        <v>0</v>
      </c>
      <c r="P1079" s="259"/>
      <c r="Q1079" s="308">
        <f t="shared" si="180"/>
        <v>36720</v>
      </c>
      <c r="R1079" s="92">
        <f t="shared" si="174"/>
        <v>0</v>
      </c>
      <c r="S1079" s="92">
        <f t="shared" si="175"/>
        <v>36720</v>
      </c>
    </row>
    <row r="1080" spans="2:19" x14ac:dyDescent="0.2">
      <c r="B1080" s="88">
        <f t="shared" si="173"/>
        <v>362</v>
      </c>
      <c r="C1080" s="10"/>
      <c r="D1080" s="10"/>
      <c r="E1080" s="10"/>
      <c r="F1080" s="29" t="s">
        <v>118</v>
      </c>
      <c r="G1080" s="10">
        <v>640</v>
      </c>
      <c r="H1080" s="10" t="s">
        <v>141</v>
      </c>
      <c r="I1080" s="27">
        <v>16585</v>
      </c>
      <c r="J1080" s="27"/>
      <c r="K1080" s="250">
        <f t="shared" si="171"/>
        <v>16585</v>
      </c>
      <c r="L1080" s="259"/>
      <c r="M1080" s="315"/>
      <c r="N1080" s="27"/>
      <c r="O1080" s="250">
        <f t="shared" si="172"/>
        <v>0</v>
      </c>
      <c r="P1080" s="259"/>
      <c r="Q1080" s="309">
        <f t="shared" si="180"/>
        <v>16585</v>
      </c>
      <c r="R1080" s="91">
        <f t="shared" si="174"/>
        <v>0</v>
      </c>
      <c r="S1080" s="91">
        <f t="shared" si="175"/>
        <v>16585</v>
      </c>
    </row>
    <row r="1081" spans="2:19" x14ac:dyDescent="0.2">
      <c r="B1081" s="88">
        <f t="shared" si="173"/>
        <v>363</v>
      </c>
      <c r="C1081" s="10"/>
      <c r="D1081" s="10"/>
      <c r="E1081" s="10"/>
      <c r="F1081" s="29"/>
      <c r="G1081" s="10">
        <v>630</v>
      </c>
      <c r="H1081" s="10" t="s">
        <v>594</v>
      </c>
      <c r="I1081" s="27">
        <v>3700</v>
      </c>
      <c r="J1081" s="27"/>
      <c r="K1081" s="250">
        <f t="shared" si="171"/>
        <v>3700</v>
      </c>
      <c r="L1081" s="259"/>
      <c r="M1081" s="315"/>
      <c r="N1081" s="27"/>
      <c r="O1081" s="250">
        <f t="shared" si="172"/>
        <v>0</v>
      </c>
      <c r="P1081" s="259"/>
      <c r="Q1081" s="309">
        <f t="shared" si="180"/>
        <v>3700</v>
      </c>
      <c r="R1081" s="91">
        <f t="shared" si="174"/>
        <v>0</v>
      </c>
      <c r="S1081" s="91">
        <f t="shared" si="175"/>
        <v>3700</v>
      </c>
    </row>
    <row r="1082" spans="2:19" ht="15" x14ac:dyDescent="0.25">
      <c r="B1082" s="88">
        <f t="shared" si="173"/>
        <v>364</v>
      </c>
      <c r="C1082" s="13"/>
      <c r="D1082" s="13"/>
      <c r="E1082" s="13">
        <v>13</v>
      </c>
      <c r="F1082" s="32"/>
      <c r="G1082" s="13"/>
      <c r="H1082" s="13" t="s">
        <v>19</v>
      </c>
      <c r="I1082" s="42">
        <f>I1083+I1084+I1085+I1091+I1092+I1093+I1094+I1099+I1100</f>
        <v>536127</v>
      </c>
      <c r="J1082" s="42">
        <f>J1083+J1084+J1085+J1091+J1092+J1093+J1094+J1099+J1100</f>
        <v>6100</v>
      </c>
      <c r="K1082" s="255">
        <f t="shared" si="171"/>
        <v>542227</v>
      </c>
      <c r="L1082" s="259"/>
      <c r="M1082" s="317">
        <v>0</v>
      </c>
      <c r="N1082" s="42">
        <v>0</v>
      </c>
      <c r="O1082" s="255">
        <f t="shared" si="172"/>
        <v>0</v>
      </c>
      <c r="P1082" s="259"/>
      <c r="Q1082" s="312">
        <f t="shared" si="180"/>
        <v>536127</v>
      </c>
      <c r="R1082" s="99">
        <f t="shared" si="174"/>
        <v>6100</v>
      </c>
      <c r="S1082" s="99">
        <f t="shared" si="175"/>
        <v>542227</v>
      </c>
    </row>
    <row r="1083" spans="2:19" x14ac:dyDescent="0.2">
      <c r="B1083" s="88">
        <f t="shared" si="173"/>
        <v>365</v>
      </c>
      <c r="C1083" s="10"/>
      <c r="D1083" s="10"/>
      <c r="E1083" s="10"/>
      <c r="F1083" s="29" t="s">
        <v>131</v>
      </c>
      <c r="G1083" s="10">
        <v>610</v>
      </c>
      <c r="H1083" s="10" t="s">
        <v>143</v>
      </c>
      <c r="I1083" s="27">
        <f>91076+26588+16545-26588</f>
        <v>107621</v>
      </c>
      <c r="J1083" s="27"/>
      <c r="K1083" s="250">
        <f t="shared" si="171"/>
        <v>107621</v>
      </c>
      <c r="L1083" s="259"/>
      <c r="M1083" s="315"/>
      <c r="N1083" s="27"/>
      <c r="O1083" s="250">
        <f t="shared" si="172"/>
        <v>0</v>
      </c>
      <c r="P1083" s="259"/>
      <c r="Q1083" s="309">
        <f t="shared" si="180"/>
        <v>107621</v>
      </c>
      <c r="R1083" s="91">
        <f t="shared" si="174"/>
        <v>0</v>
      </c>
      <c r="S1083" s="91">
        <f t="shared" si="175"/>
        <v>107621</v>
      </c>
    </row>
    <row r="1084" spans="2:19" x14ac:dyDescent="0.2">
      <c r="B1084" s="88">
        <f t="shared" si="173"/>
        <v>366</v>
      </c>
      <c r="C1084" s="10"/>
      <c r="D1084" s="10"/>
      <c r="E1084" s="10"/>
      <c r="F1084" s="29" t="s">
        <v>131</v>
      </c>
      <c r="G1084" s="10">
        <v>620</v>
      </c>
      <c r="H1084" s="10" t="s">
        <v>136</v>
      </c>
      <c r="I1084" s="27">
        <f>31823+9292+5782-9292</f>
        <v>37605</v>
      </c>
      <c r="J1084" s="27"/>
      <c r="K1084" s="250">
        <f t="shared" si="171"/>
        <v>37605</v>
      </c>
      <c r="L1084" s="259"/>
      <c r="M1084" s="315"/>
      <c r="N1084" s="27"/>
      <c r="O1084" s="250">
        <f t="shared" si="172"/>
        <v>0</v>
      </c>
      <c r="P1084" s="259"/>
      <c r="Q1084" s="309">
        <f t="shared" si="180"/>
        <v>37605</v>
      </c>
      <c r="R1084" s="91">
        <f t="shared" si="174"/>
        <v>0</v>
      </c>
      <c r="S1084" s="91">
        <f t="shared" si="175"/>
        <v>37605</v>
      </c>
    </row>
    <row r="1085" spans="2:19" x14ac:dyDescent="0.2">
      <c r="B1085" s="88">
        <f t="shared" si="173"/>
        <v>367</v>
      </c>
      <c r="C1085" s="10"/>
      <c r="D1085" s="10"/>
      <c r="E1085" s="10"/>
      <c r="F1085" s="29" t="s">
        <v>131</v>
      </c>
      <c r="G1085" s="10">
        <v>630</v>
      </c>
      <c r="H1085" s="10" t="s">
        <v>133</v>
      </c>
      <c r="I1085" s="27">
        <f>SUM(I1086:I1090)</f>
        <v>29923</v>
      </c>
      <c r="J1085" s="27">
        <f>SUM(J1086:J1090)</f>
        <v>400</v>
      </c>
      <c r="K1085" s="250">
        <f t="shared" si="171"/>
        <v>30323</v>
      </c>
      <c r="L1085" s="259"/>
      <c r="M1085" s="315"/>
      <c r="N1085" s="27"/>
      <c r="O1085" s="250">
        <f t="shared" si="172"/>
        <v>0</v>
      </c>
      <c r="P1085" s="259"/>
      <c r="Q1085" s="309">
        <f t="shared" si="180"/>
        <v>29923</v>
      </c>
      <c r="R1085" s="91">
        <f t="shared" si="174"/>
        <v>400</v>
      </c>
      <c r="S1085" s="91">
        <f t="shared" si="175"/>
        <v>30323</v>
      </c>
    </row>
    <row r="1086" spans="2:19" x14ac:dyDescent="0.2">
      <c r="B1086" s="88">
        <f t="shared" si="173"/>
        <v>368</v>
      </c>
      <c r="C1086" s="4"/>
      <c r="D1086" s="4"/>
      <c r="E1086" s="4"/>
      <c r="F1086" s="30" t="s">
        <v>131</v>
      </c>
      <c r="G1086" s="4">
        <v>632</v>
      </c>
      <c r="H1086" s="4" t="s">
        <v>146</v>
      </c>
      <c r="I1086" s="23">
        <v>22142</v>
      </c>
      <c r="J1086" s="23"/>
      <c r="K1086" s="220">
        <f t="shared" si="171"/>
        <v>22142</v>
      </c>
      <c r="L1086" s="259"/>
      <c r="M1086" s="227"/>
      <c r="N1086" s="23"/>
      <c r="O1086" s="220">
        <f t="shared" si="172"/>
        <v>0</v>
      </c>
      <c r="P1086" s="259"/>
      <c r="Q1086" s="308">
        <f t="shared" si="180"/>
        <v>22142</v>
      </c>
      <c r="R1086" s="92">
        <f t="shared" si="174"/>
        <v>0</v>
      </c>
      <c r="S1086" s="92">
        <f t="shared" si="175"/>
        <v>22142</v>
      </c>
    </row>
    <row r="1087" spans="2:19" x14ac:dyDescent="0.2">
      <c r="B1087" s="88">
        <f t="shared" si="173"/>
        <v>369</v>
      </c>
      <c r="C1087" s="4"/>
      <c r="D1087" s="4"/>
      <c r="E1087" s="4"/>
      <c r="F1087" s="30" t="s">
        <v>131</v>
      </c>
      <c r="G1087" s="4">
        <v>633</v>
      </c>
      <c r="H1087" s="4" t="s">
        <v>137</v>
      </c>
      <c r="I1087" s="23">
        <v>2251</v>
      </c>
      <c r="J1087" s="23"/>
      <c r="K1087" s="220">
        <f t="shared" si="171"/>
        <v>2251</v>
      </c>
      <c r="L1087" s="259"/>
      <c r="M1087" s="227"/>
      <c r="N1087" s="23"/>
      <c r="O1087" s="220">
        <f t="shared" si="172"/>
        <v>0</v>
      </c>
      <c r="P1087" s="259"/>
      <c r="Q1087" s="308">
        <f t="shared" si="180"/>
        <v>2251</v>
      </c>
      <c r="R1087" s="92">
        <f t="shared" si="174"/>
        <v>0</v>
      </c>
      <c r="S1087" s="92">
        <f t="shared" si="175"/>
        <v>2251</v>
      </c>
    </row>
    <row r="1088" spans="2:19" x14ac:dyDescent="0.2">
      <c r="B1088" s="88">
        <f t="shared" si="173"/>
        <v>370</v>
      </c>
      <c r="C1088" s="4"/>
      <c r="D1088" s="4"/>
      <c r="E1088" s="4"/>
      <c r="F1088" s="30" t="s">
        <v>131</v>
      </c>
      <c r="G1088" s="4">
        <v>634</v>
      </c>
      <c r="H1088" s="4" t="s">
        <v>144</v>
      </c>
      <c r="I1088" s="23">
        <v>0</v>
      </c>
      <c r="J1088" s="23">
        <v>400</v>
      </c>
      <c r="K1088" s="220">
        <f t="shared" ref="K1088" si="181">I1088+J1088</f>
        <v>400</v>
      </c>
      <c r="L1088" s="259"/>
      <c r="M1088" s="227"/>
      <c r="N1088" s="23"/>
      <c r="O1088" s="220">
        <f t="shared" ref="O1088" si="182">M1088+N1088</f>
        <v>0</v>
      </c>
      <c r="P1088" s="259"/>
      <c r="Q1088" s="308">
        <f t="shared" ref="Q1088" si="183">I1088+M1088</f>
        <v>0</v>
      </c>
      <c r="R1088" s="92">
        <f t="shared" ref="R1088" si="184">J1088+N1088</f>
        <v>400</v>
      </c>
      <c r="S1088" s="92">
        <f t="shared" ref="S1088" si="185">K1088+O1088</f>
        <v>400</v>
      </c>
    </row>
    <row r="1089" spans="2:19" x14ac:dyDescent="0.2">
      <c r="B1089" s="88">
        <f t="shared" si="173"/>
        <v>371</v>
      </c>
      <c r="C1089" s="4"/>
      <c r="D1089" s="4"/>
      <c r="E1089" s="4"/>
      <c r="F1089" s="30" t="s">
        <v>131</v>
      </c>
      <c r="G1089" s="4">
        <v>635</v>
      </c>
      <c r="H1089" s="4" t="s">
        <v>145</v>
      </c>
      <c r="I1089" s="23">
        <v>600</v>
      </c>
      <c r="J1089" s="23"/>
      <c r="K1089" s="220">
        <f t="shared" si="171"/>
        <v>600</v>
      </c>
      <c r="L1089" s="259"/>
      <c r="M1089" s="227"/>
      <c r="N1089" s="23"/>
      <c r="O1089" s="220">
        <f t="shared" si="172"/>
        <v>0</v>
      </c>
      <c r="P1089" s="259"/>
      <c r="Q1089" s="308">
        <f t="shared" si="180"/>
        <v>600</v>
      </c>
      <c r="R1089" s="92">
        <f t="shared" si="174"/>
        <v>0</v>
      </c>
      <c r="S1089" s="92">
        <f t="shared" si="175"/>
        <v>600</v>
      </c>
    </row>
    <row r="1090" spans="2:19" x14ac:dyDescent="0.2">
      <c r="B1090" s="88">
        <f t="shared" si="173"/>
        <v>372</v>
      </c>
      <c r="C1090" s="4"/>
      <c r="D1090" s="4"/>
      <c r="E1090" s="4"/>
      <c r="F1090" s="30" t="s">
        <v>131</v>
      </c>
      <c r="G1090" s="4">
        <v>637</v>
      </c>
      <c r="H1090" s="4" t="s">
        <v>134</v>
      </c>
      <c r="I1090" s="23">
        <v>4930</v>
      </c>
      <c r="J1090" s="23"/>
      <c r="K1090" s="220">
        <f t="shared" si="171"/>
        <v>4930</v>
      </c>
      <c r="L1090" s="259"/>
      <c r="M1090" s="227"/>
      <c r="N1090" s="23"/>
      <c r="O1090" s="220">
        <f t="shared" si="172"/>
        <v>0</v>
      </c>
      <c r="P1090" s="259"/>
      <c r="Q1090" s="308">
        <f t="shared" si="180"/>
        <v>4930</v>
      </c>
      <c r="R1090" s="92">
        <f t="shared" si="174"/>
        <v>0</v>
      </c>
      <c r="S1090" s="92">
        <f t="shared" si="175"/>
        <v>4930</v>
      </c>
    </row>
    <row r="1091" spans="2:19" x14ac:dyDescent="0.2">
      <c r="B1091" s="88">
        <f t="shared" si="173"/>
        <v>373</v>
      </c>
      <c r="C1091" s="10"/>
      <c r="D1091" s="10"/>
      <c r="E1091" s="10"/>
      <c r="F1091" s="29" t="s">
        <v>131</v>
      </c>
      <c r="G1091" s="10">
        <v>640</v>
      </c>
      <c r="H1091" s="10" t="s">
        <v>141</v>
      </c>
      <c r="I1091" s="27">
        <v>160</v>
      </c>
      <c r="J1091" s="27"/>
      <c r="K1091" s="250">
        <f t="shared" si="171"/>
        <v>160</v>
      </c>
      <c r="L1091" s="259"/>
      <c r="M1091" s="315"/>
      <c r="N1091" s="27"/>
      <c r="O1091" s="250">
        <f t="shared" si="172"/>
        <v>0</v>
      </c>
      <c r="P1091" s="259"/>
      <c r="Q1091" s="309">
        <f t="shared" si="180"/>
        <v>160</v>
      </c>
      <c r="R1091" s="91">
        <f t="shared" si="174"/>
        <v>0</v>
      </c>
      <c r="S1091" s="91">
        <f t="shared" si="175"/>
        <v>160</v>
      </c>
    </row>
    <row r="1092" spans="2:19" x14ac:dyDescent="0.2">
      <c r="B1092" s="88">
        <f t="shared" si="173"/>
        <v>374</v>
      </c>
      <c r="C1092" s="10"/>
      <c r="D1092" s="10"/>
      <c r="E1092" s="10"/>
      <c r="F1092" s="29" t="s">
        <v>118</v>
      </c>
      <c r="G1092" s="10">
        <v>610</v>
      </c>
      <c r="H1092" s="10" t="s">
        <v>143</v>
      </c>
      <c r="I1092" s="27">
        <f>142537+26589+26588</f>
        <v>195714</v>
      </c>
      <c r="J1092" s="27"/>
      <c r="K1092" s="250">
        <f t="shared" si="171"/>
        <v>195714</v>
      </c>
      <c r="L1092" s="259"/>
      <c r="M1092" s="315"/>
      <c r="N1092" s="27"/>
      <c r="O1092" s="250">
        <f t="shared" si="172"/>
        <v>0</v>
      </c>
      <c r="P1092" s="259"/>
      <c r="Q1092" s="309">
        <f t="shared" si="180"/>
        <v>195714</v>
      </c>
      <c r="R1092" s="91">
        <f t="shared" si="174"/>
        <v>0</v>
      </c>
      <c r="S1092" s="91">
        <f t="shared" si="175"/>
        <v>195714</v>
      </c>
    </row>
    <row r="1093" spans="2:19" x14ac:dyDescent="0.2">
      <c r="B1093" s="88">
        <f t="shared" si="173"/>
        <v>375</v>
      </c>
      <c r="C1093" s="10"/>
      <c r="D1093" s="10"/>
      <c r="E1093" s="10"/>
      <c r="F1093" s="29" t="s">
        <v>118</v>
      </c>
      <c r="G1093" s="10">
        <v>620</v>
      </c>
      <c r="H1093" s="10" t="s">
        <v>136</v>
      </c>
      <c r="I1093" s="27">
        <f>49824+9292+9292</f>
        <v>68408</v>
      </c>
      <c r="J1093" s="27"/>
      <c r="K1093" s="250">
        <f t="shared" si="171"/>
        <v>68408</v>
      </c>
      <c r="L1093" s="259"/>
      <c r="M1093" s="315"/>
      <c r="N1093" s="27"/>
      <c r="O1093" s="250">
        <f t="shared" si="172"/>
        <v>0</v>
      </c>
      <c r="P1093" s="259"/>
      <c r="Q1093" s="309">
        <f t="shared" si="180"/>
        <v>68408</v>
      </c>
      <c r="R1093" s="91">
        <f t="shared" si="174"/>
        <v>0</v>
      </c>
      <c r="S1093" s="91">
        <f t="shared" si="175"/>
        <v>68408</v>
      </c>
    </row>
    <row r="1094" spans="2:19" x14ac:dyDescent="0.2">
      <c r="B1094" s="88">
        <f t="shared" si="173"/>
        <v>376</v>
      </c>
      <c r="C1094" s="10"/>
      <c r="D1094" s="10"/>
      <c r="E1094" s="10"/>
      <c r="F1094" s="29" t="s">
        <v>118</v>
      </c>
      <c r="G1094" s="10">
        <v>630</v>
      </c>
      <c r="H1094" s="10" t="s">
        <v>133</v>
      </c>
      <c r="I1094" s="27">
        <f>SUM(I1095:I1098)</f>
        <v>70991</v>
      </c>
      <c r="J1094" s="27">
        <f>SUM(J1095:J1098)</f>
        <v>5700</v>
      </c>
      <c r="K1094" s="250">
        <f t="shared" si="171"/>
        <v>76691</v>
      </c>
      <c r="L1094" s="259"/>
      <c r="M1094" s="315"/>
      <c r="N1094" s="27"/>
      <c r="O1094" s="250">
        <f t="shared" si="172"/>
        <v>0</v>
      </c>
      <c r="P1094" s="259"/>
      <c r="Q1094" s="309">
        <f t="shared" si="180"/>
        <v>70991</v>
      </c>
      <c r="R1094" s="91">
        <f t="shared" si="174"/>
        <v>5700</v>
      </c>
      <c r="S1094" s="91">
        <f t="shared" si="175"/>
        <v>76691</v>
      </c>
    </row>
    <row r="1095" spans="2:19" x14ac:dyDescent="0.2">
      <c r="B1095" s="88">
        <f t="shared" si="173"/>
        <v>377</v>
      </c>
      <c r="C1095" s="4"/>
      <c r="D1095" s="4"/>
      <c r="E1095" s="4"/>
      <c r="F1095" s="30" t="s">
        <v>118</v>
      </c>
      <c r="G1095" s="4">
        <v>632</v>
      </c>
      <c r="H1095" s="4" t="s">
        <v>146</v>
      </c>
      <c r="I1095" s="23">
        <v>23392</v>
      </c>
      <c r="J1095" s="23">
        <v>3000</v>
      </c>
      <c r="K1095" s="220">
        <f t="shared" si="171"/>
        <v>26392</v>
      </c>
      <c r="L1095" s="259"/>
      <c r="M1095" s="227"/>
      <c r="N1095" s="23"/>
      <c r="O1095" s="220">
        <f t="shared" si="172"/>
        <v>0</v>
      </c>
      <c r="P1095" s="259"/>
      <c r="Q1095" s="308">
        <f t="shared" si="180"/>
        <v>23392</v>
      </c>
      <c r="R1095" s="92">
        <f t="shared" si="174"/>
        <v>3000</v>
      </c>
      <c r="S1095" s="92">
        <f t="shared" si="175"/>
        <v>26392</v>
      </c>
    </row>
    <row r="1096" spans="2:19" x14ac:dyDescent="0.2">
      <c r="B1096" s="88">
        <f t="shared" si="173"/>
        <v>378</v>
      </c>
      <c r="C1096" s="4"/>
      <c r="D1096" s="4"/>
      <c r="E1096" s="4"/>
      <c r="F1096" s="30" t="s">
        <v>118</v>
      </c>
      <c r="G1096" s="4">
        <v>633</v>
      </c>
      <c r="H1096" s="4" t="s">
        <v>137</v>
      </c>
      <c r="I1096" s="23">
        <f>6565+364</f>
        <v>6929</v>
      </c>
      <c r="J1096" s="23"/>
      <c r="K1096" s="220">
        <f t="shared" si="171"/>
        <v>6929</v>
      </c>
      <c r="L1096" s="259"/>
      <c r="M1096" s="227"/>
      <c r="N1096" s="23"/>
      <c r="O1096" s="220">
        <f t="shared" si="172"/>
        <v>0</v>
      </c>
      <c r="P1096" s="259"/>
      <c r="Q1096" s="308">
        <f t="shared" si="180"/>
        <v>6929</v>
      </c>
      <c r="R1096" s="92">
        <f t="shared" si="174"/>
        <v>0</v>
      </c>
      <c r="S1096" s="92">
        <f t="shared" si="175"/>
        <v>6929</v>
      </c>
    </row>
    <row r="1097" spans="2:19" x14ac:dyDescent="0.2">
      <c r="B1097" s="88">
        <f t="shared" si="173"/>
        <v>379</v>
      </c>
      <c r="C1097" s="4"/>
      <c r="D1097" s="4"/>
      <c r="E1097" s="4"/>
      <c r="F1097" s="30" t="s">
        <v>118</v>
      </c>
      <c r="G1097" s="4">
        <v>635</v>
      </c>
      <c r="H1097" s="4" t="s">
        <v>145</v>
      </c>
      <c r="I1097" s="23">
        <v>23800</v>
      </c>
      <c r="J1097" s="23">
        <v>2700</v>
      </c>
      <c r="K1097" s="220">
        <f t="shared" si="171"/>
        <v>26500</v>
      </c>
      <c r="L1097" s="259"/>
      <c r="M1097" s="227"/>
      <c r="N1097" s="23"/>
      <c r="O1097" s="220">
        <f t="shared" si="172"/>
        <v>0</v>
      </c>
      <c r="P1097" s="259"/>
      <c r="Q1097" s="308">
        <f t="shared" si="180"/>
        <v>23800</v>
      </c>
      <c r="R1097" s="92">
        <f t="shared" si="174"/>
        <v>2700</v>
      </c>
      <c r="S1097" s="92">
        <f t="shared" si="175"/>
        <v>26500</v>
      </c>
    </row>
    <row r="1098" spans="2:19" x14ac:dyDescent="0.2">
      <c r="B1098" s="88">
        <f t="shared" si="173"/>
        <v>380</v>
      </c>
      <c r="C1098" s="4"/>
      <c r="D1098" s="4"/>
      <c r="E1098" s="4"/>
      <c r="F1098" s="30" t="s">
        <v>118</v>
      </c>
      <c r="G1098" s="4">
        <v>637</v>
      </c>
      <c r="H1098" s="4" t="s">
        <v>134</v>
      </c>
      <c r="I1098" s="23">
        <f>14370+1500+1000</f>
        <v>16870</v>
      </c>
      <c r="J1098" s="23"/>
      <c r="K1098" s="220">
        <f t="shared" si="171"/>
        <v>16870</v>
      </c>
      <c r="L1098" s="259"/>
      <c r="M1098" s="227"/>
      <c r="N1098" s="23"/>
      <c r="O1098" s="220">
        <f t="shared" si="172"/>
        <v>0</v>
      </c>
      <c r="P1098" s="259"/>
      <c r="Q1098" s="308">
        <f t="shared" si="180"/>
        <v>16870</v>
      </c>
      <c r="R1098" s="92">
        <f t="shared" si="174"/>
        <v>0</v>
      </c>
      <c r="S1098" s="92">
        <f t="shared" si="175"/>
        <v>16870</v>
      </c>
    </row>
    <row r="1099" spans="2:19" x14ac:dyDescent="0.2">
      <c r="B1099" s="88">
        <f t="shared" si="173"/>
        <v>381</v>
      </c>
      <c r="C1099" s="10"/>
      <c r="D1099" s="10"/>
      <c r="E1099" s="10"/>
      <c r="F1099" s="29" t="s">
        <v>118</v>
      </c>
      <c r="G1099" s="10">
        <v>640</v>
      </c>
      <c r="H1099" s="10" t="s">
        <v>141</v>
      </c>
      <c r="I1099" s="27">
        <v>240</v>
      </c>
      <c r="J1099" s="27"/>
      <c r="K1099" s="250">
        <f t="shared" si="171"/>
        <v>240</v>
      </c>
      <c r="L1099" s="259"/>
      <c r="M1099" s="315"/>
      <c r="N1099" s="27"/>
      <c r="O1099" s="250">
        <f t="shared" si="172"/>
        <v>0</v>
      </c>
      <c r="P1099" s="259"/>
      <c r="Q1099" s="309">
        <f t="shared" si="180"/>
        <v>240</v>
      </c>
      <c r="R1099" s="91">
        <f t="shared" si="174"/>
        <v>0</v>
      </c>
      <c r="S1099" s="91">
        <f t="shared" si="175"/>
        <v>240</v>
      </c>
    </row>
    <row r="1100" spans="2:19" x14ac:dyDescent="0.2">
      <c r="B1100" s="88">
        <f t="shared" si="173"/>
        <v>382</v>
      </c>
      <c r="C1100" s="10"/>
      <c r="D1100" s="222"/>
      <c r="E1100" s="223"/>
      <c r="F1100" s="224"/>
      <c r="G1100" s="223">
        <v>630</v>
      </c>
      <c r="H1100" s="225" t="s">
        <v>594</v>
      </c>
      <c r="I1100" s="27">
        <v>25465</v>
      </c>
      <c r="J1100" s="27"/>
      <c r="K1100" s="250">
        <f t="shared" si="171"/>
        <v>25465</v>
      </c>
      <c r="L1100" s="259"/>
      <c r="M1100" s="315"/>
      <c r="N1100" s="27"/>
      <c r="O1100" s="250">
        <f t="shared" si="172"/>
        <v>0</v>
      </c>
      <c r="P1100" s="259"/>
      <c r="Q1100" s="309">
        <f t="shared" si="180"/>
        <v>25465</v>
      </c>
      <c r="R1100" s="91">
        <f t="shared" si="174"/>
        <v>0</v>
      </c>
      <c r="S1100" s="91">
        <f t="shared" si="175"/>
        <v>25465</v>
      </c>
    </row>
    <row r="1101" spans="2:19" ht="15" x14ac:dyDescent="0.2">
      <c r="B1101" s="88">
        <f t="shared" si="173"/>
        <v>383</v>
      </c>
      <c r="C1101" s="242">
        <v>3</v>
      </c>
      <c r="D1101" s="511" t="s">
        <v>171</v>
      </c>
      <c r="E1101" s="509"/>
      <c r="F1101" s="509"/>
      <c r="G1101" s="509"/>
      <c r="H1101" s="510"/>
      <c r="I1101" s="40">
        <f>I1102+I1112+I1123+I1130+I1138+I1146+I1155+I1164+I1172+I1180+I1188+I1196</f>
        <v>2795530</v>
      </c>
      <c r="J1101" s="40">
        <f>J1102+J1112+J1123+J1130+J1138+J1146+J1155+J1164+J1172+J1180+J1188+J1196</f>
        <v>1370</v>
      </c>
      <c r="K1101" s="248">
        <f t="shared" si="171"/>
        <v>2796900</v>
      </c>
      <c r="L1101" s="259"/>
      <c r="M1101" s="318">
        <v>0</v>
      </c>
      <c r="N1101" s="40">
        <v>0</v>
      </c>
      <c r="O1101" s="248">
        <f t="shared" si="172"/>
        <v>0</v>
      </c>
      <c r="P1101" s="259"/>
      <c r="Q1101" s="313">
        <f t="shared" si="180"/>
        <v>2795530</v>
      </c>
      <c r="R1101" s="89">
        <f t="shared" si="174"/>
        <v>1370</v>
      </c>
      <c r="S1101" s="89">
        <f t="shared" si="175"/>
        <v>2796900</v>
      </c>
    </row>
    <row r="1102" spans="2:19" x14ac:dyDescent="0.2">
      <c r="B1102" s="88">
        <f t="shared" si="173"/>
        <v>384</v>
      </c>
      <c r="C1102" s="10"/>
      <c r="D1102" s="10"/>
      <c r="E1102" s="10"/>
      <c r="F1102" s="29" t="s">
        <v>170</v>
      </c>
      <c r="G1102" s="10">
        <v>640</v>
      </c>
      <c r="H1102" s="10" t="s">
        <v>141</v>
      </c>
      <c r="I1102" s="27">
        <f>I1103</f>
        <v>538475</v>
      </c>
      <c r="J1102" s="27">
        <f>J1103</f>
        <v>0</v>
      </c>
      <c r="K1102" s="250">
        <f t="shared" si="171"/>
        <v>538475</v>
      </c>
      <c r="L1102" s="259"/>
      <c r="M1102" s="315"/>
      <c r="N1102" s="27"/>
      <c r="O1102" s="250">
        <f t="shared" si="172"/>
        <v>0</v>
      </c>
      <c r="P1102" s="259"/>
      <c r="Q1102" s="309">
        <f t="shared" si="180"/>
        <v>538475</v>
      </c>
      <c r="R1102" s="91">
        <f t="shared" si="174"/>
        <v>0</v>
      </c>
      <c r="S1102" s="91">
        <f t="shared" si="175"/>
        <v>538475</v>
      </c>
    </row>
    <row r="1103" spans="2:19" x14ac:dyDescent="0.2">
      <c r="B1103" s="88">
        <f t="shared" si="173"/>
        <v>385</v>
      </c>
      <c r="C1103" s="4"/>
      <c r="D1103" s="4"/>
      <c r="E1103" s="4"/>
      <c r="F1103" s="30" t="s">
        <v>170</v>
      </c>
      <c r="G1103" s="4">
        <v>642</v>
      </c>
      <c r="H1103" s="4" t="s">
        <v>142</v>
      </c>
      <c r="I1103" s="68">
        <f>SUM(I1104:I1111)</f>
        <v>538475</v>
      </c>
      <c r="J1103" s="68">
        <f>SUM(J1104:J1111)</f>
        <v>0</v>
      </c>
      <c r="K1103" s="358">
        <f t="shared" si="171"/>
        <v>538475</v>
      </c>
      <c r="L1103" s="259"/>
      <c r="M1103" s="227"/>
      <c r="N1103" s="23"/>
      <c r="O1103" s="220">
        <f t="shared" si="172"/>
        <v>0</v>
      </c>
      <c r="P1103" s="259"/>
      <c r="Q1103" s="308">
        <f t="shared" si="180"/>
        <v>538475</v>
      </c>
      <c r="R1103" s="92">
        <f t="shared" si="174"/>
        <v>0</v>
      </c>
      <c r="S1103" s="92">
        <f t="shared" si="175"/>
        <v>538475</v>
      </c>
    </row>
    <row r="1104" spans="2:19" x14ac:dyDescent="0.2">
      <c r="B1104" s="88">
        <f t="shared" si="173"/>
        <v>386</v>
      </c>
      <c r="C1104" s="5"/>
      <c r="D1104" s="5"/>
      <c r="E1104" s="5"/>
      <c r="F1104" s="31"/>
      <c r="G1104" s="5"/>
      <c r="H1104" s="5" t="s">
        <v>552</v>
      </c>
      <c r="I1104" s="44">
        <f>16206+403</f>
        <v>16609</v>
      </c>
      <c r="J1104" s="44"/>
      <c r="K1104" s="354">
        <f t="shared" si="171"/>
        <v>16609</v>
      </c>
      <c r="L1104" s="259"/>
      <c r="M1104" s="337"/>
      <c r="N1104" s="25"/>
      <c r="O1104" s="251">
        <f t="shared" si="172"/>
        <v>0</v>
      </c>
      <c r="P1104" s="259"/>
      <c r="Q1104" s="332">
        <f t="shared" si="180"/>
        <v>16609</v>
      </c>
      <c r="R1104" s="93">
        <f t="shared" si="174"/>
        <v>0</v>
      </c>
      <c r="S1104" s="93">
        <f t="shared" si="175"/>
        <v>16609</v>
      </c>
    </row>
    <row r="1105" spans="2:19" x14ac:dyDescent="0.2">
      <c r="B1105" s="88">
        <f t="shared" si="173"/>
        <v>387</v>
      </c>
      <c r="C1105" s="5"/>
      <c r="D1105" s="5"/>
      <c r="E1105" s="5"/>
      <c r="F1105" s="31"/>
      <c r="G1105" s="5"/>
      <c r="H1105" s="5" t="s">
        <v>553</v>
      </c>
      <c r="I1105" s="44">
        <f>17321+8456</f>
        <v>25777</v>
      </c>
      <c r="J1105" s="44"/>
      <c r="K1105" s="354">
        <f t="shared" si="171"/>
        <v>25777</v>
      </c>
      <c r="L1105" s="259"/>
      <c r="M1105" s="337"/>
      <c r="N1105" s="25"/>
      <c r="O1105" s="251">
        <f t="shared" si="172"/>
        <v>0</v>
      </c>
      <c r="P1105" s="259"/>
      <c r="Q1105" s="332">
        <f t="shared" si="180"/>
        <v>25777</v>
      </c>
      <c r="R1105" s="93">
        <f t="shared" si="174"/>
        <v>0</v>
      </c>
      <c r="S1105" s="93">
        <f t="shared" si="175"/>
        <v>25777</v>
      </c>
    </row>
    <row r="1106" spans="2:19" ht="22.5" x14ac:dyDescent="0.2">
      <c r="B1106" s="88">
        <f t="shared" si="173"/>
        <v>388</v>
      </c>
      <c r="C1106" s="5"/>
      <c r="D1106" s="5"/>
      <c r="E1106" s="5"/>
      <c r="F1106" s="31"/>
      <c r="G1106" s="5"/>
      <c r="H1106" s="38" t="s">
        <v>554</v>
      </c>
      <c r="I1106" s="44">
        <f>12432+310</f>
        <v>12742</v>
      </c>
      <c r="J1106" s="44"/>
      <c r="K1106" s="354">
        <f t="shared" si="171"/>
        <v>12742</v>
      </c>
      <c r="L1106" s="259"/>
      <c r="M1106" s="337"/>
      <c r="N1106" s="25"/>
      <c r="O1106" s="251">
        <f t="shared" si="172"/>
        <v>0</v>
      </c>
      <c r="P1106" s="259"/>
      <c r="Q1106" s="332">
        <f t="shared" si="180"/>
        <v>12742</v>
      </c>
      <c r="R1106" s="93">
        <f t="shared" si="174"/>
        <v>0</v>
      </c>
      <c r="S1106" s="93">
        <f t="shared" si="175"/>
        <v>12742</v>
      </c>
    </row>
    <row r="1107" spans="2:19" x14ac:dyDescent="0.2">
      <c r="B1107" s="88">
        <f t="shared" si="173"/>
        <v>389</v>
      </c>
      <c r="C1107" s="5"/>
      <c r="D1107" s="5"/>
      <c r="E1107" s="5"/>
      <c r="F1107" s="31"/>
      <c r="G1107" s="5"/>
      <c r="H1107" s="5" t="s">
        <v>555</v>
      </c>
      <c r="I1107" s="44">
        <f>13439+6560</f>
        <v>19999</v>
      </c>
      <c r="J1107" s="44"/>
      <c r="K1107" s="354">
        <f t="shared" si="171"/>
        <v>19999</v>
      </c>
      <c r="L1107" s="259"/>
      <c r="M1107" s="337"/>
      <c r="N1107" s="25"/>
      <c r="O1107" s="251">
        <f t="shared" si="172"/>
        <v>0</v>
      </c>
      <c r="P1107" s="259"/>
      <c r="Q1107" s="332">
        <f t="shared" si="180"/>
        <v>19999</v>
      </c>
      <c r="R1107" s="93">
        <f t="shared" si="174"/>
        <v>0</v>
      </c>
      <c r="S1107" s="93">
        <f t="shared" si="175"/>
        <v>19999</v>
      </c>
    </row>
    <row r="1108" spans="2:19" x14ac:dyDescent="0.2">
      <c r="B1108" s="88">
        <f t="shared" si="173"/>
        <v>390</v>
      </c>
      <c r="C1108" s="5"/>
      <c r="D1108" s="5"/>
      <c r="E1108" s="5"/>
      <c r="F1108" s="31"/>
      <c r="G1108" s="5"/>
      <c r="H1108" s="5" t="s">
        <v>556</v>
      </c>
      <c r="I1108" s="44">
        <f>144907+826</f>
        <v>145733</v>
      </c>
      <c r="J1108" s="44"/>
      <c r="K1108" s="354">
        <f t="shared" si="171"/>
        <v>145733</v>
      </c>
      <c r="L1108" s="259"/>
      <c r="M1108" s="337"/>
      <c r="N1108" s="25"/>
      <c r="O1108" s="251">
        <f t="shared" si="172"/>
        <v>0</v>
      </c>
      <c r="P1108" s="259"/>
      <c r="Q1108" s="332">
        <f t="shared" si="180"/>
        <v>145733</v>
      </c>
      <c r="R1108" s="93">
        <f t="shared" si="174"/>
        <v>0</v>
      </c>
      <c r="S1108" s="93">
        <f t="shared" si="175"/>
        <v>145733</v>
      </c>
    </row>
    <row r="1109" spans="2:19" x14ac:dyDescent="0.2">
      <c r="B1109" s="88">
        <f t="shared" si="173"/>
        <v>391</v>
      </c>
      <c r="C1109" s="5"/>
      <c r="D1109" s="5"/>
      <c r="E1109" s="5"/>
      <c r="F1109" s="31"/>
      <c r="G1109" s="5"/>
      <c r="H1109" s="5" t="s">
        <v>557</v>
      </c>
      <c r="I1109" s="44">
        <f>284286+1628</f>
        <v>285914</v>
      </c>
      <c r="J1109" s="44"/>
      <c r="K1109" s="354">
        <f t="shared" si="171"/>
        <v>285914</v>
      </c>
      <c r="L1109" s="259"/>
      <c r="M1109" s="337"/>
      <c r="N1109" s="25"/>
      <c r="O1109" s="251">
        <f t="shared" si="172"/>
        <v>0</v>
      </c>
      <c r="P1109" s="259"/>
      <c r="Q1109" s="332">
        <f t="shared" si="180"/>
        <v>285914</v>
      </c>
      <c r="R1109" s="93">
        <f t="shared" si="174"/>
        <v>0</v>
      </c>
      <c r="S1109" s="93">
        <f t="shared" si="175"/>
        <v>285914</v>
      </c>
    </row>
    <row r="1110" spans="2:19" x14ac:dyDescent="0.2">
      <c r="B1110" s="88">
        <f t="shared" si="173"/>
        <v>392</v>
      </c>
      <c r="C1110" s="5"/>
      <c r="D1110" s="5"/>
      <c r="E1110" s="5"/>
      <c r="F1110" s="31"/>
      <c r="G1110" s="5"/>
      <c r="H1110" s="5" t="s">
        <v>558</v>
      </c>
      <c r="I1110" s="44">
        <f>29311+167</f>
        <v>29478</v>
      </c>
      <c r="J1110" s="44"/>
      <c r="K1110" s="354">
        <f t="shared" si="171"/>
        <v>29478</v>
      </c>
      <c r="L1110" s="259"/>
      <c r="M1110" s="337"/>
      <c r="N1110" s="25"/>
      <c r="O1110" s="251">
        <f t="shared" si="172"/>
        <v>0</v>
      </c>
      <c r="P1110" s="259"/>
      <c r="Q1110" s="332">
        <f t="shared" si="180"/>
        <v>29478</v>
      </c>
      <c r="R1110" s="93">
        <f t="shared" si="174"/>
        <v>0</v>
      </c>
      <c r="S1110" s="93">
        <f t="shared" si="175"/>
        <v>29478</v>
      </c>
    </row>
    <row r="1111" spans="2:19" ht="22.5" x14ac:dyDescent="0.2">
      <c r="B1111" s="88">
        <f t="shared" si="173"/>
        <v>393</v>
      </c>
      <c r="C1111" s="5"/>
      <c r="D1111" s="5"/>
      <c r="E1111" s="5"/>
      <c r="F1111" s="31"/>
      <c r="G1111" s="5"/>
      <c r="H1111" s="38" t="s">
        <v>564</v>
      </c>
      <c r="I1111" s="44">
        <f>1494+729</f>
        <v>2223</v>
      </c>
      <c r="J1111" s="44"/>
      <c r="K1111" s="354">
        <f t="shared" si="171"/>
        <v>2223</v>
      </c>
      <c r="L1111" s="259"/>
      <c r="M1111" s="337"/>
      <c r="N1111" s="25"/>
      <c r="O1111" s="251">
        <f t="shared" si="172"/>
        <v>0</v>
      </c>
      <c r="P1111" s="259"/>
      <c r="Q1111" s="332">
        <f t="shared" si="180"/>
        <v>2223</v>
      </c>
      <c r="R1111" s="93">
        <f t="shared" si="174"/>
        <v>0</v>
      </c>
      <c r="S1111" s="93">
        <f t="shared" si="175"/>
        <v>2223</v>
      </c>
    </row>
    <row r="1112" spans="2:19" ht="15" x14ac:dyDescent="0.25">
      <c r="B1112" s="88">
        <f t="shared" si="173"/>
        <v>394</v>
      </c>
      <c r="C1112" s="13"/>
      <c r="D1112" s="13"/>
      <c r="E1112" s="13">
        <v>1</v>
      </c>
      <c r="F1112" s="32"/>
      <c r="G1112" s="13"/>
      <c r="H1112" s="13" t="s">
        <v>54</v>
      </c>
      <c r="I1112" s="42">
        <f>I1113+I1114+I1115+I1122</f>
        <v>195982</v>
      </c>
      <c r="J1112" s="42">
        <f>J1113+J1114+J1115+J1122</f>
        <v>1370</v>
      </c>
      <c r="K1112" s="255">
        <f t="shared" si="171"/>
        <v>197352</v>
      </c>
      <c r="L1112" s="259"/>
      <c r="M1112" s="317">
        <v>0</v>
      </c>
      <c r="N1112" s="42">
        <v>0</v>
      </c>
      <c r="O1112" s="255">
        <f t="shared" si="172"/>
        <v>0</v>
      </c>
      <c r="P1112" s="259"/>
      <c r="Q1112" s="312">
        <f t="shared" si="180"/>
        <v>195982</v>
      </c>
      <c r="R1112" s="99">
        <f t="shared" si="174"/>
        <v>1370</v>
      </c>
      <c r="S1112" s="99">
        <f t="shared" si="175"/>
        <v>197352</v>
      </c>
    </row>
    <row r="1113" spans="2:19" x14ac:dyDescent="0.2">
      <c r="B1113" s="88">
        <f t="shared" si="173"/>
        <v>395</v>
      </c>
      <c r="C1113" s="10"/>
      <c r="D1113" s="10"/>
      <c r="E1113" s="10"/>
      <c r="F1113" s="29" t="s">
        <v>170</v>
      </c>
      <c r="G1113" s="10">
        <v>610</v>
      </c>
      <c r="H1113" s="10" t="s">
        <v>143</v>
      </c>
      <c r="I1113" s="27">
        <v>97700</v>
      </c>
      <c r="J1113" s="27"/>
      <c r="K1113" s="250">
        <f t="shared" si="171"/>
        <v>97700</v>
      </c>
      <c r="L1113" s="259"/>
      <c r="M1113" s="315"/>
      <c r="N1113" s="27"/>
      <c r="O1113" s="250">
        <f t="shared" si="172"/>
        <v>0</v>
      </c>
      <c r="P1113" s="259"/>
      <c r="Q1113" s="309">
        <f t="shared" si="180"/>
        <v>97700</v>
      </c>
      <c r="R1113" s="91">
        <f t="shared" si="174"/>
        <v>0</v>
      </c>
      <c r="S1113" s="91">
        <f t="shared" si="175"/>
        <v>97700</v>
      </c>
    </row>
    <row r="1114" spans="2:19" x14ac:dyDescent="0.2">
      <c r="B1114" s="88">
        <f t="shared" si="173"/>
        <v>396</v>
      </c>
      <c r="C1114" s="10"/>
      <c r="D1114" s="10"/>
      <c r="E1114" s="10"/>
      <c r="F1114" s="29" t="s">
        <v>170</v>
      </c>
      <c r="G1114" s="10">
        <v>620</v>
      </c>
      <c r="H1114" s="10" t="s">
        <v>136</v>
      </c>
      <c r="I1114" s="27">
        <v>36640</v>
      </c>
      <c r="J1114" s="27">
        <v>350</v>
      </c>
      <c r="K1114" s="250">
        <f t="shared" si="171"/>
        <v>36990</v>
      </c>
      <c r="L1114" s="259"/>
      <c r="M1114" s="315"/>
      <c r="N1114" s="27"/>
      <c r="O1114" s="250">
        <f t="shared" si="172"/>
        <v>0</v>
      </c>
      <c r="P1114" s="259"/>
      <c r="Q1114" s="309">
        <f t="shared" si="180"/>
        <v>36640</v>
      </c>
      <c r="R1114" s="91">
        <f t="shared" si="174"/>
        <v>350</v>
      </c>
      <c r="S1114" s="91">
        <f t="shared" si="175"/>
        <v>36990</v>
      </c>
    </row>
    <row r="1115" spans="2:19" x14ac:dyDescent="0.2">
      <c r="B1115" s="88">
        <f t="shared" si="173"/>
        <v>397</v>
      </c>
      <c r="C1115" s="10"/>
      <c r="D1115" s="10"/>
      <c r="E1115" s="10"/>
      <c r="F1115" s="29" t="s">
        <v>170</v>
      </c>
      <c r="G1115" s="10">
        <v>630</v>
      </c>
      <c r="H1115" s="10" t="s">
        <v>133</v>
      </c>
      <c r="I1115" s="27">
        <f>SUM(I1116:I1121)</f>
        <v>61142</v>
      </c>
      <c r="J1115" s="27">
        <f>SUM(J1116:J1121)</f>
        <v>640</v>
      </c>
      <c r="K1115" s="250">
        <f t="shared" si="171"/>
        <v>61782</v>
      </c>
      <c r="L1115" s="259"/>
      <c r="M1115" s="315"/>
      <c r="N1115" s="27"/>
      <c r="O1115" s="250">
        <f t="shared" si="172"/>
        <v>0</v>
      </c>
      <c r="P1115" s="259"/>
      <c r="Q1115" s="309">
        <f t="shared" si="180"/>
        <v>61142</v>
      </c>
      <c r="R1115" s="91">
        <f t="shared" si="174"/>
        <v>640</v>
      </c>
      <c r="S1115" s="91">
        <f t="shared" si="175"/>
        <v>61782</v>
      </c>
    </row>
    <row r="1116" spans="2:19" x14ac:dyDescent="0.2">
      <c r="B1116" s="88">
        <f t="shared" si="173"/>
        <v>398</v>
      </c>
      <c r="C1116" s="4"/>
      <c r="D1116" s="4"/>
      <c r="E1116" s="4"/>
      <c r="F1116" s="30" t="s">
        <v>170</v>
      </c>
      <c r="G1116" s="4">
        <v>631</v>
      </c>
      <c r="H1116" s="4" t="s">
        <v>139</v>
      </c>
      <c r="I1116" s="23">
        <v>400</v>
      </c>
      <c r="J1116" s="23">
        <v>-380</v>
      </c>
      <c r="K1116" s="220">
        <f t="shared" si="171"/>
        <v>20</v>
      </c>
      <c r="L1116" s="259"/>
      <c r="M1116" s="227"/>
      <c r="N1116" s="23"/>
      <c r="O1116" s="220">
        <f t="shared" si="172"/>
        <v>0</v>
      </c>
      <c r="P1116" s="259"/>
      <c r="Q1116" s="308">
        <f t="shared" si="180"/>
        <v>400</v>
      </c>
      <c r="R1116" s="92">
        <f t="shared" si="174"/>
        <v>-380</v>
      </c>
      <c r="S1116" s="92">
        <f t="shared" si="175"/>
        <v>20</v>
      </c>
    </row>
    <row r="1117" spans="2:19" x14ac:dyDescent="0.2">
      <c r="B1117" s="88">
        <f t="shared" si="173"/>
        <v>399</v>
      </c>
      <c r="C1117" s="4"/>
      <c r="D1117" s="4"/>
      <c r="E1117" s="4"/>
      <c r="F1117" s="30" t="s">
        <v>170</v>
      </c>
      <c r="G1117" s="4">
        <v>632</v>
      </c>
      <c r="H1117" s="4" t="s">
        <v>146</v>
      </c>
      <c r="I1117" s="23">
        <v>7400</v>
      </c>
      <c r="J1117" s="23"/>
      <c r="K1117" s="220">
        <f t="shared" si="171"/>
        <v>7400</v>
      </c>
      <c r="L1117" s="259"/>
      <c r="M1117" s="227"/>
      <c r="N1117" s="23"/>
      <c r="O1117" s="220">
        <f t="shared" si="172"/>
        <v>0</v>
      </c>
      <c r="P1117" s="259"/>
      <c r="Q1117" s="308">
        <f t="shared" si="180"/>
        <v>7400</v>
      </c>
      <c r="R1117" s="92">
        <f t="shared" si="174"/>
        <v>0</v>
      </c>
      <c r="S1117" s="92">
        <f t="shared" si="175"/>
        <v>7400</v>
      </c>
    </row>
    <row r="1118" spans="2:19" x14ac:dyDescent="0.2">
      <c r="B1118" s="88">
        <f t="shared" si="173"/>
        <v>400</v>
      </c>
      <c r="C1118" s="4"/>
      <c r="D1118" s="4"/>
      <c r="E1118" s="4"/>
      <c r="F1118" s="30" t="s">
        <v>170</v>
      </c>
      <c r="G1118" s="4">
        <v>633</v>
      </c>
      <c r="H1118" s="4" t="s">
        <v>137</v>
      </c>
      <c r="I1118" s="23">
        <f>16152+3000+4540</f>
        <v>23692</v>
      </c>
      <c r="J1118" s="23">
        <v>-1830</v>
      </c>
      <c r="K1118" s="220">
        <f t="shared" si="171"/>
        <v>21862</v>
      </c>
      <c r="L1118" s="259"/>
      <c r="M1118" s="227"/>
      <c r="N1118" s="23"/>
      <c r="O1118" s="220">
        <f t="shared" si="172"/>
        <v>0</v>
      </c>
      <c r="P1118" s="259"/>
      <c r="Q1118" s="308">
        <f t="shared" si="180"/>
        <v>23692</v>
      </c>
      <c r="R1118" s="92">
        <f t="shared" si="174"/>
        <v>-1830</v>
      </c>
      <c r="S1118" s="92">
        <f t="shared" si="175"/>
        <v>21862</v>
      </c>
    </row>
    <row r="1119" spans="2:19" x14ac:dyDescent="0.2">
      <c r="B1119" s="88">
        <f t="shared" si="173"/>
        <v>401</v>
      </c>
      <c r="C1119" s="4"/>
      <c r="D1119" s="4"/>
      <c r="E1119" s="4"/>
      <c r="F1119" s="30" t="s">
        <v>170</v>
      </c>
      <c r="G1119" s="4">
        <v>634</v>
      </c>
      <c r="H1119" s="4" t="s">
        <v>655</v>
      </c>
      <c r="I1119" s="23">
        <v>0</v>
      </c>
      <c r="J1119" s="23">
        <v>1500</v>
      </c>
      <c r="K1119" s="220">
        <f t="shared" si="171"/>
        <v>1500</v>
      </c>
      <c r="L1119" s="259"/>
      <c r="M1119" s="227"/>
      <c r="N1119" s="23"/>
      <c r="O1119" s="220"/>
      <c r="P1119" s="259"/>
      <c r="Q1119" s="308">
        <f t="shared" ref="Q1119" si="186">I1119+M1119</f>
        <v>0</v>
      </c>
      <c r="R1119" s="92">
        <f t="shared" ref="R1119" si="187">J1119+N1119</f>
        <v>1500</v>
      </c>
      <c r="S1119" s="92">
        <f t="shared" ref="S1119" si="188">K1119+O1119</f>
        <v>1500</v>
      </c>
    </row>
    <row r="1120" spans="2:19" x14ac:dyDescent="0.2">
      <c r="B1120" s="88">
        <f t="shared" ref="B1120:B1125" si="189">B1119+1</f>
        <v>402</v>
      </c>
      <c r="C1120" s="4"/>
      <c r="D1120" s="4"/>
      <c r="E1120" s="4"/>
      <c r="F1120" s="30" t="s">
        <v>170</v>
      </c>
      <c r="G1120" s="4">
        <v>635</v>
      </c>
      <c r="H1120" s="4" t="s">
        <v>145</v>
      </c>
      <c r="I1120" s="23">
        <f>500+1000</f>
        <v>1500</v>
      </c>
      <c r="J1120" s="23">
        <v>1700</v>
      </c>
      <c r="K1120" s="220">
        <f t="shared" ref="K1120:K1183" si="190">I1120+J1120</f>
        <v>3200</v>
      </c>
      <c r="L1120" s="259"/>
      <c r="M1120" s="227"/>
      <c r="N1120" s="23"/>
      <c r="O1120" s="220">
        <f t="shared" ref="O1120:O1183" si="191">M1120+N1120</f>
        <v>0</v>
      </c>
      <c r="P1120" s="259"/>
      <c r="Q1120" s="308">
        <f t="shared" si="180"/>
        <v>1500</v>
      </c>
      <c r="R1120" s="92">
        <f t="shared" si="174"/>
        <v>1700</v>
      </c>
      <c r="S1120" s="92">
        <f t="shared" si="175"/>
        <v>3200</v>
      </c>
    </row>
    <row r="1121" spans="2:19" x14ac:dyDescent="0.2">
      <c r="B1121" s="88">
        <f t="shared" si="189"/>
        <v>403</v>
      </c>
      <c r="C1121" s="4"/>
      <c r="D1121" s="4"/>
      <c r="E1121" s="4"/>
      <c r="F1121" s="30" t="s">
        <v>170</v>
      </c>
      <c r="G1121" s="4">
        <v>637</v>
      </c>
      <c r="H1121" s="4" t="s">
        <v>134</v>
      </c>
      <c r="I1121" s="23">
        <f>17300+3000+3000+4850</f>
        <v>28150</v>
      </c>
      <c r="J1121" s="23">
        <v>-350</v>
      </c>
      <c r="K1121" s="220">
        <f t="shared" si="190"/>
        <v>27800</v>
      </c>
      <c r="L1121" s="259"/>
      <c r="M1121" s="227"/>
      <c r="N1121" s="23"/>
      <c r="O1121" s="220">
        <f t="shared" si="191"/>
        <v>0</v>
      </c>
      <c r="P1121" s="259"/>
      <c r="Q1121" s="308">
        <f t="shared" si="180"/>
        <v>28150</v>
      </c>
      <c r="R1121" s="92">
        <f t="shared" si="174"/>
        <v>-350</v>
      </c>
      <c r="S1121" s="92">
        <f t="shared" si="175"/>
        <v>27800</v>
      </c>
    </row>
    <row r="1122" spans="2:19" x14ac:dyDescent="0.2">
      <c r="B1122" s="88">
        <f t="shared" si="189"/>
        <v>404</v>
      </c>
      <c r="C1122" s="10"/>
      <c r="D1122" s="10"/>
      <c r="E1122" s="10"/>
      <c r="F1122" s="29" t="s">
        <v>170</v>
      </c>
      <c r="G1122" s="10">
        <v>640</v>
      </c>
      <c r="H1122" s="10" t="s">
        <v>141</v>
      </c>
      <c r="I1122" s="27">
        <v>500</v>
      </c>
      <c r="J1122" s="27">
        <v>380</v>
      </c>
      <c r="K1122" s="250">
        <f t="shared" si="190"/>
        <v>880</v>
      </c>
      <c r="L1122" s="259"/>
      <c r="M1122" s="315"/>
      <c r="N1122" s="27"/>
      <c r="O1122" s="250">
        <f t="shared" si="191"/>
        <v>0</v>
      </c>
      <c r="P1122" s="259"/>
      <c r="Q1122" s="309">
        <f t="shared" si="180"/>
        <v>500</v>
      </c>
      <c r="R1122" s="91">
        <f t="shared" si="174"/>
        <v>380</v>
      </c>
      <c r="S1122" s="91">
        <f t="shared" si="175"/>
        <v>880</v>
      </c>
    </row>
    <row r="1123" spans="2:19" ht="15" x14ac:dyDescent="0.25">
      <c r="B1123" s="88">
        <f t="shared" si="189"/>
        <v>405</v>
      </c>
      <c r="C1123" s="13"/>
      <c r="D1123" s="13"/>
      <c r="E1123" s="13">
        <v>4</v>
      </c>
      <c r="F1123" s="32"/>
      <c r="G1123" s="13"/>
      <c r="H1123" s="13" t="s">
        <v>90</v>
      </c>
      <c r="I1123" s="42">
        <f>I1124+I1125+I1126</f>
        <v>14094</v>
      </c>
      <c r="J1123" s="42">
        <f>J1124+J1125+J1126</f>
        <v>0</v>
      </c>
      <c r="K1123" s="255">
        <f t="shared" si="190"/>
        <v>14094</v>
      </c>
      <c r="L1123" s="259"/>
      <c r="M1123" s="317">
        <v>0</v>
      </c>
      <c r="N1123" s="42">
        <v>0</v>
      </c>
      <c r="O1123" s="255">
        <f t="shared" si="191"/>
        <v>0</v>
      </c>
      <c r="P1123" s="259"/>
      <c r="Q1123" s="312">
        <f t="shared" si="180"/>
        <v>14094</v>
      </c>
      <c r="R1123" s="99">
        <f t="shared" si="174"/>
        <v>0</v>
      </c>
      <c r="S1123" s="99">
        <f t="shared" si="175"/>
        <v>14094</v>
      </c>
    </row>
    <row r="1124" spans="2:19" x14ac:dyDescent="0.2">
      <c r="B1124" s="88">
        <f t="shared" si="189"/>
        <v>406</v>
      </c>
      <c r="C1124" s="10"/>
      <c r="D1124" s="10"/>
      <c r="E1124" s="10"/>
      <c r="F1124" s="29" t="s">
        <v>170</v>
      </c>
      <c r="G1124" s="10">
        <v>610</v>
      </c>
      <c r="H1124" s="10" t="s">
        <v>143</v>
      </c>
      <c r="I1124" s="27">
        <f>8535+1020</f>
        <v>9555</v>
      </c>
      <c r="J1124" s="27"/>
      <c r="K1124" s="250">
        <f t="shared" si="190"/>
        <v>9555</v>
      </c>
      <c r="L1124" s="259"/>
      <c r="M1124" s="315"/>
      <c r="N1124" s="27"/>
      <c r="O1124" s="250">
        <f t="shared" si="191"/>
        <v>0</v>
      </c>
      <c r="P1124" s="259"/>
      <c r="Q1124" s="309">
        <f t="shared" si="180"/>
        <v>9555</v>
      </c>
      <c r="R1124" s="91">
        <f t="shared" si="174"/>
        <v>0</v>
      </c>
      <c r="S1124" s="91">
        <f t="shared" si="175"/>
        <v>9555</v>
      </c>
    </row>
    <row r="1125" spans="2:19" x14ac:dyDescent="0.2">
      <c r="B1125" s="88">
        <f t="shared" si="189"/>
        <v>407</v>
      </c>
      <c r="C1125" s="10"/>
      <c r="D1125" s="10"/>
      <c r="E1125" s="10"/>
      <c r="F1125" s="29" t="s">
        <v>170</v>
      </c>
      <c r="G1125" s="10">
        <v>620</v>
      </c>
      <c r="H1125" s="10" t="s">
        <v>136</v>
      </c>
      <c r="I1125" s="27">
        <f>2982+377</f>
        <v>3359</v>
      </c>
      <c r="J1125" s="27"/>
      <c r="K1125" s="250">
        <f t="shared" si="190"/>
        <v>3359</v>
      </c>
      <c r="L1125" s="259"/>
      <c r="M1125" s="315"/>
      <c r="N1125" s="27"/>
      <c r="O1125" s="250">
        <f t="shared" si="191"/>
        <v>0</v>
      </c>
      <c r="P1125" s="259"/>
      <c r="Q1125" s="309">
        <f t="shared" si="180"/>
        <v>3359</v>
      </c>
      <c r="R1125" s="91">
        <f t="shared" si="174"/>
        <v>0</v>
      </c>
      <c r="S1125" s="91">
        <f t="shared" si="175"/>
        <v>3359</v>
      </c>
    </row>
    <row r="1126" spans="2:19" x14ac:dyDescent="0.2">
      <c r="B1126" s="88">
        <f t="shared" ref="B1126:B1184" si="192">B1125+1</f>
        <v>408</v>
      </c>
      <c r="C1126" s="10"/>
      <c r="D1126" s="10"/>
      <c r="E1126" s="10"/>
      <c r="F1126" s="29" t="s">
        <v>170</v>
      </c>
      <c r="G1126" s="10">
        <v>630</v>
      </c>
      <c r="H1126" s="10" t="s">
        <v>133</v>
      </c>
      <c r="I1126" s="27">
        <f>SUM(I1127:I1129)</f>
        <v>1180</v>
      </c>
      <c r="J1126" s="27">
        <f>SUM(J1127:J1129)</f>
        <v>0</v>
      </c>
      <c r="K1126" s="250">
        <f t="shared" si="190"/>
        <v>1180</v>
      </c>
      <c r="L1126" s="259"/>
      <c r="M1126" s="315"/>
      <c r="N1126" s="27"/>
      <c r="O1126" s="250">
        <f t="shared" si="191"/>
        <v>0</v>
      </c>
      <c r="P1126" s="259"/>
      <c r="Q1126" s="309">
        <f t="shared" si="180"/>
        <v>1180</v>
      </c>
      <c r="R1126" s="91">
        <f t="shared" si="174"/>
        <v>0</v>
      </c>
      <c r="S1126" s="91">
        <f t="shared" si="175"/>
        <v>1180</v>
      </c>
    </row>
    <row r="1127" spans="2:19" x14ac:dyDescent="0.2">
      <c r="B1127" s="88">
        <f t="shared" si="192"/>
        <v>409</v>
      </c>
      <c r="C1127" s="4"/>
      <c r="D1127" s="4"/>
      <c r="E1127" s="4"/>
      <c r="F1127" s="30" t="s">
        <v>170</v>
      </c>
      <c r="G1127" s="4">
        <v>632</v>
      </c>
      <c r="H1127" s="4" t="s">
        <v>146</v>
      </c>
      <c r="I1127" s="23">
        <v>600</v>
      </c>
      <c r="J1127" s="23"/>
      <c r="K1127" s="220">
        <f t="shared" si="190"/>
        <v>600</v>
      </c>
      <c r="L1127" s="259"/>
      <c r="M1127" s="227"/>
      <c r="N1127" s="23"/>
      <c r="O1127" s="220">
        <f t="shared" si="191"/>
        <v>0</v>
      </c>
      <c r="P1127" s="259"/>
      <c r="Q1127" s="308">
        <f t="shared" si="180"/>
        <v>600</v>
      </c>
      <c r="R1127" s="92">
        <f t="shared" si="174"/>
        <v>0</v>
      </c>
      <c r="S1127" s="92">
        <f t="shared" si="175"/>
        <v>600</v>
      </c>
    </row>
    <row r="1128" spans="2:19" x14ac:dyDescent="0.2">
      <c r="B1128" s="88">
        <f t="shared" si="192"/>
        <v>410</v>
      </c>
      <c r="C1128" s="4"/>
      <c r="D1128" s="4"/>
      <c r="E1128" s="4"/>
      <c r="F1128" s="30" t="s">
        <v>170</v>
      </c>
      <c r="G1128" s="4">
        <v>633</v>
      </c>
      <c r="H1128" s="4" t="s">
        <v>137</v>
      </c>
      <c r="I1128" s="23">
        <v>450</v>
      </c>
      <c r="J1128" s="23"/>
      <c r="K1128" s="220">
        <f t="shared" si="190"/>
        <v>450</v>
      </c>
      <c r="L1128" s="259"/>
      <c r="M1128" s="227"/>
      <c r="N1128" s="23"/>
      <c r="O1128" s="220">
        <f t="shared" si="191"/>
        <v>0</v>
      </c>
      <c r="P1128" s="259"/>
      <c r="Q1128" s="308">
        <f t="shared" si="180"/>
        <v>450</v>
      </c>
      <c r="R1128" s="92">
        <f t="shared" si="174"/>
        <v>0</v>
      </c>
      <c r="S1128" s="92">
        <f t="shared" si="175"/>
        <v>450</v>
      </c>
    </row>
    <row r="1129" spans="2:19" x14ac:dyDescent="0.2">
      <c r="B1129" s="88">
        <f t="shared" si="192"/>
        <v>411</v>
      </c>
      <c r="C1129" s="4"/>
      <c r="D1129" s="4"/>
      <c r="E1129" s="4"/>
      <c r="F1129" s="30" t="s">
        <v>170</v>
      </c>
      <c r="G1129" s="4">
        <v>637</v>
      </c>
      <c r="H1129" s="4" t="s">
        <v>134</v>
      </c>
      <c r="I1129" s="23">
        <v>130</v>
      </c>
      <c r="J1129" s="23"/>
      <c r="K1129" s="220">
        <f t="shared" si="190"/>
        <v>130</v>
      </c>
      <c r="L1129" s="259"/>
      <c r="M1129" s="227"/>
      <c r="N1129" s="23"/>
      <c r="O1129" s="220">
        <f t="shared" si="191"/>
        <v>0</v>
      </c>
      <c r="P1129" s="259"/>
      <c r="Q1129" s="308">
        <f t="shared" si="180"/>
        <v>130</v>
      </c>
      <c r="R1129" s="92">
        <f t="shared" si="174"/>
        <v>0</v>
      </c>
      <c r="S1129" s="92">
        <f t="shared" si="175"/>
        <v>130</v>
      </c>
    </row>
    <row r="1130" spans="2:19" ht="15" x14ac:dyDescent="0.25">
      <c r="B1130" s="88">
        <f t="shared" si="192"/>
        <v>412</v>
      </c>
      <c r="C1130" s="13"/>
      <c r="D1130" s="13"/>
      <c r="E1130" s="13">
        <v>6</v>
      </c>
      <c r="F1130" s="32"/>
      <c r="G1130" s="13"/>
      <c r="H1130" s="13" t="s">
        <v>12</v>
      </c>
      <c r="I1130" s="42">
        <f>I1131+I1132+I1133+I1137</f>
        <v>132912</v>
      </c>
      <c r="J1130" s="42">
        <f>J1131+J1132+J1133+J1137</f>
        <v>0</v>
      </c>
      <c r="K1130" s="255">
        <f t="shared" si="190"/>
        <v>132912</v>
      </c>
      <c r="L1130" s="259"/>
      <c r="M1130" s="317">
        <v>0</v>
      </c>
      <c r="N1130" s="42">
        <v>0</v>
      </c>
      <c r="O1130" s="255">
        <f t="shared" si="191"/>
        <v>0</v>
      </c>
      <c r="P1130" s="259"/>
      <c r="Q1130" s="312">
        <f t="shared" si="180"/>
        <v>132912</v>
      </c>
      <c r="R1130" s="99">
        <f t="shared" ref="R1130:R1197" si="193">J1130+N1130</f>
        <v>0</v>
      </c>
      <c r="S1130" s="99">
        <f t="shared" ref="S1130:S1197" si="194">K1130+O1130</f>
        <v>132912</v>
      </c>
    </row>
    <row r="1131" spans="2:19" x14ac:dyDescent="0.2">
      <c r="B1131" s="88">
        <f t="shared" si="192"/>
        <v>413</v>
      </c>
      <c r="C1131" s="10"/>
      <c r="D1131" s="10"/>
      <c r="E1131" s="10"/>
      <c r="F1131" s="29" t="s">
        <v>170</v>
      </c>
      <c r="G1131" s="10">
        <v>610</v>
      </c>
      <c r="H1131" s="10" t="s">
        <v>143</v>
      </c>
      <c r="I1131" s="27">
        <v>87122</v>
      </c>
      <c r="J1131" s="27"/>
      <c r="K1131" s="250">
        <f t="shared" si="190"/>
        <v>87122</v>
      </c>
      <c r="L1131" s="259"/>
      <c r="M1131" s="315"/>
      <c r="N1131" s="27"/>
      <c r="O1131" s="250">
        <f t="shared" si="191"/>
        <v>0</v>
      </c>
      <c r="P1131" s="259"/>
      <c r="Q1131" s="309">
        <f t="shared" si="180"/>
        <v>87122</v>
      </c>
      <c r="R1131" s="91">
        <f t="shared" si="193"/>
        <v>0</v>
      </c>
      <c r="S1131" s="91">
        <f t="shared" si="194"/>
        <v>87122</v>
      </c>
    </row>
    <row r="1132" spans="2:19" x14ac:dyDescent="0.2">
      <c r="B1132" s="88">
        <f t="shared" si="192"/>
        <v>414</v>
      </c>
      <c r="C1132" s="10"/>
      <c r="D1132" s="10"/>
      <c r="E1132" s="10"/>
      <c r="F1132" s="29" t="s">
        <v>170</v>
      </c>
      <c r="G1132" s="10">
        <v>620</v>
      </c>
      <c r="H1132" s="10" t="s">
        <v>136</v>
      </c>
      <c r="I1132" s="27">
        <v>30450</v>
      </c>
      <c r="J1132" s="27"/>
      <c r="K1132" s="250">
        <f t="shared" si="190"/>
        <v>30450</v>
      </c>
      <c r="L1132" s="259"/>
      <c r="M1132" s="315"/>
      <c r="N1132" s="27"/>
      <c r="O1132" s="250">
        <f t="shared" si="191"/>
        <v>0</v>
      </c>
      <c r="P1132" s="259"/>
      <c r="Q1132" s="309">
        <f t="shared" si="180"/>
        <v>30450</v>
      </c>
      <c r="R1132" s="91">
        <f t="shared" si="193"/>
        <v>0</v>
      </c>
      <c r="S1132" s="91">
        <f t="shared" si="194"/>
        <v>30450</v>
      </c>
    </row>
    <row r="1133" spans="2:19" x14ac:dyDescent="0.2">
      <c r="B1133" s="88">
        <f t="shared" si="192"/>
        <v>415</v>
      </c>
      <c r="C1133" s="10"/>
      <c r="D1133" s="10"/>
      <c r="E1133" s="10"/>
      <c r="F1133" s="29" t="s">
        <v>170</v>
      </c>
      <c r="G1133" s="10">
        <v>630</v>
      </c>
      <c r="H1133" s="10" t="s">
        <v>133</v>
      </c>
      <c r="I1133" s="27">
        <f>SUM(I1134:I1136)</f>
        <v>15000</v>
      </c>
      <c r="J1133" s="27">
        <f>SUM(J1134:J1136)</f>
        <v>0</v>
      </c>
      <c r="K1133" s="250">
        <f t="shared" si="190"/>
        <v>15000</v>
      </c>
      <c r="L1133" s="259"/>
      <c r="M1133" s="315"/>
      <c r="N1133" s="27"/>
      <c r="O1133" s="250">
        <f t="shared" si="191"/>
        <v>0</v>
      </c>
      <c r="P1133" s="259"/>
      <c r="Q1133" s="309">
        <f t="shared" si="180"/>
        <v>15000</v>
      </c>
      <c r="R1133" s="91">
        <f t="shared" si="193"/>
        <v>0</v>
      </c>
      <c r="S1133" s="91">
        <f t="shared" si="194"/>
        <v>15000</v>
      </c>
    </row>
    <row r="1134" spans="2:19" x14ac:dyDescent="0.2">
      <c r="B1134" s="88">
        <f t="shared" si="192"/>
        <v>416</v>
      </c>
      <c r="C1134" s="4"/>
      <c r="D1134" s="4"/>
      <c r="E1134" s="4"/>
      <c r="F1134" s="30" t="s">
        <v>170</v>
      </c>
      <c r="G1134" s="4">
        <v>632</v>
      </c>
      <c r="H1134" s="4" t="s">
        <v>146</v>
      </c>
      <c r="I1134" s="23">
        <v>12730</v>
      </c>
      <c r="J1134" s="23"/>
      <c r="K1134" s="220">
        <f t="shared" si="190"/>
        <v>12730</v>
      </c>
      <c r="L1134" s="259"/>
      <c r="M1134" s="227"/>
      <c r="N1134" s="23"/>
      <c r="O1134" s="220">
        <f t="shared" si="191"/>
        <v>0</v>
      </c>
      <c r="P1134" s="259"/>
      <c r="Q1134" s="308">
        <f t="shared" si="180"/>
        <v>12730</v>
      </c>
      <c r="R1134" s="92">
        <f t="shared" si="193"/>
        <v>0</v>
      </c>
      <c r="S1134" s="92">
        <f t="shared" si="194"/>
        <v>12730</v>
      </c>
    </row>
    <row r="1135" spans="2:19" x14ac:dyDescent="0.2">
      <c r="B1135" s="88">
        <f t="shared" si="192"/>
        <v>417</v>
      </c>
      <c r="C1135" s="4"/>
      <c r="D1135" s="4"/>
      <c r="E1135" s="4"/>
      <c r="F1135" s="30" t="s">
        <v>170</v>
      </c>
      <c r="G1135" s="4">
        <v>633</v>
      </c>
      <c r="H1135" s="4" t="s">
        <v>137</v>
      </c>
      <c r="I1135" s="23">
        <v>1027</v>
      </c>
      <c r="J1135" s="23"/>
      <c r="K1135" s="220">
        <f t="shared" si="190"/>
        <v>1027</v>
      </c>
      <c r="L1135" s="259"/>
      <c r="M1135" s="227"/>
      <c r="N1135" s="23"/>
      <c r="O1135" s="220">
        <f t="shared" si="191"/>
        <v>0</v>
      </c>
      <c r="P1135" s="259"/>
      <c r="Q1135" s="308">
        <f t="shared" si="180"/>
        <v>1027</v>
      </c>
      <c r="R1135" s="92">
        <f t="shared" si="193"/>
        <v>0</v>
      </c>
      <c r="S1135" s="92">
        <f t="shared" si="194"/>
        <v>1027</v>
      </c>
    </row>
    <row r="1136" spans="2:19" x14ac:dyDescent="0.2">
      <c r="B1136" s="88">
        <f t="shared" si="192"/>
        <v>418</v>
      </c>
      <c r="C1136" s="4"/>
      <c r="D1136" s="4"/>
      <c r="E1136" s="4"/>
      <c r="F1136" s="30" t="s">
        <v>170</v>
      </c>
      <c r="G1136" s="4">
        <v>637</v>
      </c>
      <c r="H1136" s="4" t="s">
        <v>134</v>
      </c>
      <c r="I1136" s="23">
        <v>1243</v>
      </c>
      <c r="J1136" s="23"/>
      <c r="K1136" s="220">
        <f t="shared" si="190"/>
        <v>1243</v>
      </c>
      <c r="L1136" s="259"/>
      <c r="M1136" s="227"/>
      <c r="N1136" s="23"/>
      <c r="O1136" s="220">
        <f t="shared" si="191"/>
        <v>0</v>
      </c>
      <c r="P1136" s="259"/>
      <c r="Q1136" s="308">
        <f t="shared" si="180"/>
        <v>1243</v>
      </c>
      <c r="R1136" s="92">
        <f t="shared" si="193"/>
        <v>0</v>
      </c>
      <c r="S1136" s="92">
        <f t="shared" si="194"/>
        <v>1243</v>
      </c>
    </row>
    <row r="1137" spans="2:19" x14ac:dyDescent="0.2">
      <c r="B1137" s="88">
        <f t="shared" si="192"/>
        <v>419</v>
      </c>
      <c r="C1137" s="10"/>
      <c r="D1137" s="10"/>
      <c r="E1137" s="10"/>
      <c r="F1137" s="29" t="s">
        <v>170</v>
      </c>
      <c r="G1137" s="10">
        <v>640</v>
      </c>
      <c r="H1137" s="10" t="s">
        <v>141</v>
      </c>
      <c r="I1137" s="27">
        <v>340</v>
      </c>
      <c r="J1137" s="27"/>
      <c r="K1137" s="250">
        <f t="shared" si="190"/>
        <v>340</v>
      </c>
      <c r="L1137" s="259"/>
      <c r="M1137" s="315"/>
      <c r="N1137" s="27"/>
      <c r="O1137" s="250">
        <f t="shared" si="191"/>
        <v>0</v>
      </c>
      <c r="P1137" s="259"/>
      <c r="Q1137" s="309">
        <f t="shared" si="180"/>
        <v>340</v>
      </c>
      <c r="R1137" s="91">
        <f t="shared" si="193"/>
        <v>0</v>
      </c>
      <c r="S1137" s="91">
        <f t="shared" si="194"/>
        <v>340</v>
      </c>
    </row>
    <row r="1138" spans="2:19" ht="15" x14ac:dyDescent="0.25">
      <c r="B1138" s="88">
        <f t="shared" si="192"/>
        <v>420</v>
      </c>
      <c r="C1138" s="13"/>
      <c r="D1138" s="13"/>
      <c r="E1138" s="13">
        <v>7</v>
      </c>
      <c r="F1138" s="32"/>
      <c r="G1138" s="13"/>
      <c r="H1138" s="13" t="s">
        <v>13</v>
      </c>
      <c r="I1138" s="42">
        <f>I1139+I1140+I1141+I1145</f>
        <v>128550</v>
      </c>
      <c r="J1138" s="42">
        <f>J1139+J1140+J1141+J1145</f>
        <v>0</v>
      </c>
      <c r="K1138" s="255">
        <f t="shared" si="190"/>
        <v>128550</v>
      </c>
      <c r="L1138" s="259"/>
      <c r="M1138" s="317">
        <v>0</v>
      </c>
      <c r="N1138" s="42">
        <v>0</v>
      </c>
      <c r="O1138" s="255">
        <f t="shared" si="191"/>
        <v>0</v>
      </c>
      <c r="P1138" s="259"/>
      <c r="Q1138" s="312">
        <f t="shared" si="180"/>
        <v>128550</v>
      </c>
      <c r="R1138" s="99">
        <f t="shared" si="193"/>
        <v>0</v>
      </c>
      <c r="S1138" s="99">
        <f t="shared" si="194"/>
        <v>128550</v>
      </c>
    </row>
    <row r="1139" spans="2:19" x14ac:dyDescent="0.2">
      <c r="B1139" s="88">
        <f t="shared" si="192"/>
        <v>421</v>
      </c>
      <c r="C1139" s="10"/>
      <c r="D1139" s="10"/>
      <c r="E1139" s="10"/>
      <c r="F1139" s="29" t="s">
        <v>170</v>
      </c>
      <c r="G1139" s="10">
        <v>610</v>
      </c>
      <c r="H1139" s="10" t="s">
        <v>143</v>
      </c>
      <c r="I1139" s="27">
        <f>78882+6916</f>
        <v>85798</v>
      </c>
      <c r="J1139" s="27"/>
      <c r="K1139" s="250">
        <f t="shared" si="190"/>
        <v>85798</v>
      </c>
      <c r="L1139" s="259"/>
      <c r="M1139" s="315"/>
      <c r="N1139" s="27"/>
      <c r="O1139" s="250">
        <f t="shared" si="191"/>
        <v>0</v>
      </c>
      <c r="P1139" s="259"/>
      <c r="Q1139" s="309">
        <f t="shared" ref="Q1139:Q1204" si="195">I1139+M1139</f>
        <v>85798</v>
      </c>
      <c r="R1139" s="91">
        <f t="shared" si="193"/>
        <v>0</v>
      </c>
      <c r="S1139" s="91">
        <f t="shared" si="194"/>
        <v>85798</v>
      </c>
    </row>
    <row r="1140" spans="2:19" x14ac:dyDescent="0.2">
      <c r="B1140" s="88">
        <f t="shared" si="192"/>
        <v>422</v>
      </c>
      <c r="C1140" s="10"/>
      <c r="D1140" s="10"/>
      <c r="E1140" s="10"/>
      <c r="F1140" s="29" t="s">
        <v>170</v>
      </c>
      <c r="G1140" s="10">
        <v>620</v>
      </c>
      <c r="H1140" s="10" t="s">
        <v>136</v>
      </c>
      <c r="I1140" s="27">
        <f>27761+2441</f>
        <v>30202</v>
      </c>
      <c r="J1140" s="27"/>
      <c r="K1140" s="250">
        <f t="shared" si="190"/>
        <v>30202</v>
      </c>
      <c r="L1140" s="259"/>
      <c r="M1140" s="315"/>
      <c r="N1140" s="27"/>
      <c r="O1140" s="250">
        <f t="shared" si="191"/>
        <v>0</v>
      </c>
      <c r="P1140" s="259"/>
      <c r="Q1140" s="309">
        <f t="shared" si="195"/>
        <v>30202</v>
      </c>
      <c r="R1140" s="91">
        <f t="shared" si="193"/>
        <v>0</v>
      </c>
      <c r="S1140" s="91">
        <f t="shared" si="194"/>
        <v>30202</v>
      </c>
    </row>
    <row r="1141" spans="2:19" x14ac:dyDescent="0.2">
      <c r="B1141" s="88">
        <f t="shared" si="192"/>
        <v>423</v>
      </c>
      <c r="C1141" s="10"/>
      <c r="D1141" s="10"/>
      <c r="E1141" s="10"/>
      <c r="F1141" s="29" t="s">
        <v>170</v>
      </c>
      <c r="G1141" s="10">
        <v>630</v>
      </c>
      <c r="H1141" s="10" t="s">
        <v>133</v>
      </c>
      <c r="I1141" s="27">
        <f>SUM(I1142:I1144)</f>
        <v>10166</v>
      </c>
      <c r="J1141" s="27">
        <f>SUM(J1142:J1144)</f>
        <v>0</v>
      </c>
      <c r="K1141" s="250">
        <f t="shared" si="190"/>
        <v>10166</v>
      </c>
      <c r="L1141" s="259"/>
      <c r="M1141" s="315"/>
      <c r="N1141" s="27"/>
      <c r="O1141" s="250">
        <f t="shared" si="191"/>
        <v>0</v>
      </c>
      <c r="P1141" s="259"/>
      <c r="Q1141" s="309">
        <f t="shared" si="195"/>
        <v>10166</v>
      </c>
      <c r="R1141" s="91">
        <f t="shared" si="193"/>
        <v>0</v>
      </c>
      <c r="S1141" s="91">
        <f t="shared" si="194"/>
        <v>10166</v>
      </c>
    </row>
    <row r="1142" spans="2:19" x14ac:dyDescent="0.2">
      <c r="B1142" s="88">
        <f t="shared" si="192"/>
        <v>424</v>
      </c>
      <c r="C1142" s="4"/>
      <c r="D1142" s="4"/>
      <c r="E1142" s="4"/>
      <c r="F1142" s="30" t="s">
        <v>170</v>
      </c>
      <c r="G1142" s="4">
        <v>632</v>
      </c>
      <c r="H1142" s="4" t="s">
        <v>146</v>
      </c>
      <c r="I1142" s="23">
        <v>5294</v>
      </c>
      <c r="J1142" s="23"/>
      <c r="K1142" s="220">
        <f t="shared" si="190"/>
        <v>5294</v>
      </c>
      <c r="L1142" s="259"/>
      <c r="M1142" s="227"/>
      <c r="N1142" s="23"/>
      <c r="O1142" s="220">
        <f t="shared" si="191"/>
        <v>0</v>
      </c>
      <c r="P1142" s="259"/>
      <c r="Q1142" s="308">
        <f t="shared" si="195"/>
        <v>5294</v>
      </c>
      <c r="R1142" s="92">
        <f t="shared" si="193"/>
        <v>0</v>
      </c>
      <c r="S1142" s="92">
        <f t="shared" si="194"/>
        <v>5294</v>
      </c>
    </row>
    <row r="1143" spans="2:19" x14ac:dyDescent="0.2">
      <c r="B1143" s="88">
        <f t="shared" si="192"/>
        <v>425</v>
      </c>
      <c r="C1143" s="4"/>
      <c r="D1143" s="4"/>
      <c r="E1143" s="4"/>
      <c r="F1143" s="30" t="s">
        <v>170</v>
      </c>
      <c r="G1143" s="4">
        <v>633</v>
      </c>
      <c r="H1143" s="4" t="s">
        <v>137</v>
      </c>
      <c r="I1143" s="23">
        <v>2372</v>
      </c>
      <c r="J1143" s="23"/>
      <c r="K1143" s="220">
        <f t="shared" si="190"/>
        <v>2372</v>
      </c>
      <c r="L1143" s="259"/>
      <c r="M1143" s="227"/>
      <c r="N1143" s="23"/>
      <c r="O1143" s="220">
        <f t="shared" si="191"/>
        <v>0</v>
      </c>
      <c r="P1143" s="259"/>
      <c r="Q1143" s="308">
        <f t="shared" si="195"/>
        <v>2372</v>
      </c>
      <c r="R1143" s="92">
        <f t="shared" si="193"/>
        <v>0</v>
      </c>
      <c r="S1143" s="92">
        <f t="shared" si="194"/>
        <v>2372</v>
      </c>
    </row>
    <row r="1144" spans="2:19" x14ac:dyDescent="0.2">
      <c r="B1144" s="88">
        <f t="shared" si="192"/>
        <v>426</v>
      </c>
      <c r="C1144" s="4"/>
      <c r="D1144" s="4"/>
      <c r="E1144" s="4"/>
      <c r="F1144" s="30" t="s">
        <v>170</v>
      </c>
      <c r="G1144" s="4">
        <v>637</v>
      </c>
      <c r="H1144" s="4" t="s">
        <v>134</v>
      </c>
      <c r="I1144" s="23">
        <v>2500</v>
      </c>
      <c r="J1144" s="23"/>
      <c r="K1144" s="220">
        <f t="shared" si="190"/>
        <v>2500</v>
      </c>
      <c r="L1144" s="259"/>
      <c r="M1144" s="227"/>
      <c r="N1144" s="23"/>
      <c r="O1144" s="220">
        <f t="shared" si="191"/>
        <v>0</v>
      </c>
      <c r="P1144" s="259"/>
      <c r="Q1144" s="308">
        <f t="shared" si="195"/>
        <v>2500</v>
      </c>
      <c r="R1144" s="92">
        <f t="shared" si="193"/>
        <v>0</v>
      </c>
      <c r="S1144" s="92">
        <f t="shared" si="194"/>
        <v>2500</v>
      </c>
    </row>
    <row r="1145" spans="2:19" x14ac:dyDescent="0.2">
      <c r="B1145" s="88">
        <f t="shared" si="192"/>
        <v>427</v>
      </c>
      <c r="C1145" s="10"/>
      <c r="D1145" s="10"/>
      <c r="E1145" s="10"/>
      <c r="F1145" s="29" t="s">
        <v>170</v>
      </c>
      <c r="G1145" s="10">
        <v>640</v>
      </c>
      <c r="H1145" s="10" t="s">
        <v>141</v>
      </c>
      <c r="I1145" s="27">
        <v>2384</v>
      </c>
      <c r="J1145" s="27"/>
      <c r="K1145" s="250">
        <f t="shared" si="190"/>
        <v>2384</v>
      </c>
      <c r="L1145" s="259"/>
      <c r="M1145" s="315"/>
      <c r="N1145" s="27"/>
      <c r="O1145" s="250">
        <f t="shared" si="191"/>
        <v>0</v>
      </c>
      <c r="P1145" s="259"/>
      <c r="Q1145" s="309">
        <f t="shared" si="195"/>
        <v>2384</v>
      </c>
      <c r="R1145" s="91">
        <f t="shared" si="193"/>
        <v>0</v>
      </c>
      <c r="S1145" s="91">
        <f t="shared" si="194"/>
        <v>2384</v>
      </c>
    </row>
    <row r="1146" spans="2:19" ht="15" x14ac:dyDescent="0.25">
      <c r="B1146" s="88">
        <f t="shared" si="192"/>
        <v>428</v>
      </c>
      <c r="C1146" s="13"/>
      <c r="D1146" s="13"/>
      <c r="E1146" s="13">
        <v>8</v>
      </c>
      <c r="F1146" s="32"/>
      <c r="G1146" s="13"/>
      <c r="H1146" s="66" t="s">
        <v>10</v>
      </c>
      <c r="I1146" s="67">
        <f>I1147+I1148+I1149+I1154</f>
        <v>249963</v>
      </c>
      <c r="J1146" s="67">
        <f>J1147+J1148+J1149+J1154</f>
        <v>0</v>
      </c>
      <c r="K1146" s="360">
        <f t="shared" si="190"/>
        <v>249963</v>
      </c>
      <c r="L1146" s="259"/>
      <c r="M1146" s="317">
        <v>0</v>
      </c>
      <c r="N1146" s="42">
        <v>0</v>
      </c>
      <c r="O1146" s="255">
        <f t="shared" si="191"/>
        <v>0</v>
      </c>
      <c r="P1146" s="259"/>
      <c r="Q1146" s="312">
        <f t="shared" si="195"/>
        <v>249963</v>
      </c>
      <c r="R1146" s="99">
        <f t="shared" si="193"/>
        <v>0</v>
      </c>
      <c r="S1146" s="99">
        <f t="shared" si="194"/>
        <v>249963</v>
      </c>
    </row>
    <row r="1147" spans="2:19" x14ac:dyDescent="0.2">
      <c r="B1147" s="88">
        <f t="shared" si="192"/>
        <v>429</v>
      </c>
      <c r="C1147" s="10"/>
      <c r="D1147" s="10"/>
      <c r="E1147" s="10"/>
      <c r="F1147" s="29" t="s">
        <v>170</v>
      </c>
      <c r="G1147" s="10">
        <v>610</v>
      </c>
      <c r="H1147" s="10" t="s">
        <v>143</v>
      </c>
      <c r="I1147" s="27">
        <f>145644+22365</f>
        <v>168009</v>
      </c>
      <c r="J1147" s="27"/>
      <c r="K1147" s="250">
        <f t="shared" si="190"/>
        <v>168009</v>
      </c>
      <c r="L1147" s="259"/>
      <c r="M1147" s="315"/>
      <c r="N1147" s="27"/>
      <c r="O1147" s="250">
        <f t="shared" si="191"/>
        <v>0</v>
      </c>
      <c r="P1147" s="259"/>
      <c r="Q1147" s="309">
        <f t="shared" si="195"/>
        <v>168009</v>
      </c>
      <c r="R1147" s="91">
        <f t="shared" si="193"/>
        <v>0</v>
      </c>
      <c r="S1147" s="91">
        <f t="shared" si="194"/>
        <v>168009</v>
      </c>
    </row>
    <row r="1148" spans="2:19" x14ac:dyDescent="0.2">
      <c r="B1148" s="88">
        <f t="shared" si="192"/>
        <v>430</v>
      </c>
      <c r="C1148" s="10"/>
      <c r="D1148" s="10"/>
      <c r="E1148" s="10"/>
      <c r="F1148" s="29" t="s">
        <v>170</v>
      </c>
      <c r="G1148" s="10">
        <v>620</v>
      </c>
      <c r="H1148" s="10" t="s">
        <v>136</v>
      </c>
      <c r="I1148" s="27">
        <f>50976+7828</f>
        <v>58804</v>
      </c>
      <c r="J1148" s="27"/>
      <c r="K1148" s="250">
        <f t="shared" si="190"/>
        <v>58804</v>
      </c>
      <c r="L1148" s="259"/>
      <c r="M1148" s="315"/>
      <c r="N1148" s="27"/>
      <c r="O1148" s="250">
        <f t="shared" si="191"/>
        <v>0</v>
      </c>
      <c r="P1148" s="259"/>
      <c r="Q1148" s="309">
        <f t="shared" si="195"/>
        <v>58804</v>
      </c>
      <c r="R1148" s="91">
        <f t="shared" si="193"/>
        <v>0</v>
      </c>
      <c r="S1148" s="91">
        <f t="shared" si="194"/>
        <v>58804</v>
      </c>
    </row>
    <row r="1149" spans="2:19" x14ac:dyDescent="0.2">
      <c r="B1149" s="88">
        <f t="shared" si="192"/>
        <v>431</v>
      </c>
      <c r="C1149" s="10"/>
      <c r="D1149" s="10"/>
      <c r="E1149" s="10"/>
      <c r="F1149" s="29" t="s">
        <v>170</v>
      </c>
      <c r="G1149" s="10">
        <v>630</v>
      </c>
      <c r="H1149" s="10" t="s">
        <v>133</v>
      </c>
      <c r="I1149" s="27">
        <f>SUM(I1150:I1153)</f>
        <v>22150</v>
      </c>
      <c r="J1149" s="27">
        <f>SUM(J1150:J1153)</f>
        <v>0</v>
      </c>
      <c r="K1149" s="250">
        <f t="shared" si="190"/>
        <v>22150</v>
      </c>
      <c r="L1149" s="259"/>
      <c r="M1149" s="315"/>
      <c r="N1149" s="27"/>
      <c r="O1149" s="250">
        <f t="shared" si="191"/>
        <v>0</v>
      </c>
      <c r="P1149" s="259"/>
      <c r="Q1149" s="309">
        <f t="shared" si="195"/>
        <v>22150</v>
      </c>
      <c r="R1149" s="91">
        <f t="shared" si="193"/>
        <v>0</v>
      </c>
      <c r="S1149" s="91">
        <f t="shared" si="194"/>
        <v>22150</v>
      </c>
    </row>
    <row r="1150" spans="2:19" x14ac:dyDescent="0.2">
      <c r="B1150" s="88">
        <f t="shared" si="192"/>
        <v>432</v>
      </c>
      <c r="C1150" s="4"/>
      <c r="D1150" s="4"/>
      <c r="E1150" s="4"/>
      <c r="F1150" s="30" t="s">
        <v>170</v>
      </c>
      <c r="G1150" s="4">
        <v>632</v>
      </c>
      <c r="H1150" s="4" t="s">
        <v>146</v>
      </c>
      <c r="I1150" s="24">
        <f>16550-6000</f>
        <v>10550</v>
      </c>
      <c r="J1150" s="24"/>
      <c r="K1150" s="257">
        <f t="shared" si="190"/>
        <v>10550</v>
      </c>
      <c r="L1150" s="259"/>
      <c r="M1150" s="227"/>
      <c r="N1150" s="23"/>
      <c r="O1150" s="220">
        <f t="shared" si="191"/>
        <v>0</v>
      </c>
      <c r="P1150" s="259"/>
      <c r="Q1150" s="308">
        <f t="shared" si="195"/>
        <v>10550</v>
      </c>
      <c r="R1150" s="92">
        <f t="shared" si="193"/>
        <v>0</v>
      </c>
      <c r="S1150" s="92">
        <f t="shared" si="194"/>
        <v>10550</v>
      </c>
    </row>
    <row r="1151" spans="2:19" x14ac:dyDescent="0.2">
      <c r="B1151" s="88">
        <f t="shared" si="192"/>
        <v>433</v>
      </c>
      <c r="C1151" s="4"/>
      <c r="D1151" s="4"/>
      <c r="E1151" s="4"/>
      <c r="F1151" s="30" t="s">
        <v>170</v>
      </c>
      <c r="G1151" s="4">
        <v>633</v>
      </c>
      <c r="H1151" s="4" t="s">
        <v>137</v>
      </c>
      <c r="I1151" s="24">
        <v>700</v>
      </c>
      <c r="J1151" s="24"/>
      <c r="K1151" s="257">
        <f t="shared" si="190"/>
        <v>700</v>
      </c>
      <c r="L1151" s="259"/>
      <c r="M1151" s="227"/>
      <c r="N1151" s="23"/>
      <c r="O1151" s="220">
        <f t="shared" si="191"/>
        <v>0</v>
      </c>
      <c r="P1151" s="259"/>
      <c r="Q1151" s="308">
        <f t="shared" si="195"/>
        <v>700</v>
      </c>
      <c r="R1151" s="92">
        <f t="shared" si="193"/>
        <v>0</v>
      </c>
      <c r="S1151" s="92">
        <f t="shared" si="194"/>
        <v>700</v>
      </c>
    </row>
    <row r="1152" spans="2:19" x14ac:dyDescent="0.2">
      <c r="B1152" s="88">
        <f t="shared" si="192"/>
        <v>434</v>
      </c>
      <c r="C1152" s="4"/>
      <c r="D1152" s="4"/>
      <c r="E1152" s="4"/>
      <c r="F1152" s="30" t="s">
        <v>170</v>
      </c>
      <c r="G1152" s="4">
        <v>635</v>
      </c>
      <c r="H1152" s="4" t="s">
        <v>145</v>
      </c>
      <c r="I1152" s="24">
        <f>500+6000</f>
        <v>6500</v>
      </c>
      <c r="J1152" s="24"/>
      <c r="K1152" s="257">
        <f t="shared" si="190"/>
        <v>6500</v>
      </c>
      <c r="L1152" s="259"/>
      <c r="M1152" s="227"/>
      <c r="N1152" s="23"/>
      <c r="O1152" s="220">
        <f t="shared" si="191"/>
        <v>0</v>
      </c>
      <c r="P1152" s="259"/>
      <c r="Q1152" s="308">
        <f t="shared" si="195"/>
        <v>6500</v>
      </c>
      <c r="R1152" s="92">
        <f t="shared" si="193"/>
        <v>0</v>
      </c>
      <c r="S1152" s="92">
        <f t="shared" si="194"/>
        <v>6500</v>
      </c>
    </row>
    <row r="1153" spans="2:19" x14ac:dyDescent="0.2">
      <c r="B1153" s="88">
        <f t="shared" si="192"/>
        <v>435</v>
      </c>
      <c r="C1153" s="4"/>
      <c r="D1153" s="4"/>
      <c r="E1153" s="4"/>
      <c r="F1153" s="30" t="s">
        <v>170</v>
      </c>
      <c r="G1153" s="4">
        <v>637</v>
      </c>
      <c r="H1153" s="4" t="s">
        <v>134</v>
      </c>
      <c r="I1153" s="24">
        <v>4400</v>
      </c>
      <c r="J1153" s="24"/>
      <c r="K1153" s="257">
        <f t="shared" si="190"/>
        <v>4400</v>
      </c>
      <c r="L1153" s="259"/>
      <c r="M1153" s="227"/>
      <c r="N1153" s="23"/>
      <c r="O1153" s="220">
        <f t="shared" si="191"/>
        <v>0</v>
      </c>
      <c r="P1153" s="259"/>
      <c r="Q1153" s="308">
        <f t="shared" si="195"/>
        <v>4400</v>
      </c>
      <c r="R1153" s="92">
        <f t="shared" si="193"/>
        <v>0</v>
      </c>
      <c r="S1153" s="92">
        <f t="shared" si="194"/>
        <v>4400</v>
      </c>
    </row>
    <row r="1154" spans="2:19" x14ac:dyDescent="0.2">
      <c r="B1154" s="88">
        <f t="shared" si="192"/>
        <v>436</v>
      </c>
      <c r="C1154" s="10"/>
      <c r="D1154" s="10"/>
      <c r="E1154" s="10"/>
      <c r="F1154" s="29" t="s">
        <v>170</v>
      </c>
      <c r="G1154" s="10">
        <v>640</v>
      </c>
      <c r="H1154" s="10" t="s">
        <v>141</v>
      </c>
      <c r="I1154" s="27">
        <v>1000</v>
      </c>
      <c r="J1154" s="27"/>
      <c r="K1154" s="250">
        <f t="shared" si="190"/>
        <v>1000</v>
      </c>
      <c r="L1154" s="259"/>
      <c r="M1154" s="315"/>
      <c r="N1154" s="27"/>
      <c r="O1154" s="250">
        <f t="shared" si="191"/>
        <v>0</v>
      </c>
      <c r="P1154" s="259"/>
      <c r="Q1154" s="309">
        <f t="shared" si="195"/>
        <v>1000</v>
      </c>
      <c r="R1154" s="91">
        <f t="shared" si="193"/>
        <v>0</v>
      </c>
      <c r="S1154" s="91">
        <f t="shared" si="194"/>
        <v>1000</v>
      </c>
    </row>
    <row r="1155" spans="2:19" ht="15" x14ac:dyDescent="0.25">
      <c r="B1155" s="88">
        <f t="shared" si="192"/>
        <v>437</v>
      </c>
      <c r="C1155" s="13"/>
      <c r="D1155" s="13"/>
      <c r="E1155" s="13">
        <v>9</v>
      </c>
      <c r="F1155" s="32"/>
      <c r="G1155" s="13"/>
      <c r="H1155" s="13" t="s">
        <v>8</v>
      </c>
      <c r="I1155" s="42">
        <f>I1156+I1157+I1158+I1163</f>
        <v>86617</v>
      </c>
      <c r="J1155" s="42">
        <f>J1156+J1157+J1158+J1163</f>
        <v>0</v>
      </c>
      <c r="K1155" s="255">
        <f t="shared" si="190"/>
        <v>86617</v>
      </c>
      <c r="L1155" s="259"/>
      <c r="M1155" s="317">
        <v>0</v>
      </c>
      <c r="N1155" s="42">
        <v>0</v>
      </c>
      <c r="O1155" s="255">
        <f t="shared" si="191"/>
        <v>0</v>
      </c>
      <c r="P1155" s="259"/>
      <c r="Q1155" s="312">
        <f t="shared" si="195"/>
        <v>86617</v>
      </c>
      <c r="R1155" s="99">
        <f t="shared" si="193"/>
        <v>0</v>
      </c>
      <c r="S1155" s="99">
        <f t="shared" si="194"/>
        <v>86617</v>
      </c>
    </row>
    <row r="1156" spans="2:19" x14ac:dyDescent="0.2">
      <c r="B1156" s="88">
        <f t="shared" si="192"/>
        <v>438</v>
      </c>
      <c r="C1156" s="10"/>
      <c r="D1156" s="10"/>
      <c r="E1156" s="10"/>
      <c r="F1156" s="29" t="s">
        <v>170</v>
      </c>
      <c r="G1156" s="10">
        <v>610</v>
      </c>
      <c r="H1156" s="10" t="s">
        <v>143</v>
      </c>
      <c r="I1156" s="27">
        <f>52650+4050-20</f>
        <v>56680</v>
      </c>
      <c r="J1156" s="27"/>
      <c r="K1156" s="250">
        <f t="shared" si="190"/>
        <v>56680</v>
      </c>
      <c r="L1156" s="259"/>
      <c r="M1156" s="315"/>
      <c r="N1156" s="27"/>
      <c r="O1156" s="250">
        <f t="shared" si="191"/>
        <v>0</v>
      </c>
      <c r="P1156" s="259"/>
      <c r="Q1156" s="309">
        <f t="shared" si="195"/>
        <v>56680</v>
      </c>
      <c r="R1156" s="91">
        <f t="shared" si="193"/>
        <v>0</v>
      </c>
      <c r="S1156" s="91">
        <f t="shared" si="194"/>
        <v>56680</v>
      </c>
    </row>
    <row r="1157" spans="2:19" x14ac:dyDescent="0.2">
      <c r="B1157" s="88">
        <f t="shared" si="192"/>
        <v>439</v>
      </c>
      <c r="C1157" s="10"/>
      <c r="D1157" s="10"/>
      <c r="E1157" s="10"/>
      <c r="F1157" s="29" t="s">
        <v>170</v>
      </c>
      <c r="G1157" s="10">
        <v>620</v>
      </c>
      <c r="H1157" s="10" t="s">
        <v>136</v>
      </c>
      <c r="I1157" s="27">
        <f>19005+1412</f>
        <v>20417</v>
      </c>
      <c r="J1157" s="27"/>
      <c r="K1157" s="250">
        <f t="shared" si="190"/>
        <v>20417</v>
      </c>
      <c r="L1157" s="259"/>
      <c r="M1157" s="315"/>
      <c r="N1157" s="27"/>
      <c r="O1157" s="250">
        <f t="shared" si="191"/>
        <v>0</v>
      </c>
      <c r="P1157" s="259"/>
      <c r="Q1157" s="309">
        <f t="shared" si="195"/>
        <v>20417</v>
      </c>
      <c r="R1157" s="91">
        <f t="shared" si="193"/>
        <v>0</v>
      </c>
      <c r="S1157" s="91">
        <f t="shared" si="194"/>
        <v>20417</v>
      </c>
    </row>
    <row r="1158" spans="2:19" x14ac:dyDescent="0.2">
      <c r="B1158" s="88">
        <f t="shared" si="192"/>
        <v>440</v>
      </c>
      <c r="C1158" s="10"/>
      <c r="D1158" s="10"/>
      <c r="E1158" s="10"/>
      <c r="F1158" s="29" t="s">
        <v>170</v>
      </c>
      <c r="G1158" s="10">
        <v>630</v>
      </c>
      <c r="H1158" s="10" t="s">
        <v>133</v>
      </c>
      <c r="I1158" s="27">
        <f>SUM(I1159:I1162)</f>
        <v>9500</v>
      </c>
      <c r="J1158" s="27">
        <f>SUM(J1159:J1162)</f>
        <v>0</v>
      </c>
      <c r="K1158" s="250">
        <f t="shared" si="190"/>
        <v>9500</v>
      </c>
      <c r="L1158" s="259"/>
      <c r="M1158" s="315"/>
      <c r="N1158" s="27"/>
      <c r="O1158" s="250">
        <f t="shared" si="191"/>
        <v>0</v>
      </c>
      <c r="P1158" s="259"/>
      <c r="Q1158" s="309">
        <f t="shared" si="195"/>
        <v>9500</v>
      </c>
      <c r="R1158" s="91">
        <f t="shared" si="193"/>
        <v>0</v>
      </c>
      <c r="S1158" s="91">
        <f t="shared" si="194"/>
        <v>9500</v>
      </c>
    </row>
    <row r="1159" spans="2:19" x14ac:dyDescent="0.2">
      <c r="B1159" s="88">
        <f t="shared" si="192"/>
        <v>441</v>
      </c>
      <c r="C1159" s="4"/>
      <c r="D1159" s="4"/>
      <c r="E1159" s="4"/>
      <c r="F1159" s="30" t="s">
        <v>170</v>
      </c>
      <c r="G1159" s="4">
        <v>632</v>
      </c>
      <c r="H1159" s="4" t="s">
        <v>146</v>
      </c>
      <c r="I1159" s="23">
        <v>2220</v>
      </c>
      <c r="J1159" s="23"/>
      <c r="K1159" s="220">
        <f t="shared" si="190"/>
        <v>2220</v>
      </c>
      <c r="L1159" s="259"/>
      <c r="M1159" s="227"/>
      <c r="N1159" s="23"/>
      <c r="O1159" s="220">
        <f t="shared" si="191"/>
        <v>0</v>
      </c>
      <c r="P1159" s="259"/>
      <c r="Q1159" s="308">
        <f t="shared" si="195"/>
        <v>2220</v>
      </c>
      <c r="R1159" s="92">
        <f t="shared" si="193"/>
        <v>0</v>
      </c>
      <c r="S1159" s="92">
        <f t="shared" si="194"/>
        <v>2220</v>
      </c>
    </row>
    <row r="1160" spans="2:19" x14ac:dyDescent="0.2">
      <c r="B1160" s="88">
        <f t="shared" si="192"/>
        <v>442</v>
      </c>
      <c r="C1160" s="4"/>
      <c r="D1160" s="4"/>
      <c r="E1160" s="4"/>
      <c r="F1160" s="30" t="s">
        <v>170</v>
      </c>
      <c r="G1160" s="4">
        <v>633</v>
      </c>
      <c r="H1160" s="4" t="s">
        <v>137</v>
      </c>
      <c r="I1160" s="23">
        <v>1250</v>
      </c>
      <c r="J1160" s="23"/>
      <c r="K1160" s="220">
        <f t="shared" si="190"/>
        <v>1250</v>
      </c>
      <c r="L1160" s="259"/>
      <c r="M1160" s="227"/>
      <c r="N1160" s="23"/>
      <c r="O1160" s="220">
        <f t="shared" si="191"/>
        <v>0</v>
      </c>
      <c r="P1160" s="259"/>
      <c r="Q1160" s="308">
        <f t="shared" si="195"/>
        <v>1250</v>
      </c>
      <c r="R1160" s="92">
        <f t="shared" si="193"/>
        <v>0</v>
      </c>
      <c r="S1160" s="92">
        <f t="shared" si="194"/>
        <v>1250</v>
      </c>
    </row>
    <row r="1161" spans="2:19" x14ac:dyDescent="0.2">
      <c r="B1161" s="88">
        <f t="shared" si="192"/>
        <v>443</v>
      </c>
      <c r="C1161" s="4"/>
      <c r="D1161" s="4"/>
      <c r="E1161" s="4"/>
      <c r="F1161" s="30" t="s">
        <v>170</v>
      </c>
      <c r="G1161" s="4">
        <v>635</v>
      </c>
      <c r="H1161" s="4" t="s">
        <v>145</v>
      </c>
      <c r="I1161" s="23">
        <v>4680</v>
      </c>
      <c r="J1161" s="23"/>
      <c r="K1161" s="220">
        <f t="shared" si="190"/>
        <v>4680</v>
      </c>
      <c r="L1161" s="259"/>
      <c r="M1161" s="227"/>
      <c r="N1161" s="23"/>
      <c r="O1161" s="220">
        <f t="shared" si="191"/>
        <v>0</v>
      </c>
      <c r="P1161" s="259"/>
      <c r="Q1161" s="308">
        <f t="shared" si="195"/>
        <v>4680</v>
      </c>
      <c r="R1161" s="92">
        <f t="shared" si="193"/>
        <v>0</v>
      </c>
      <c r="S1161" s="92">
        <f t="shared" si="194"/>
        <v>4680</v>
      </c>
    </row>
    <row r="1162" spans="2:19" x14ac:dyDescent="0.2">
      <c r="B1162" s="88">
        <f t="shared" si="192"/>
        <v>444</v>
      </c>
      <c r="C1162" s="4"/>
      <c r="D1162" s="4"/>
      <c r="E1162" s="4"/>
      <c r="F1162" s="30" t="s">
        <v>170</v>
      </c>
      <c r="G1162" s="4">
        <v>637</v>
      </c>
      <c r="H1162" s="4" t="s">
        <v>134</v>
      </c>
      <c r="I1162" s="23">
        <v>1350</v>
      </c>
      <c r="J1162" s="23"/>
      <c r="K1162" s="220">
        <f t="shared" si="190"/>
        <v>1350</v>
      </c>
      <c r="L1162" s="259"/>
      <c r="M1162" s="227"/>
      <c r="N1162" s="23"/>
      <c r="O1162" s="220">
        <f t="shared" si="191"/>
        <v>0</v>
      </c>
      <c r="P1162" s="259"/>
      <c r="Q1162" s="308">
        <f t="shared" si="195"/>
        <v>1350</v>
      </c>
      <c r="R1162" s="92">
        <f t="shared" si="193"/>
        <v>0</v>
      </c>
      <c r="S1162" s="92">
        <f t="shared" si="194"/>
        <v>1350</v>
      </c>
    </row>
    <row r="1163" spans="2:19" x14ac:dyDescent="0.2">
      <c r="B1163" s="88"/>
      <c r="C1163" s="4"/>
      <c r="D1163" s="4"/>
      <c r="E1163" s="4"/>
      <c r="F1163" s="29" t="s">
        <v>170</v>
      </c>
      <c r="G1163" s="10">
        <v>640</v>
      </c>
      <c r="H1163" s="10" t="s">
        <v>141</v>
      </c>
      <c r="I1163" s="27">
        <v>20</v>
      </c>
      <c r="J1163" s="27"/>
      <c r="K1163" s="250">
        <f t="shared" si="190"/>
        <v>20</v>
      </c>
      <c r="L1163" s="259"/>
      <c r="M1163" s="315"/>
      <c r="N1163" s="27"/>
      <c r="O1163" s="250">
        <f t="shared" si="191"/>
        <v>0</v>
      </c>
      <c r="P1163" s="259"/>
      <c r="Q1163" s="309">
        <f t="shared" si="195"/>
        <v>20</v>
      </c>
      <c r="R1163" s="91">
        <f t="shared" si="193"/>
        <v>0</v>
      </c>
      <c r="S1163" s="91">
        <f t="shared" si="194"/>
        <v>20</v>
      </c>
    </row>
    <row r="1164" spans="2:19" ht="15" x14ac:dyDescent="0.25">
      <c r="B1164" s="88">
        <f>B1162+1</f>
        <v>445</v>
      </c>
      <c r="C1164" s="13"/>
      <c r="D1164" s="13"/>
      <c r="E1164" s="13">
        <v>10</v>
      </c>
      <c r="F1164" s="32"/>
      <c r="G1164" s="13"/>
      <c r="H1164" s="13" t="s">
        <v>2</v>
      </c>
      <c r="I1164" s="42">
        <f>I1165+I1166+I1167+I1171</f>
        <v>85140</v>
      </c>
      <c r="J1164" s="42">
        <f>J1165+J1166+J1167+J1171</f>
        <v>0</v>
      </c>
      <c r="K1164" s="255">
        <f t="shared" si="190"/>
        <v>85140</v>
      </c>
      <c r="L1164" s="259"/>
      <c r="M1164" s="317">
        <v>0</v>
      </c>
      <c r="N1164" s="42">
        <v>0</v>
      </c>
      <c r="O1164" s="255">
        <f t="shared" si="191"/>
        <v>0</v>
      </c>
      <c r="P1164" s="259"/>
      <c r="Q1164" s="312">
        <f t="shared" si="195"/>
        <v>85140</v>
      </c>
      <c r="R1164" s="99">
        <f t="shared" si="193"/>
        <v>0</v>
      </c>
      <c r="S1164" s="99">
        <f t="shared" si="194"/>
        <v>85140</v>
      </c>
    </row>
    <row r="1165" spans="2:19" x14ac:dyDescent="0.2">
      <c r="B1165" s="88">
        <f t="shared" si="192"/>
        <v>446</v>
      </c>
      <c r="C1165" s="10"/>
      <c r="D1165" s="10"/>
      <c r="E1165" s="10"/>
      <c r="F1165" s="29" t="s">
        <v>170</v>
      </c>
      <c r="G1165" s="10">
        <v>610</v>
      </c>
      <c r="H1165" s="10" t="s">
        <v>143</v>
      </c>
      <c r="I1165" s="27">
        <f>52100+3630</f>
        <v>55730</v>
      </c>
      <c r="J1165" s="27"/>
      <c r="K1165" s="250">
        <f t="shared" si="190"/>
        <v>55730</v>
      </c>
      <c r="L1165" s="259"/>
      <c r="M1165" s="315"/>
      <c r="N1165" s="27"/>
      <c r="O1165" s="250">
        <f t="shared" si="191"/>
        <v>0</v>
      </c>
      <c r="P1165" s="259"/>
      <c r="Q1165" s="309">
        <f t="shared" si="195"/>
        <v>55730</v>
      </c>
      <c r="R1165" s="91">
        <f t="shared" si="193"/>
        <v>0</v>
      </c>
      <c r="S1165" s="91">
        <f t="shared" si="194"/>
        <v>55730</v>
      </c>
    </row>
    <row r="1166" spans="2:19" x14ac:dyDescent="0.2">
      <c r="B1166" s="88">
        <f t="shared" si="192"/>
        <v>447</v>
      </c>
      <c r="C1166" s="10"/>
      <c r="D1166" s="10"/>
      <c r="E1166" s="10"/>
      <c r="F1166" s="29" t="s">
        <v>170</v>
      </c>
      <c r="G1166" s="10">
        <v>620</v>
      </c>
      <c r="H1166" s="10" t="s">
        <v>136</v>
      </c>
      <c r="I1166" s="27">
        <f>18210+1270</f>
        <v>19480</v>
      </c>
      <c r="J1166" s="27"/>
      <c r="K1166" s="250">
        <f t="shared" si="190"/>
        <v>19480</v>
      </c>
      <c r="L1166" s="259"/>
      <c r="M1166" s="315"/>
      <c r="N1166" s="27"/>
      <c r="O1166" s="250">
        <f t="shared" si="191"/>
        <v>0</v>
      </c>
      <c r="P1166" s="259"/>
      <c r="Q1166" s="309">
        <f t="shared" si="195"/>
        <v>19480</v>
      </c>
      <c r="R1166" s="91">
        <f t="shared" si="193"/>
        <v>0</v>
      </c>
      <c r="S1166" s="91">
        <f t="shared" si="194"/>
        <v>19480</v>
      </c>
    </row>
    <row r="1167" spans="2:19" x14ac:dyDescent="0.2">
      <c r="B1167" s="88">
        <f t="shared" si="192"/>
        <v>448</v>
      </c>
      <c r="C1167" s="10"/>
      <c r="D1167" s="10"/>
      <c r="E1167" s="10"/>
      <c r="F1167" s="29" t="s">
        <v>170</v>
      </c>
      <c r="G1167" s="10">
        <v>630</v>
      </c>
      <c r="H1167" s="10" t="s">
        <v>133</v>
      </c>
      <c r="I1167" s="27">
        <f>SUM(I1168:I1170)</f>
        <v>9430</v>
      </c>
      <c r="J1167" s="27">
        <f>SUM(J1168:J1170)</f>
        <v>0</v>
      </c>
      <c r="K1167" s="250">
        <f t="shared" si="190"/>
        <v>9430</v>
      </c>
      <c r="L1167" s="259"/>
      <c r="M1167" s="315"/>
      <c r="N1167" s="27"/>
      <c r="O1167" s="250">
        <f t="shared" si="191"/>
        <v>0</v>
      </c>
      <c r="P1167" s="259"/>
      <c r="Q1167" s="309">
        <f t="shared" si="195"/>
        <v>9430</v>
      </c>
      <c r="R1167" s="91">
        <f t="shared" si="193"/>
        <v>0</v>
      </c>
      <c r="S1167" s="91">
        <f t="shared" si="194"/>
        <v>9430</v>
      </c>
    </row>
    <row r="1168" spans="2:19" x14ac:dyDescent="0.2">
      <c r="B1168" s="88">
        <f t="shared" si="192"/>
        <v>449</v>
      </c>
      <c r="C1168" s="4"/>
      <c r="D1168" s="4"/>
      <c r="E1168" s="4"/>
      <c r="F1168" s="30" t="s">
        <v>170</v>
      </c>
      <c r="G1168" s="4">
        <v>632</v>
      </c>
      <c r="H1168" s="4" t="s">
        <v>146</v>
      </c>
      <c r="I1168" s="23">
        <v>2700</v>
      </c>
      <c r="J1168" s="23"/>
      <c r="K1168" s="220">
        <f t="shared" si="190"/>
        <v>2700</v>
      </c>
      <c r="L1168" s="259"/>
      <c r="M1168" s="227"/>
      <c r="N1168" s="23"/>
      <c r="O1168" s="220">
        <f t="shared" si="191"/>
        <v>0</v>
      </c>
      <c r="P1168" s="259"/>
      <c r="Q1168" s="308">
        <f t="shared" si="195"/>
        <v>2700</v>
      </c>
      <c r="R1168" s="92">
        <f t="shared" si="193"/>
        <v>0</v>
      </c>
      <c r="S1168" s="92">
        <f t="shared" si="194"/>
        <v>2700</v>
      </c>
    </row>
    <row r="1169" spans="2:19" x14ac:dyDescent="0.2">
      <c r="B1169" s="88">
        <f t="shared" si="192"/>
        <v>450</v>
      </c>
      <c r="C1169" s="4"/>
      <c r="D1169" s="4"/>
      <c r="E1169" s="4"/>
      <c r="F1169" s="30" t="s">
        <v>170</v>
      </c>
      <c r="G1169" s="4">
        <v>633</v>
      </c>
      <c r="H1169" s="4" t="s">
        <v>137</v>
      </c>
      <c r="I1169" s="23">
        <v>4030</v>
      </c>
      <c r="J1169" s="23"/>
      <c r="K1169" s="220">
        <f t="shared" si="190"/>
        <v>4030</v>
      </c>
      <c r="L1169" s="259"/>
      <c r="M1169" s="227"/>
      <c r="N1169" s="23"/>
      <c r="O1169" s="220">
        <f t="shared" si="191"/>
        <v>0</v>
      </c>
      <c r="P1169" s="259"/>
      <c r="Q1169" s="308">
        <f t="shared" si="195"/>
        <v>4030</v>
      </c>
      <c r="R1169" s="92">
        <f t="shared" si="193"/>
        <v>0</v>
      </c>
      <c r="S1169" s="92">
        <f t="shared" si="194"/>
        <v>4030</v>
      </c>
    </row>
    <row r="1170" spans="2:19" x14ac:dyDescent="0.2">
      <c r="B1170" s="88">
        <f t="shared" si="192"/>
        <v>451</v>
      </c>
      <c r="C1170" s="4"/>
      <c r="D1170" s="4"/>
      <c r="E1170" s="4"/>
      <c r="F1170" s="30" t="s">
        <v>170</v>
      </c>
      <c r="G1170" s="4">
        <v>637</v>
      </c>
      <c r="H1170" s="4" t="s">
        <v>134</v>
      </c>
      <c r="I1170" s="23">
        <v>2700</v>
      </c>
      <c r="J1170" s="23"/>
      <c r="K1170" s="220">
        <f t="shared" si="190"/>
        <v>2700</v>
      </c>
      <c r="L1170" s="259"/>
      <c r="M1170" s="227"/>
      <c r="N1170" s="23"/>
      <c r="O1170" s="220">
        <f t="shared" si="191"/>
        <v>0</v>
      </c>
      <c r="P1170" s="259"/>
      <c r="Q1170" s="308">
        <f t="shared" si="195"/>
        <v>2700</v>
      </c>
      <c r="R1170" s="92">
        <f t="shared" si="193"/>
        <v>0</v>
      </c>
      <c r="S1170" s="92">
        <f t="shared" si="194"/>
        <v>2700</v>
      </c>
    </row>
    <row r="1171" spans="2:19" x14ac:dyDescent="0.2">
      <c r="B1171" s="88">
        <f t="shared" si="192"/>
        <v>452</v>
      </c>
      <c r="C1171" s="10"/>
      <c r="D1171" s="10"/>
      <c r="E1171" s="10"/>
      <c r="F1171" s="29" t="s">
        <v>170</v>
      </c>
      <c r="G1171" s="10">
        <v>640</v>
      </c>
      <c r="H1171" s="10" t="s">
        <v>141</v>
      </c>
      <c r="I1171" s="27">
        <v>500</v>
      </c>
      <c r="J1171" s="27"/>
      <c r="K1171" s="250">
        <f t="shared" si="190"/>
        <v>500</v>
      </c>
      <c r="L1171" s="259"/>
      <c r="M1171" s="315"/>
      <c r="N1171" s="27"/>
      <c r="O1171" s="250">
        <f t="shared" si="191"/>
        <v>0</v>
      </c>
      <c r="P1171" s="259"/>
      <c r="Q1171" s="309">
        <f t="shared" si="195"/>
        <v>500</v>
      </c>
      <c r="R1171" s="91">
        <f t="shared" si="193"/>
        <v>0</v>
      </c>
      <c r="S1171" s="91">
        <f t="shared" si="194"/>
        <v>500</v>
      </c>
    </row>
    <row r="1172" spans="2:19" ht="15" x14ac:dyDescent="0.25">
      <c r="B1172" s="88">
        <f t="shared" si="192"/>
        <v>453</v>
      </c>
      <c r="C1172" s="13"/>
      <c r="D1172" s="13"/>
      <c r="E1172" s="13">
        <v>11</v>
      </c>
      <c r="F1172" s="32"/>
      <c r="G1172" s="13"/>
      <c r="H1172" s="13" t="s">
        <v>11</v>
      </c>
      <c r="I1172" s="42">
        <f>I1173+I1174+I1175+I1179</f>
        <v>148769</v>
      </c>
      <c r="J1172" s="42">
        <f>J1173+J1174+J1175+J1179</f>
        <v>0</v>
      </c>
      <c r="K1172" s="255">
        <f t="shared" si="190"/>
        <v>148769</v>
      </c>
      <c r="L1172" s="259"/>
      <c r="M1172" s="317">
        <v>0</v>
      </c>
      <c r="N1172" s="42">
        <v>0</v>
      </c>
      <c r="O1172" s="255">
        <f t="shared" si="191"/>
        <v>0</v>
      </c>
      <c r="P1172" s="259"/>
      <c r="Q1172" s="312">
        <f t="shared" si="195"/>
        <v>148769</v>
      </c>
      <c r="R1172" s="99">
        <f t="shared" si="193"/>
        <v>0</v>
      </c>
      <c r="S1172" s="99">
        <f t="shared" si="194"/>
        <v>148769</v>
      </c>
    </row>
    <row r="1173" spans="2:19" x14ac:dyDescent="0.2">
      <c r="B1173" s="88">
        <f t="shared" si="192"/>
        <v>454</v>
      </c>
      <c r="C1173" s="10"/>
      <c r="D1173" s="10"/>
      <c r="E1173" s="10"/>
      <c r="F1173" s="29" t="s">
        <v>170</v>
      </c>
      <c r="G1173" s="10">
        <v>610</v>
      </c>
      <c r="H1173" s="10" t="s">
        <v>143</v>
      </c>
      <c r="I1173" s="27">
        <f>83900+11766+4900</f>
        <v>100566</v>
      </c>
      <c r="J1173" s="27"/>
      <c r="K1173" s="250">
        <f t="shared" si="190"/>
        <v>100566</v>
      </c>
      <c r="L1173" s="259"/>
      <c r="M1173" s="315"/>
      <c r="N1173" s="27"/>
      <c r="O1173" s="250">
        <f t="shared" si="191"/>
        <v>0</v>
      </c>
      <c r="P1173" s="259"/>
      <c r="Q1173" s="309">
        <f t="shared" si="195"/>
        <v>100566</v>
      </c>
      <c r="R1173" s="91">
        <f t="shared" si="193"/>
        <v>0</v>
      </c>
      <c r="S1173" s="91">
        <f t="shared" si="194"/>
        <v>100566</v>
      </c>
    </row>
    <row r="1174" spans="2:19" x14ac:dyDescent="0.2">
      <c r="B1174" s="88">
        <f t="shared" si="192"/>
        <v>455</v>
      </c>
      <c r="C1174" s="10"/>
      <c r="D1174" s="10"/>
      <c r="E1174" s="10"/>
      <c r="F1174" s="29" t="s">
        <v>170</v>
      </c>
      <c r="G1174" s="10">
        <v>620</v>
      </c>
      <c r="H1174" s="10" t="s">
        <v>136</v>
      </c>
      <c r="I1174" s="27">
        <f>29360+4118+1725</f>
        <v>35203</v>
      </c>
      <c r="J1174" s="27"/>
      <c r="K1174" s="250">
        <f t="shared" si="190"/>
        <v>35203</v>
      </c>
      <c r="L1174" s="259"/>
      <c r="M1174" s="315"/>
      <c r="N1174" s="27"/>
      <c r="O1174" s="250">
        <f t="shared" si="191"/>
        <v>0</v>
      </c>
      <c r="P1174" s="259"/>
      <c r="Q1174" s="309">
        <f t="shared" si="195"/>
        <v>35203</v>
      </c>
      <c r="R1174" s="91">
        <f t="shared" si="193"/>
        <v>0</v>
      </c>
      <c r="S1174" s="91">
        <f t="shared" si="194"/>
        <v>35203</v>
      </c>
    </row>
    <row r="1175" spans="2:19" x14ac:dyDescent="0.2">
      <c r="B1175" s="88">
        <f t="shared" si="192"/>
        <v>456</v>
      </c>
      <c r="C1175" s="10"/>
      <c r="D1175" s="10"/>
      <c r="E1175" s="10"/>
      <c r="F1175" s="29" t="s">
        <v>170</v>
      </c>
      <c r="G1175" s="10">
        <v>630</v>
      </c>
      <c r="H1175" s="10" t="s">
        <v>133</v>
      </c>
      <c r="I1175" s="27">
        <f>SUM(I1176:I1178)</f>
        <v>12000</v>
      </c>
      <c r="J1175" s="27">
        <f>SUM(J1176:J1178)</f>
        <v>0</v>
      </c>
      <c r="K1175" s="250">
        <f t="shared" si="190"/>
        <v>12000</v>
      </c>
      <c r="L1175" s="259"/>
      <c r="M1175" s="315"/>
      <c r="N1175" s="27"/>
      <c r="O1175" s="250">
        <f t="shared" si="191"/>
        <v>0</v>
      </c>
      <c r="P1175" s="259"/>
      <c r="Q1175" s="309">
        <f t="shared" si="195"/>
        <v>12000</v>
      </c>
      <c r="R1175" s="91">
        <f t="shared" si="193"/>
        <v>0</v>
      </c>
      <c r="S1175" s="91">
        <f t="shared" si="194"/>
        <v>12000</v>
      </c>
    </row>
    <row r="1176" spans="2:19" x14ac:dyDescent="0.2">
      <c r="B1176" s="88">
        <f t="shared" si="192"/>
        <v>457</v>
      </c>
      <c r="C1176" s="4"/>
      <c r="D1176" s="4"/>
      <c r="E1176" s="4"/>
      <c r="F1176" s="30" t="s">
        <v>170</v>
      </c>
      <c r="G1176" s="4">
        <v>632</v>
      </c>
      <c r="H1176" s="4" t="s">
        <v>146</v>
      </c>
      <c r="I1176" s="23">
        <v>2300</v>
      </c>
      <c r="J1176" s="23"/>
      <c r="K1176" s="220">
        <f t="shared" si="190"/>
        <v>2300</v>
      </c>
      <c r="L1176" s="259"/>
      <c r="M1176" s="227"/>
      <c r="N1176" s="23"/>
      <c r="O1176" s="220">
        <f t="shared" si="191"/>
        <v>0</v>
      </c>
      <c r="P1176" s="259"/>
      <c r="Q1176" s="308">
        <f t="shared" si="195"/>
        <v>2300</v>
      </c>
      <c r="R1176" s="92">
        <f t="shared" si="193"/>
        <v>0</v>
      </c>
      <c r="S1176" s="92">
        <f t="shared" si="194"/>
        <v>2300</v>
      </c>
    </row>
    <row r="1177" spans="2:19" x14ac:dyDescent="0.2">
      <c r="B1177" s="88">
        <f t="shared" si="192"/>
        <v>458</v>
      </c>
      <c r="C1177" s="4"/>
      <c r="D1177" s="4"/>
      <c r="E1177" s="4"/>
      <c r="F1177" s="30" t="s">
        <v>170</v>
      </c>
      <c r="G1177" s="4">
        <v>633</v>
      </c>
      <c r="H1177" s="4" t="s">
        <v>137</v>
      </c>
      <c r="I1177" s="23">
        <v>6300</v>
      </c>
      <c r="J1177" s="23"/>
      <c r="K1177" s="220">
        <f t="shared" si="190"/>
        <v>6300</v>
      </c>
      <c r="L1177" s="259"/>
      <c r="M1177" s="227"/>
      <c r="N1177" s="23"/>
      <c r="O1177" s="220">
        <f t="shared" si="191"/>
        <v>0</v>
      </c>
      <c r="P1177" s="259"/>
      <c r="Q1177" s="308">
        <f t="shared" si="195"/>
        <v>6300</v>
      </c>
      <c r="R1177" s="92">
        <f t="shared" si="193"/>
        <v>0</v>
      </c>
      <c r="S1177" s="92">
        <f t="shared" si="194"/>
        <v>6300</v>
      </c>
    </row>
    <row r="1178" spans="2:19" x14ac:dyDescent="0.2">
      <c r="B1178" s="88">
        <f t="shared" si="192"/>
        <v>459</v>
      </c>
      <c r="C1178" s="4"/>
      <c r="D1178" s="4"/>
      <c r="E1178" s="4"/>
      <c r="F1178" s="30" t="s">
        <v>170</v>
      </c>
      <c r="G1178" s="4">
        <v>637</v>
      </c>
      <c r="H1178" s="4" t="s">
        <v>134</v>
      </c>
      <c r="I1178" s="23">
        <v>3400</v>
      </c>
      <c r="J1178" s="23"/>
      <c r="K1178" s="220">
        <f t="shared" si="190"/>
        <v>3400</v>
      </c>
      <c r="L1178" s="259"/>
      <c r="M1178" s="227"/>
      <c r="N1178" s="23"/>
      <c r="O1178" s="220">
        <f t="shared" si="191"/>
        <v>0</v>
      </c>
      <c r="P1178" s="259"/>
      <c r="Q1178" s="308">
        <f t="shared" si="195"/>
        <v>3400</v>
      </c>
      <c r="R1178" s="92">
        <f t="shared" si="193"/>
        <v>0</v>
      </c>
      <c r="S1178" s="92">
        <f t="shared" si="194"/>
        <v>3400</v>
      </c>
    </row>
    <row r="1179" spans="2:19" x14ac:dyDescent="0.2">
      <c r="B1179" s="88">
        <f t="shared" si="192"/>
        <v>460</v>
      </c>
      <c r="C1179" s="10"/>
      <c r="D1179" s="10"/>
      <c r="E1179" s="10"/>
      <c r="F1179" s="29" t="s">
        <v>170</v>
      </c>
      <c r="G1179" s="10">
        <v>640</v>
      </c>
      <c r="H1179" s="10" t="s">
        <v>141</v>
      </c>
      <c r="I1179" s="27">
        <v>1000</v>
      </c>
      <c r="J1179" s="27"/>
      <c r="K1179" s="250">
        <f t="shared" si="190"/>
        <v>1000</v>
      </c>
      <c r="L1179" s="259"/>
      <c r="M1179" s="315"/>
      <c r="N1179" s="27"/>
      <c r="O1179" s="250">
        <f t="shared" si="191"/>
        <v>0</v>
      </c>
      <c r="P1179" s="259"/>
      <c r="Q1179" s="309">
        <f t="shared" si="195"/>
        <v>1000</v>
      </c>
      <c r="R1179" s="91">
        <f t="shared" si="193"/>
        <v>0</v>
      </c>
      <c r="S1179" s="91">
        <f t="shared" si="194"/>
        <v>1000</v>
      </c>
    </row>
    <row r="1180" spans="2:19" ht="15" x14ac:dyDescent="0.25">
      <c r="B1180" s="88">
        <f t="shared" si="192"/>
        <v>461</v>
      </c>
      <c r="C1180" s="13"/>
      <c r="D1180" s="13"/>
      <c r="E1180" s="13">
        <v>12</v>
      </c>
      <c r="F1180" s="32"/>
      <c r="G1180" s="13"/>
      <c r="H1180" s="13" t="s">
        <v>9</v>
      </c>
      <c r="I1180" s="42">
        <f>I1181+I1182+I1183+I1187</f>
        <v>138250</v>
      </c>
      <c r="J1180" s="42">
        <f>J1181+J1182+J1183+J1187</f>
        <v>0</v>
      </c>
      <c r="K1180" s="255">
        <f t="shared" si="190"/>
        <v>138250</v>
      </c>
      <c r="L1180" s="259"/>
      <c r="M1180" s="317">
        <v>0</v>
      </c>
      <c r="N1180" s="42">
        <v>0</v>
      </c>
      <c r="O1180" s="255">
        <f t="shared" si="191"/>
        <v>0</v>
      </c>
      <c r="P1180" s="259"/>
      <c r="Q1180" s="312">
        <f t="shared" si="195"/>
        <v>138250</v>
      </c>
      <c r="R1180" s="99">
        <f t="shared" si="193"/>
        <v>0</v>
      </c>
      <c r="S1180" s="99">
        <f t="shared" si="194"/>
        <v>138250</v>
      </c>
    </row>
    <row r="1181" spans="2:19" x14ac:dyDescent="0.2">
      <c r="B1181" s="88">
        <f t="shared" si="192"/>
        <v>462</v>
      </c>
      <c r="C1181" s="10"/>
      <c r="D1181" s="10"/>
      <c r="E1181" s="10"/>
      <c r="F1181" s="29" t="s">
        <v>170</v>
      </c>
      <c r="G1181" s="10">
        <v>610</v>
      </c>
      <c r="H1181" s="10" t="s">
        <v>143</v>
      </c>
      <c r="I1181" s="27">
        <v>92700</v>
      </c>
      <c r="J1181" s="27"/>
      <c r="K1181" s="250">
        <f t="shared" si="190"/>
        <v>92700</v>
      </c>
      <c r="L1181" s="259"/>
      <c r="M1181" s="315"/>
      <c r="N1181" s="27"/>
      <c r="O1181" s="250">
        <f t="shared" si="191"/>
        <v>0</v>
      </c>
      <c r="P1181" s="259"/>
      <c r="Q1181" s="309">
        <f t="shared" si="195"/>
        <v>92700</v>
      </c>
      <c r="R1181" s="91">
        <f t="shared" si="193"/>
        <v>0</v>
      </c>
      <c r="S1181" s="91">
        <f t="shared" si="194"/>
        <v>92700</v>
      </c>
    </row>
    <row r="1182" spans="2:19" x14ac:dyDescent="0.2">
      <c r="B1182" s="88">
        <f t="shared" si="192"/>
        <v>463</v>
      </c>
      <c r="C1182" s="10"/>
      <c r="D1182" s="10"/>
      <c r="E1182" s="10"/>
      <c r="F1182" s="29" t="s">
        <v>170</v>
      </c>
      <c r="G1182" s="10">
        <v>620</v>
      </c>
      <c r="H1182" s="10" t="s">
        <v>136</v>
      </c>
      <c r="I1182" s="27">
        <v>33450</v>
      </c>
      <c r="J1182" s="27"/>
      <c r="K1182" s="250">
        <f t="shared" si="190"/>
        <v>33450</v>
      </c>
      <c r="L1182" s="259"/>
      <c r="M1182" s="315"/>
      <c r="N1182" s="27"/>
      <c r="O1182" s="250">
        <f t="shared" si="191"/>
        <v>0</v>
      </c>
      <c r="P1182" s="259"/>
      <c r="Q1182" s="309">
        <f t="shared" si="195"/>
        <v>33450</v>
      </c>
      <c r="R1182" s="91">
        <f t="shared" si="193"/>
        <v>0</v>
      </c>
      <c r="S1182" s="91">
        <f t="shared" si="194"/>
        <v>33450</v>
      </c>
    </row>
    <row r="1183" spans="2:19" x14ac:dyDescent="0.2">
      <c r="B1183" s="88">
        <f t="shared" si="192"/>
        <v>464</v>
      </c>
      <c r="C1183" s="10"/>
      <c r="D1183" s="10"/>
      <c r="E1183" s="10"/>
      <c r="F1183" s="29" t="s">
        <v>170</v>
      </c>
      <c r="G1183" s="10">
        <v>630</v>
      </c>
      <c r="H1183" s="10" t="s">
        <v>133</v>
      </c>
      <c r="I1183" s="27">
        <f>SUM(I1184:I1186)</f>
        <v>9300</v>
      </c>
      <c r="J1183" s="27">
        <f>SUM(J1184:J1186)</f>
        <v>0</v>
      </c>
      <c r="K1183" s="250">
        <f t="shared" si="190"/>
        <v>9300</v>
      </c>
      <c r="L1183" s="259"/>
      <c r="M1183" s="315"/>
      <c r="N1183" s="27"/>
      <c r="O1183" s="250">
        <f t="shared" si="191"/>
        <v>0</v>
      </c>
      <c r="P1183" s="259"/>
      <c r="Q1183" s="309">
        <f t="shared" si="195"/>
        <v>9300</v>
      </c>
      <c r="R1183" s="91">
        <f t="shared" si="193"/>
        <v>0</v>
      </c>
      <c r="S1183" s="91">
        <f t="shared" si="194"/>
        <v>9300</v>
      </c>
    </row>
    <row r="1184" spans="2:19" x14ac:dyDescent="0.2">
      <c r="B1184" s="88">
        <f t="shared" si="192"/>
        <v>465</v>
      </c>
      <c r="C1184" s="4"/>
      <c r="D1184" s="4"/>
      <c r="E1184" s="4"/>
      <c r="F1184" s="30" t="s">
        <v>170</v>
      </c>
      <c r="G1184" s="4">
        <v>632</v>
      </c>
      <c r="H1184" s="4" t="s">
        <v>146</v>
      </c>
      <c r="I1184" s="23">
        <v>400</v>
      </c>
      <c r="J1184" s="23"/>
      <c r="K1184" s="220">
        <f t="shared" ref="K1184:K1247" si="196">I1184+J1184</f>
        <v>400</v>
      </c>
      <c r="L1184" s="259"/>
      <c r="M1184" s="227"/>
      <c r="N1184" s="23"/>
      <c r="O1184" s="220">
        <f t="shared" ref="O1184:O1247" si="197">M1184+N1184</f>
        <v>0</v>
      </c>
      <c r="P1184" s="259"/>
      <c r="Q1184" s="308">
        <f t="shared" si="195"/>
        <v>400</v>
      </c>
      <c r="R1184" s="92">
        <f t="shared" si="193"/>
        <v>0</v>
      </c>
      <c r="S1184" s="92">
        <f t="shared" si="194"/>
        <v>400</v>
      </c>
    </row>
    <row r="1185" spans="2:19" x14ac:dyDescent="0.2">
      <c r="B1185" s="88">
        <f t="shared" ref="B1185:B1248" si="198">B1184+1</f>
        <v>466</v>
      </c>
      <c r="C1185" s="4"/>
      <c r="D1185" s="4"/>
      <c r="E1185" s="4"/>
      <c r="F1185" s="30" t="s">
        <v>170</v>
      </c>
      <c r="G1185" s="4">
        <v>633</v>
      </c>
      <c r="H1185" s="4" t="s">
        <v>137</v>
      </c>
      <c r="I1185" s="23">
        <v>8000</v>
      </c>
      <c r="J1185" s="23"/>
      <c r="K1185" s="220">
        <f t="shared" si="196"/>
        <v>8000</v>
      </c>
      <c r="L1185" s="259"/>
      <c r="M1185" s="227"/>
      <c r="N1185" s="23"/>
      <c r="O1185" s="220">
        <f t="shared" si="197"/>
        <v>0</v>
      </c>
      <c r="P1185" s="259"/>
      <c r="Q1185" s="308">
        <f t="shared" si="195"/>
        <v>8000</v>
      </c>
      <c r="R1185" s="92">
        <f t="shared" si="193"/>
        <v>0</v>
      </c>
      <c r="S1185" s="92">
        <f t="shared" si="194"/>
        <v>8000</v>
      </c>
    </row>
    <row r="1186" spans="2:19" x14ac:dyDescent="0.2">
      <c r="B1186" s="88">
        <f t="shared" si="198"/>
        <v>467</v>
      </c>
      <c r="C1186" s="4"/>
      <c r="D1186" s="4"/>
      <c r="E1186" s="4"/>
      <c r="F1186" s="30" t="s">
        <v>170</v>
      </c>
      <c r="G1186" s="4">
        <v>637</v>
      </c>
      <c r="H1186" s="4" t="s">
        <v>134</v>
      </c>
      <c r="I1186" s="23">
        <v>900</v>
      </c>
      <c r="J1186" s="23"/>
      <c r="K1186" s="220">
        <f t="shared" si="196"/>
        <v>900</v>
      </c>
      <c r="L1186" s="259"/>
      <c r="M1186" s="227"/>
      <c r="N1186" s="23"/>
      <c r="O1186" s="220">
        <f t="shared" si="197"/>
        <v>0</v>
      </c>
      <c r="P1186" s="259"/>
      <c r="Q1186" s="308">
        <f t="shared" si="195"/>
        <v>900</v>
      </c>
      <c r="R1186" s="92">
        <f t="shared" si="193"/>
        <v>0</v>
      </c>
      <c r="S1186" s="92">
        <f t="shared" si="194"/>
        <v>900</v>
      </c>
    </row>
    <row r="1187" spans="2:19" x14ac:dyDescent="0.2">
      <c r="B1187" s="88">
        <f t="shared" si="198"/>
        <v>468</v>
      </c>
      <c r="C1187" s="10"/>
      <c r="D1187" s="10"/>
      <c r="E1187" s="10"/>
      <c r="F1187" s="29" t="s">
        <v>170</v>
      </c>
      <c r="G1187" s="10">
        <v>640</v>
      </c>
      <c r="H1187" s="10" t="s">
        <v>141</v>
      </c>
      <c r="I1187" s="27">
        <v>2800</v>
      </c>
      <c r="J1187" s="27"/>
      <c r="K1187" s="250">
        <f t="shared" si="196"/>
        <v>2800</v>
      </c>
      <c r="L1187" s="259"/>
      <c r="M1187" s="315"/>
      <c r="N1187" s="27"/>
      <c r="O1187" s="250">
        <f t="shared" si="197"/>
        <v>0</v>
      </c>
      <c r="P1187" s="259"/>
      <c r="Q1187" s="309">
        <f t="shared" si="195"/>
        <v>2800</v>
      </c>
      <c r="R1187" s="91">
        <f t="shared" si="193"/>
        <v>0</v>
      </c>
      <c r="S1187" s="91">
        <f t="shared" si="194"/>
        <v>2800</v>
      </c>
    </row>
    <row r="1188" spans="2:19" ht="15" x14ac:dyDescent="0.25">
      <c r="B1188" s="88">
        <f t="shared" si="198"/>
        <v>469</v>
      </c>
      <c r="C1188" s="13"/>
      <c r="D1188" s="13"/>
      <c r="E1188" s="13">
        <v>13</v>
      </c>
      <c r="F1188" s="32"/>
      <c r="G1188" s="13"/>
      <c r="H1188" s="13" t="s">
        <v>19</v>
      </c>
      <c r="I1188" s="42">
        <f>I1189+I1190+I1191+I1195</f>
        <v>44438</v>
      </c>
      <c r="J1188" s="42">
        <f>J1189+J1190+J1191+J1195</f>
        <v>0</v>
      </c>
      <c r="K1188" s="255">
        <f t="shared" si="196"/>
        <v>44438</v>
      </c>
      <c r="L1188" s="259"/>
      <c r="M1188" s="317">
        <v>0</v>
      </c>
      <c r="N1188" s="42">
        <v>0</v>
      </c>
      <c r="O1188" s="255">
        <f t="shared" si="197"/>
        <v>0</v>
      </c>
      <c r="P1188" s="259"/>
      <c r="Q1188" s="312">
        <f t="shared" si="195"/>
        <v>44438</v>
      </c>
      <c r="R1188" s="99">
        <f t="shared" si="193"/>
        <v>0</v>
      </c>
      <c r="S1188" s="99">
        <f t="shared" si="194"/>
        <v>44438</v>
      </c>
    </row>
    <row r="1189" spans="2:19" x14ac:dyDescent="0.2">
      <c r="B1189" s="88">
        <f t="shared" si="198"/>
        <v>470</v>
      </c>
      <c r="C1189" s="10"/>
      <c r="D1189" s="10"/>
      <c r="E1189" s="10"/>
      <c r="F1189" s="29" t="s">
        <v>170</v>
      </c>
      <c r="G1189" s="10">
        <v>610</v>
      </c>
      <c r="H1189" s="10" t="s">
        <v>143</v>
      </c>
      <c r="I1189" s="27">
        <v>28500</v>
      </c>
      <c r="J1189" s="27"/>
      <c r="K1189" s="250">
        <f t="shared" si="196"/>
        <v>28500</v>
      </c>
      <c r="L1189" s="259"/>
      <c r="M1189" s="315"/>
      <c r="N1189" s="27"/>
      <c r="O1189" s="250">
        <f t="shared" si="197"/>
        <v>0</v>
      </c>
      <c r="P1189" s="259"/>
      <c r="Q1189" s="309">
        <f t="shared" si="195"/>
        <v>28500</v>
      </c>
      <c r="R1189" s="91">
        <f t="shared" si="193"/>
        <v>0</v>
      </c>
      <c r="S1189" s="91">
        <f t="shared" si="194"/>
        <v>28500</v>
      </c>
    </row>
    <row r="1190" spans="2:19" x14ac:dyDescent="0.2">
      <c r="B1190" s="88">
        <f t="shared" si="198"/>
        <v>471</v>
      </c>
      <c r="C1190" s="10"/>
      <c r="D1190" s="10"/>
      <c r="E1190" s="10"/>
      <c r="F1190" s="29" t="s">
        <v>170</v>
      </c>
      <c r="G1190" s="10">
        <v>620</v>
      </c>
      <c r="H1190" s="10" t="s">
        <v>136</v>
      </c>
      <c r="I1190" s="27">
        <v>9960</v>
      </c>
      <c r="J1190" s="27"/>
      <c r="K1190" s="250">
        <f t="shared" si="196"/>
        <v>9960</v>
      </c>
      <c r="L1190" s="259"/>
      <c r="M1190" s="315"/>
      <c r="N1190" s="27"/>
      <c r="O1190" s="250">
        <f t="shared" si="197"/>
        <v>0</v>
      </c>
      <c r="P1190" s="259"/>
      <c r="Q1190" s="309">
        <f t="shared" si="195"/>
        <v>9960</v>
      </c>
      <c r="R1190" s="91">
        <f t="shared" si="193"/>
        <v>0</v>
      </c>
      <c r="S1190" s="91">
        <f t="shared" si="194"/>
        <v>9960</v>
      </c>
    </row>
    <row r="1191" spans="2:19" x14ac:dyDescent="0.2">
      <c r="B1191" s="88">
        <f t="shared" si="198"/>
        <v>472</v>
      </c>
      <c r="C1191" s="10"/>
      <c r="D1191" s="10"/>
      <c r="E1191" s="10"/>
      <c r="F1191" s="29" t="s">
        <v>170</v>
      </c>
      <c r="G1191" s="10">
        <v>630</v>
      </c>
      <c r="H1191" s="10" t="s">
        <v>133</v>
      </c>
      <c r="I1191" s="27">
        <f>SUM(I1192:I1194)</f>
        <v>5958</v>
      </c>
      <c r="J1191" s="27">
        <f>SUM(J1192:J1194)</f>
        <v>0</v>
      </c>
      <c r="K1191" s="250">
        <f t="shared" si="196"/>
        <v>5958</v>
      </c>
      <c r="L1191" s="259"/>
      <c r="M1191" s="315"/>
      <c r="N1191" s="27"/>
      <c r="O1191" s="250">
        <f t="shared" si="197"/>
        <v>0</v>
      </c>
      <c r="P1191" s="259"/>
      <c r="Q1191" s="309">
        <f t="shared" si="195"/>
        <v>5958</v>
      </c>
      <c r="R1191" s="91">
        <f t="shared" si="193"/>
        <v>0</v>
      </c>
      <c r="S1191" s="91">
        <f t="shared" si="194"/>
        <v>5958</v>
      </c>
    </row>
    <row r="1192" spans="2:19" x14ac:dyDescent="0.2">
      <c r="B1192" s="88">
        <f t="shared" si="198"/>
        <v>473</v>
      </c>
      <c r="C1192" s="4"/>
      <c r="D1192" s="4"/>
      <c r="E1192" s="4"/>
      <c r="F1192" s="30" t="s">
        <v>170</v>
      </c>
      <c r="G1192" s="4">
        <v>632</v>
      </c>
      <c r="H1192" s="4" t="s">
        <v>146</v>
      </c>
      <c r="I1192" s="23">
        <v>5000</v>
      </c>
      <c r="J1192" s="23"/>
      <c r="K1192" s="220">
        <f t="shared" si="196"/>
        <v>5000</v>
      </c>
      <c r="L1192" s="259"/>
      <c r="M1192" s="227"/>
      <c r="N1192" s="23"/>
      <c r="O1192" s="220">
        <f t="shared" si="197"/>
        <v>0</v>
      </c>
      <c r="P1192" s="259"/>
      <c r="Q1192" s="308">
        <f t="shared" si="195"/>
        <v>5000</v>
      </c>
      <c r="R1192" s="92">
        <f t="shared" si="193"/>
        <v>0</v>
      </c>
      <c r="S1192" s="92">
        <f t="shared" si="194"/>
        <v>5000</v>
      </c>
    </row>
    <row r="1193" spans="2:19" x14ac:dyDescent="0.2">
      <c r="B1193" s="88">
        <f t="shared" si="198"/>
        <v>474</v>
      </c>
      <c r="C1193" s="4"/>
      <c r="D1193" s="4"/>
      <c r="E1193" s="4"/>
      <c r="F1193" s="30" t="s">
        <v>170</v>
      </c>
      <c r="G1193" s="4">
        <v>633</v>
      </c>
      <c r="H1193" s="4" t="s">
        <v>137</v>
      </c>
      <c r="I1193" s="23">
        <v>265</v>
      </c>
      <c r="J1193" s="23"/>
      <c r="K1193" s="220">
        <f t="shared" si="196"/>
        <v>265</v>
      </c>
      <c r="L1193" s="259"/>
      <c r="M1193" s="227"/>
      <c r="N1193" s="23"/>
      <c r="O1193" s="220">
        <f t="shared" si="197"/>
        <v>0</v>
      </c>
      <c r="P1193" s="259"/>
      <c r="Q1193" s="308">
        <f t="shared" si="195"/>
        <v>265</v>
      </c>
      <c r="R1193" s="92">
        <f t="shared" si="193"/>
        <v>0</v>
      </c>
      <c r="S1193" s="92">
        <f t="shared" si="194"/>
        <v>265</v>
      </c>
    </row>
    <row r="1194" spans="2:19" x14ac:dyDescent="0.2">
      <c r="B1194" s="88">
        <f t="shared" si="198"/>
        <v>475</v>
      </c>
      <c r="C1194" s="4"/>
      <c r="D1194" s="4"/>
      <c r="E1194" s="4"/>
      <c r="F1194" s="30" t="s">
        <v>170</v>
      </c>
      <c r="G1194" s="4">
        <v>637</v>
      </c>
      <c r="H1194" s="4" t="s">
        <v>134</v>
      </c>
      <c r="I1194" s="23">
        <v>693</v>
      </c>
      <c r="J1194" s="23"/>
      <c r="K1194" s="220">
        <f t="shared" si="196"/>
        <v>693</v>
      </c>
      <c r="L1194" s="259"/>
      <c r="M1194" s="227"/>
      <c r="N1194" s="23"/>
      <c r="O1194" s="220">
        <f t="shared" si="197"/>
        <v>0</v>
      </c>
      <c r="P1194" s="259"/>
      <c r="Q1194" s="308">
        <f t="shared" si="195"/>
        <v>693</v>
      </c>
      <c r="R1194" s="92">
        <f t="shared" si="193"/>
        <v>0</v>
      </c>
      <c r="S1194" s="92">
        <f t="shared" si="194"/>
        <v>693</v>
      </c>
    </row>
    <row r="1195" spans="2:19" x14ac:dyDescent="0.2">
      <c r="B1195" s="88">
        <f t="shared" si="198"/>
        <v>476</v>
      </c>
      <c r="C1195" s="10"/>
      <c r="D1195" s="10"/>
      <c r="E1195" s="10"/>
      <c r="F1195" s="29" t="s">
        <v>170</v>
      </c>
      <c r="G1195" s="10">
        <v>640</v>
      </c>
      <c r="H1195" s="10" t="s">
        <v>141</v>
      </c>
      <c r="I1195" s="27">
        <v>20</v>
      </c>
      <c r="J1195" s="27"/>
      <c r="K1195" s="250">
        <f t="shared" si="196"/>
        <v>20</v>
      </c>
      <c r="L1195" s="259"/>
      <c r="M1195" s="315"/>
      <c r="N1195" s="27"/>
      <c r="O1195" s="250">
        <f t="shared" si="197"/>
        <v>0</v>
      </c>
      <c r="P1195" s="259"/>
      <c r="Q1195" s="309">
        <f t="shared" si="195"/>
        <v>20</v>
      </c>
      <c r="R1195" s="91">
        <f t="shared" si="193"/>
        <v>0</v>
      </c>
      <c r="S1195" s="91">
        <f t="shared" si="194"/>
        <v>20</v>
      </c>
    </row>
    <row r="1196" spans="2:19" ht="15" x14ac:dyDescent="0.25">
      <c r="B1196" s="88">
        <f t="shared" si="198"/>
        <v>477</v>
      </c>
      <c r="C1196" s="13"/>
      <c r="D1196" s="13"/>
      <c r="E1196" s="13">
        <v>14</v>
      </c>
      <c r="F1196" s="32"/>
      <c r="G1196" s="13"/>
      <c r="H1196" s="13" t="s">
        <v>405</v>
      </c>
      <c r="I1196" s="42">
        <f>I1197+I1198+I1199+I1206</f>
        <v>1032340</v>
      </c>
      <c r="J1196" s="42">
        <f>J1197+J1198+J1199+J1206</f>
        <v>0</v>
      </c>
      <c r="K1196" s="255">
        <f t="shared" si="196"/>
        <v>1032340</v>
      </c>
      <c r="L1196" s="259"/>
      <c r="M1196" s="317">
        <v>0</v>
      </c>
      <c r="N1196" s="42">
        <v>0</v>
      </c>
      <c r="O1196" s="255">
        <f t="shared" si="197"/>
        <v>0</v>
      </c>
      <c r="P1196" s="259"/>
      <c r="Q1196" s="312">
        <f t="shared" si="195"/>
        <v>1032340</v>
      </c>
      <c r="R1196" s="99">
        <f t="shared" si="193"/>
        <v>0</v>
      </c>
      <c r="S1196" s="99">
        <f t="shared" si="194"/>
        <v>1032340</v>
      </c>
    </row>
    <row r="1197" spans="2:19" x14ac:dyDescent="0.2">
      <c r="B1197" s="88">
        <f t="shared" si="198"/>
        <v>478</v>
      </c>
      <c r="C1197" s="10"/>
      <c r="D1197" s="10"/>
      <c r="E1197" s="10"/>
      <c r="F1197" s="29" t="s">
        <v>170</v>
      </c>
      <c r="G1197" s="10">
        <v>610</v>
      </c>
      <c r="H1197" s="10" t="s">
        <v>143</v>
      </c>
      <c r="I1197" s="27">
        <f>627156+47000+50</f>
        <v>674206</v>
      </c>
      <c r="J1197" s="27"/>
      <c r="K1197" s="250">
        <f t="shared" si="196"/>
        <v>674206</v>
      </c>
      <c r="L1197" s="259"/>
      <c r="M1197" s="315"/>
      <c r="N1197" s="27"/>
      <c r="O1197" s="250">
        <f t="shared" si="197"/>
        <v>0</v>
      </c>
      <c r="P1197" s="259"/>
      <c r="Q1197" s="309">
        <f t="shared" si="195"/>
        <v>674206</v>
      </c>
      <c r="R1197" s="91">
        <f t="shared" si="193"/>
        <v>0</v>
      </c>
      <c r="S1197" s="91">
        <f t="shared" si="194"/>
        <v>674206</v>
      </c>
    </row>
    <row r="1198" spans="2:19" x14ac:dyDescent="0.2">
      <c r="B1198" s="88">
        <f t="shared" si="198"/>
        <v>479</v>
      </c>
      <c r="C1198" s="10"/>
      <c r="D1198" s="10"/>
      <c r="E1198" s="10"/>
      <c r="F1198" s="29" t="s">
        <v>170</v>
      </c>
      <c r="G1198" s="10">
        <v>620</v>
      </c>
      <c r="H1198" s="10" t="s">
        <v>136</v>
      </c>
      <c r="I1198" s="27">
        <f>219024+16000+10</f>
        <v>235034</v>
      </c>
      <c r="J1198" s="27"/>
      <c r="K1198" s="250">
        <f t="shared" si="196"/>
        <v>235034</v>
      </c>
      <c r="L1198" s="259"/>
      <c r="M1198" s="315"/>
      <c r="N1198" s="27"/>
      <c r="O1198" s="250">
        <f t="shared" si="197"/>
        <v>0</v>
      </c>
      <c r="P1198" s="259"/>
      <c r="Q1198" s="309">
        <f t="shared" si="195"/>
        <v>235034</v>
      </c>
      <c r="R1198" s="91">
        <f t="shared" ref="R1198:R1263" si="199">J1198+N1198</f>
        <v>0</v>
      </c>
      <c r="S1198" s="91">
        <f t="shared" ref="S1198:S1263" si="200">K1198+O1198</f>
        <v>235034</v>
      </c>
    </row>
    <row r="1199" spans="2:19" x14ac:dyDescent="0.2">
      <c r="B1199" s="88">
        <f t="shared" si="198"/>
        <v>480</v>
      </c>
      <c r="C1199" s="10"/>
      <c r="D1199" s="10"/>
      <c r="E1199" s="10"/>
      <c r="F1199" s="29" t="s">
        <v>170</v>
      </c>
      <c r="G1199" s="10">
        <v>630</v>
      </c>
      <c r="H1199" s="10" t="s">
        <v>133</v>
      </c>
      <c r="I1199" s="27">
        <f>SUM(I1200:I1205)</f>
        <v>117600</v>
      </c>
      <c r="J1199" s="27">
        <f>SUM(J1200:J1205)</f>
        <v>0</v>
      </c>
      <c r="K1199" s="250">
        <f t="shared" si="196"/>
        <v>117600</v>
      </c>
      <c r="L1199" s="259"/>
      <c r="M1199" s="315"/>
      <c r="N1199" s="27"/>
      <c r="O1199" s="250">
        <f t="shared" si="197"/>
        <v>0</v>
      </c>
      <c r="P1199" s="259"/>
      <c r="Q1199" s="309">
        <f t="shared" si="195"/>
        <v>117600</v>
      </c>
      <c r="R1199" s="91">
        <f t="shared" si="199"/>
        <v>0</v>
      </c>
      <c r="S1199" s="91">
        <f t="shared" si="200"/>
        <v>117600</v>
      </c>
    </row>
    <row r="1200" spans="2:19" x14ac:dyDescent="0.2">
      <c r="B1200" s="88">
        <f t="shared" si="198"/>
        <v>481</v>
      </c>
      <c r="C1200" s="4"/>
      <c r="D1200" s="4"/>
      <c r="E1200" s="4"/>
      <c r="F1200" s="30" t="s">
        <v>170</v>
      </c>
      <c r="G1200" s="4">
        <v>631</v>
      </c>
      <c r="H1200" s="4" t="s">
        <v>139</v>
      </c>
      <c r="I1200" s="23">
        <v>400</v>
      </c>
      <c r="J1200" s="23"/>
      <c r="K1200" s="220">
        <f t="shared" si="196"/>
        <v>400</v>
      </c>
      <c r="L1200" s="259"/>
      <c r="M1200" s="227"/>
      <c r="N1200" s="23"/>
      <c r="O1200" s="220">
        <f t="shared" si="197"/>
        <v>0</v>
      </c>
      <c r="P1200" s="259"/>
      <c r="Q1200" s="308">
        <f t="shared" si="195"/>
        <v>400</v>
      </c>
      <c r="R1200" s="92">
        <f t="shared" si="199"/>
        <v>0</v>
      </c>
      <c r="S1200" s="92">
        <f t="shared" si="200"/>
        <v>400</v>
      </c>
    </row>
    <row r="1201" spans="2:19" x14ac:dyDescent="0.2">
      <c r="B1201" s="88">
        <f t="shared" si="198"/>
        <v>482</v>
      </c>
      <c r="C1201" s="4"/>
      <c r="D1201" s="4"/>
      <c r="E1201" s="4"/>
      <c r="F1201" s="30" t="s">
        <v>170</v>
      </c>
      <c r="G1201" s="4">
        <v>632</v>
      </c>
      <c r="H1201" s="4" t="s">
        <v>146</v>
      </c>
      <c r="I1201" s="23">
        <v>29400</v>
      </c>
      <c r="J1201" s="23">
        <v>-4000</v>
      </c>
      <c r="K1201" s="220">
        <f t="shared" si="196"/>
        <v>25400</v>
      </c>
      <c r="L1201" s="259"/>
      <c r="M1201" s="227"/>
      <c r="N1201" s="23"/>
      <c r="O1201" s="220">
        <f t="shared" si="197"/>
        <v>0</v>
      </c>
      <c r="P1201" s="259"/>
      <c r="Q1201" s="308">
        <f t="shared" si="195"/>
        <v>29400</v>
      </c>
      <c r="R1201" s="92">
        <f t="shared" si="199"/>
        <v>-4000</v>
      </c>
      <c r="S1201" s="92">
        <f t="shared" si="200"/>
        <v>25400</v>
      </c>
    </row>
    <row r="1202" spans="2:19" x14ac:dyDescent="0.2">
      <c r="B1202" s="88">
        <f t="shared" si="198"/>
        <v>483</v>
      </c>
      <c r="C1202" s="4"/>
      <c r="D1202" s="4"/>
      <c r="E1202" s="4"/>
      <c r="F1202" s="30" t="s">
        <v>170</v>
      </c>
      <c r="G1202" s="4">
        <v>633</v>
      </c>
      <c r="H1202" s="4" t="s">
        <v>137</v>
      </c>
      <c r="I1202" s="23">
        <v>32930</v>
      </c>
      <c r="J1202" s="23">
        <v>-3300</v>
      </c>
      <c r="K1202" s="220">
        <f t="shared" si="196"/>
        <v>29630</v>
      </c>
      <c r="L1202" s="259"/>
      <c r="M1202" s="227"/>
      <c r="N1202" s="23"/>
      <c r="O1202" s="220">
        <f t="shared" si="197"/>
        <v>0</v>
      </c>
      <c r="P1202" s="259"/>
      <c r="Q1202" s="308">
        <f t="shared" si="195"/>
        <v>32930</v>
      </c>
      <c r="R1202" s="92">
        <f t="shared" si="199"/>
        <v>-3300</v>
      </c>
      <c r="S1202" s="92">
        <f t="shared" si="200"/>
        <v>29630</v>
      </c>
    </row>
    <row r="1203" spans="2:19" x14ac:dyDescent="0.2">
      <c r="B1203" s="88">
        <f t="shared" si="198"/>
        <v>484</v>
      </c>
      <c r="C1203" s="4"/>
      <c r="D1203" s="4"/>
      <c r="E1203" s="4"/>
      <c r="F1203" s="30" t="s">
        <v>170</v>
      </c>
      <c r="G1203" s="4">
        <v>635</v>
      </c>
      <c r="H1203" s="4" t="s">
        <v>145</v>
      </c>
      <c r="I1203" s="23">
        <v>5700</v>
      </c>
      <c r="J1203" s="23">
        <v>11300</v>
      </c>
      <c r="K1203" s="220">
        <f t="shared" si="196"/>
        <v>17000</v>
      </c>
      <c r="L1203" s="259"/>
      <c r="M1203" s="227"/>
      <c r="N1203" s="23"/>
      <c r="O1203" s="220">
        <f t="shared" si="197"/>
        <v>0</v>
      </c>
      <c r="P1203" s="259"/>
      <c r="Q1203" s="308">
        <f t="shared" si="195"/>
        <v>5700</v>
      </c>
      <c r="R1203" s="92">
        <f t="shared" si="199"/>
        <v>11300</v>
      </c>
      <c r="S1203" s="92">
        <f t="shared" si="200"/>
        <v>17000</v>
      </c>
    </row>
    <row r="1204" spans="2:19" x14ac:dyDescent="0.2">
      <c r="B1204" s="88">
        <f t="shared" si="198"/>
        <v>485</v>
      </c>
      <c r="C1204" s="4"/>
      <c r="D1204" s="4"/>
      <c r="E1204" s="4"/>
      <c r="F1204" s="30" t="s">
        <v>170</v>
      </c>
      <c r="G1204" s="4">
        <v>636</v>
      </c>
      <c r="H1204" s="4" t="s">
        <v>138</v>
      </c>
      <c r="I1204" s="23">
        <v>500</v>
      </c>
      <c r="J1204" s="23"/>
      <c r="K1204" s="220">
        <f t="shared" si="196"/>
        <v>500</v>
      </c>
      <c r="L1204" s="259"/>
      <c r="M1204" s="227"/>
      <c r="N1204" s="23"/>
      <c r="O1204" s="220">
        <f t="shared" si="197"/>
        <v>0</v>
      </c>
      <c r="P1204" s="259"/>
      <c r="Q1204" s="308">
        <f t="shared" si="195"/>
        <v>500</v>
      </c>
      <c r="R1204" s="92">
        <f t="shared" si="199"/>
        <v>0</v>
      </c>
      <c r="S1204" s="92">
        <f t="shared" si="200"/>
        <v>500</v>
      </c>
    </row>
    <row r="1205" spans="2:19" x14ac:dyDescent="0.2">
      <c r="B1205" s="88">
        <f t="shared" si="198"/>
        <v>486</v>
      </c>
      <c r="C1205" s="4"/>
      <c r="D1205" s="4"/>
      <c r="E1205" s="4"/>
      <c r="F1205" s="30" t="s">
        <v>170</v>
      </c>
      <c r="G1205" s="4">
        <v>637</v>
      </c>
      <c r="H1205" s="4" t="s">
        <v>134</v>
      </c>
      <c r="I1205" s="23">
        <v>48670</v>
      </c>
      <c r="J1205" s="23">
        <v>-4000</v>
      </c>
      <c r="K1205" s="220">
        <f t="shared" si="196"/>
        <v>44670</v>
      </c>
      <c r="L1205" s="259"/>
      <c r="M1205" s="227"/>
      <c r="N1205" s="23"/>
      <c r="O1205" s="220">
        <f t="shared" si="197"/>
        <v>0</v>
      </c>
      <c r="P1205" s="259"/>
      <c r="Q1205" s="308">
        <f t="shared" ref="Q1205:Q1269" si="201">I1205+M1205</f>
        <v>48670</v>
      </c>
      <c r="R1205" s="92">
        <f t="shared" si="199"/>
        <v>-4000</v>
      </c>
      <c r="S1205" s="92">
        <f t="shared" si="200"/>
        <v>44670</v>
      </c>
    </row>
    <row r="1206" spans="2:19" x14ac:dyDescent="0.2">
      <c r="B1206" s="88">
        <f t="shared" si="198"/>
        <v>487</v>
      </c>
      <c r="C1206" s="10"/>
      <c r="D1206" s="10"/>
      <c r="E1206" s="10"/>
      <c r="F1206" s="29" t="s">
        <v>170</v>
      </c>
      <c r="G1206" s="10">
        <v>640</v>
      </c>
      <c r="H1206" s="10" t="s">
        <v>141</v>
      </c>
      <c r="I1206" s="27">
        <v>5500</v>
      </c>
      <c r="J1206" s="27"/>
      <c r="K1206" s="250">
        <f t="shared" si="196"/>
        <v>5500</v>
      </c>
      <c r="L1206" s="259"/>
      <c r="M1206" s="315"/>
      <c r="N1206" s="27"/>
      <c r="O1206" s="250">
        <f t="shared" si="197"/>
        <v>0</v>
      </c>
      <c r="P1206" s="259"/>
      <c r="Q1206" s="309">
        <f t="shared" si="201"/>
        <v>5500</v>
      </c>
      <c r="R1206" s="91">
        <f t="shared" si="199"/>
        <v>0</v>
      </c>
      <c r="S1206" s="91">
        <f t="shared" si="200"/>
        <v>5500</v>
      </c>
    </row>
    <row r="1207" spans="2:19" ht="15" x14ac:dyDescent="0.2">
      <c r="B1207" s="88">
        <f t="shared" si="198"/>
        <v>488</v>
      </c>
      <c r="C1207" s="242">
        <v>4</v>
      </c>
      <c r="D1207" s="511" t="s">
        <v>173</v>
      </c>
      <c r="E1207" s="509"/>
      <c r="F1207" s="509"/>
      <c r="G1207" s="509"/>
      <c r="H1207" s="510"/>
      <c r="I1207" s="40">
        <f>I1208+I1215+I1321+I1338+I1355+I1360+I1378+I1395+I1414+I1435</f>
        <v>2444728</v>
      </c>
      <c r="J1207" s="40">
        <f>J1208+J1215+J1321+J1338+J1355+J1360+J1378+J1395+J1414+J1435</f>
        <v>0</v>
      </c>
      <c r="K1207" s="248">
        <f t="shared" si="196"/>
        <v>2444728</v>
      </c>
      <c r="L1207" s="259"/>
      <c r="M1207" s="318">
        <f>M1360+M1414+M1310</f>
        <v>47796</v>
      </c>
      <c r="N1207" s="40">
        <f t="shared" ref="N1207" si="202">N1360+N1414+N1310</f>
        <v>0</v>
      </c>
      <c r="O1207" s="248">
        <f t="shared" si="197"/>
        <v>47796</v>
      </c>
      <c r="P1207" s="259"/>
      <c r="Q1207" s="313">
        <f t="shared" si="201"/>
        <v>2492524</v>
      </c>
      <c r="R1207" s="89">
        <f t="shared" si="199"/>
        <v>0</v>
      </c>
      <c r="S1207" s="89">
        <f t="shared" si="200"/>
        <v>2492524</v>
      </c>
    </row>
    <row r="1208" spans="2:19" x14ac:dyDescent="0.2">
      <c r="B1208" s="88">
        <f t="shared" si="198"/>
        <v>489</v>
      </c>
      <c r="C1208" s="10"/>
      <c r="D1208" s="10"/>
      <c r="E1208" s="10"/>
      <c r="F1208" s="29" t="s">
        <v>172</v>
      </c>
      <c r="G1208" s="10">
        <v>640</v>
      </c>
      <c r="H1208" s="10" t="s">
        <v>141</v>
      </c>
      <c r="I1208" s="27">
        <f>I1209</f>
        <v>70697</v>
      </c>
      <c r="J1208" s="27">
        <f>J1209</f>
        <v>0</v>
      </c>
      <c r="K1208" s="250">
        <f t="shared" si="196"/>
        <v>70697</v>
      </c>
      <c r="L1208" s="259"/>
      <c r="M1208" s="315"/>
      <c r="N1208" s="27"/>
      <c r="O1208" s="250">
        <f t="shared" si="197"/>
        <v>0</v>
      </c>
      <c r="P1208" s="259"/>
      <c r="Q1208" s="309">
        <f t="shared" si="201"/>
        <v>70697</v>
      </c>
      <c r="R1208" s="91">
        <f t="shared" si="199"/>
        <v>0</v>
      </c>
      <c r="S1208" s="91">
        <f t="shared" si="200"/>
        <v>70697</v>
      </c>
    </row>
    <row r="1209" spans="2:19" x14ac:dyDescent="0.2">
      <c r="B1209" s="88">
        <f t="shared" si="198"/>
        <v>490</v>
      </c>
      <c r="C1209" s="4"/>
      <c r="D1209" s="4"/>
      <c r="E1209" s="4"/>
      <c r="F1209" s="30" t="s">
        <v>172</v>
      </c>
      <c r="G1209" s="4">
        <v>642</v>
      </c>
      <c r="H1209" s="4" t="s">
        <v>142</v>
      </c>
      <c r="I1209" s="23">
        <f>SUM(I1210:I1214)</f>
        <v>70697</v>
      </c>
      <c r="J1209" s="23">
        <f>SUM(J1210:J1214)</f>
        <v>0</v>
      </c>
      <c r="K1209" s="220">
        <f t="shared" si="196"/>
        <v>70697</v>
      </c>
      <c r="L1209" s="259"/>
      <c r="M1209" s="227"/>
      <c r="N1209" s="23"/>
      <c r="O1209" s="220">
        <f t="shared" si="197"/>
        <v>0</v>
      </c>
      <c r="P1209" s="259"/>
      <c r="Q1209" s="308">
        <f t="shared" si="201"/>
        <v>70697</v>
      </c>
      <c r="R1209" s="92">
        <f t="shared" si="199"/>
        <v>0</v>
      </c>
      <c r="S1209" s="92">
        <f t="shared" si="200"/>
        <v>70697</v>
      </c>
    </row>
    <row r="1210" spans="2:19" x14ac:dyDescent="0.2">
      <c r="B1210" s="88">
        <f t="shared" si="198"/>
        <v>491</v>
      </c>
      <c r="C1210" s="5"/>
      <c r="D1210" s="5"/>
      <c r="E1210" s="5"/>
      <c r="F1210" s="31"/>
      <c r="G1210" s="5"/>
      <c r="H1210" s="5" t="s">
        <v>559</v>
      </c>
      <c r="I1210" s="25">
        <f>23602+3636</f>
        <v>27238</v>
      </c>
      <c r="J1210" s="25"/>
      <c r="K1210" s="251">
        <f t="shared" si="196"/>
        <v>27238</v>
      </c>
      <c r="L1210" s="259"/>
      <c r="M1210" s="337"/>
      <c r="N1210" s="25"/>
      <c r="O1210" s="251">
        <f t="shared" si="197"/>
        <v>0</v>
      </c>
      <c r="P1210" s="259"/>
      <c r="Q1210" s="332">
        <f t="shared" si="201"/>
        <v>27238</v>
      </c>
      <c r="R1210" s="93">
        <f t="shared" si="199"/>
        <v>0</v>
      </c>
      <c r="S1210" s="93">
        <f t="shared" si="200"/>
        <v>27238</v>
      </c>
    </row>
    <row r="1211" spans="2:19" x14ac:dyDescent="0.2">
      <c r="B1211" s="88">
        <f t="shared" si="198"/>
        <v>492</v>
      </c>
      <c r="C1211" s="5"/>
      <c r="D1211" s="5"/>
      <c r="E1211" s="5"/>
      <c r="F1211" s="31"/>
      <c r="G1211" s="5"/>
      <c r="H1211" s="5" t="s">
        <v>560</v>
      </c>
      <c r="I1211" s="25">
        <f>19756+3044</f>
        <v>22800</v>
      </c>
      <c r="J1211" s="25"/>
      <c r="K1211" s="251">
        <f t="shared" si="196"/>
        <v>22800</v>
      </c>
      <c r="L1211" s="259"/>
      <c r="M1211" s="337"/>
      <c r="N1211" s="25"/>
      <c r="O1211" s="251">
        <f t="shared" si="197"/>
        <v>0</v>
      </c>
      <c r="P1211" s="259"/>
      <c r="Q1211" s="332">
        <f t="shared" si="201"/>
        <v>22800</v>
      </c>
      <c r="R1211" s="93">
        <f t="shared" si="199"/>
        <v>0</v>
      </c>
      <c r="S1211" s="93">
        <f t="shared" si="200"/>
        <v>22800</v>
      </c>
    </row>
    <row r="1212" spans="2:19" x14ac:dyDescent="0.2">
      <c r="B1212" s="88">
        <f t="shared" si="198"/>
        <v>493</v>
      </c>
      <c r="C1212" s="5"/>
      <c r="D1212" s="5"/>
      <c r="E1212" s="5"/>
      <c r="F1212" s="31"/>
      <c r="G1212" s="5"/>
      <c r="H1212" s="5" t="s">
        <v>561</v>
      </c>
      <c r="I1212" s="25">
        <f>12199+1879</f>
        <v>14078</v>
      </c>
      <c r="J1212" s="25"/>
      <c r="K1212" s="251">
        <f t="shared" si="196"/>
        <v>14078</v>
      </c>
      <c r="L1212" s="259"/>
      <c r="M1212" s="337"/>
      <c r="N1212" s="25"/>
      <c r="O1212" s="251">
        <f t="shared" si="197"/>
        <v>0</v>
      </c>
      <c r="P1212" s="259"/>
      <c r="Q1212" s="332">
        <f t="shared" si="201"/>
        <v>14078</v>
      </c>
      <c r="R1212" s="93">
        <f t="shared" si="199"/>
        <v>0</v>
      </c>
      <c r="S1212" s="93">
        <f t="shared" si="200"/>
        <v>14078</v>
      </c>
    </row>
    <row r="1213" spans="2:19" x14ac:dyDescent="0.2">
      <c r="B1213" s="88">
        <f t="shared" si="198"/>
        <v>494</v>
      </c>
      <c r="C1213" s="5"/>
      <c r="D1213" s="5"/>
      <c r="E1213" s="5"/>
      <c r="F1213" s="31"/>
      <c r="G1213" s="5"/>
      <c r="H1213" s="5" t="s">
        <v>562</v>
      </c>
      <c r="I1213" s="25">
        <f>1326+205</f>
        <v>1531</v>
      </c>
      <c r="J1213" s="25"/>
      <c r="K1213" s="251">
        <f t="shared" si="196"/>
        <v>1531</v>
      </c>
      <c r="L1213" s="259"/>
      <c r="M1213" s="337"/>
      <c r="N1213" s="25"/>
      <c r="O1213" s="251">
        <f t="shared" si="197"/>
        <v>0</v>
      </c>
      <c r="P1213" s="259"/>
      <c r="Q1213" s="332">
        <f t="shared" si="201"/>
        <v>1531</v>
      </c>
      <c r="R1213" s="93">
        <f t="shared" si="199"/>
        <v>0</v>
      </c>
      <c r="S1213" s="93">
        <f t="shared" si="200"/>
        <v>1531</v>
      </c>
    </row>
    <row r="1214" spans="2:19" x14ac:dyDescent="0.2">
      <c r="B1214" s="88">
        <f t="shared" si="198"/>
        <v>495</v>
      </c>
      <c r="C1214" s="5"/>
      <c r="D1214" s="5"/>
      <c r="E1214" s="5"/>
      <c r="F1214" s="31"/>
      <c r="G1214" s="5"/>
      <c r="H1214" s="5" t="s">
        <v>563</v>
      </c>
      <c r="I1214" s="25">
        <f>4376+674</f>
        <v>5050</v>
      </c>
      <c r="J1214" s="25"/>
      <c r="K1214" s="251">
        <f t="shared" si="196"/>
        <v>5050</v>
      </c>
      <c r="L1214" s="259"/>
      <c r="M1214" s="337"/>
      <c r="N1214" s="25"/>
      <c r="O1214" s="251">
        <f t="shared" si="197"/>
        <v>0</v>
      </c>
      <c r="P1214" s="259"/>
      <c r="Q1214" s="332">
        <f t="shared" si="201"/>
        <v>5050</v>
      </c>
      <c r="R1214" s="93">
        <f t="shared" si="199"/>
        <v>0</v>
      </c>
      <c r="S1214" s="93">
        <f t="shared" si="200"/>
        <v>5050</v>
      </c>
    </row>
    <row r="1215" spans="2:19" ht="15" x14ac:dyDescent="0.25">
      <c r="B1215" s="88">
        <f t="shared" si="198"/>
        <v>496</v>
      </c>
      <c r="C1215" s="13"/>
      <c r="D1215" s="13"/>
      <c r="E1215" s="13">
        <v>4</v>
      </c>
      <c r="F1215" s="32"/>
      <c r="G1215" s="13"/>
      <c r="H1215" s="13" t="s">
        <v>404</v>
      </c>
      <c r="I1215" s="42">
        <f>I1216+I1224+I1231+I1238+I1245+I1252+I1260+I1267+I1274+I1282+I1289+I1296+I1303+I1310</f>
        <v>767285</v>
      </c>
      <c r="J1215" s="42">
        <f>J1216+J1224+J1231+J1238+J1245+J1252+J1260+J1267+J1274+J1282+J1289+J1296+J1303+J1310</f>
        <v>0</v>
      </c>
      <c r="K1215" s="255">
        <f t="shared" si="196"/>
        <v>767285</v>
      </c>
      <c r="L1215" s="259"/>
      <c r="M1215" s="317">
        <v>0</v>
      </c>
      <c r="N1215" s="42">
        <v>0</v>
      </c>
      <c r="O1215" s="255">
        <f t="shared" si="197"/>
        <v>0</v>
      </c>
      <c r="P1215" s="259"/>
      <c r="Q1215" s="312">
        <f t="shared" si="201"/>
        <v>767285</v>
      </c>
      <c r="R1215" s="99">
        <f t="shared" si="199"/>
        <v>0</v>
      </c>
      <c r="S1215" s="99">
        <f t="shared" si="200"/>
        <v>767285</v>
      </c>
    </row>
    <row r="1216" spans="2:19" x14ac:dyDescent="0.2">
      <c r="B1216" s="88">
        <f t="shared" si="198"/>
        <v>497</v>
      </c>
      <c r="C1216" s="9"/>
      <c r="D1216" s="9"/>
      <c r="E1216" s="9" t="s">
        <v>101</v>
      </c>
      <c r="F1216" s="33"/>
      <c r="G1216" s="9"/>
      <c r="H1216" s="9" t="s">
        <v>72</v>
      </c>
      <c r="I1216" s="45">
        <f>I1217+I1218+I1219+I1223</f>
        <v>39110</v>
      </c>
      <c r="J1216" s="45">
        <f>J1217+J1218+J1219+J1223</f>
        <v>0</v>
      </c>
      <c r="K1216" s="359">
        <f t="shared" si="196"/>
        <v>39110</v>
      </c>
      <c r="L1216" s="259"/>
      <c r="M1216" s="362">
        <v>0</v>
      </c>
      <c r="N1216" s="45">
        <v>0</v>
      </c>
      <c r="O1216" s="359">
        <f t="shared" si="197"/>
        <v>0</v>
      </c>
      <c r="P1216" s="259"/>
      <c r="Q1216" s="372">
        <f t="shared" si="201"/>
        <v>39110</v>
      </c>
      <c r="R1216" s="105">
        <f t="shared" si="199"/>
        <v>0</v>
      </c>
      <c r="S1216" s="105">
        <f t="shared" si="200"/>
        <v>39110</v>
      </c>
    </row>
    <row r="1217" spans="2:19" x14ac:dyDescent="0.2">
      <c r="B1217" s="88">
        <f t="shared" si="198"/>
        <v>498</v>
      </c>
      <c r="C1217" s="10"/>
      <c r="D1217" s="10"/>
      <c r="E1217" s="10"/>
      <c r="F1217" s="29" t="s">
        <v>172</v>
      </c>
      <c r="G1217" s="10">
        <v>610</v>
      </c>
      <c r="H1217" s="10" t="s">
        <v>143</v>
      </c>
      <c r="I1217" s="27">
        <v>14524</v>
      </c>
      <c r="J1217" s="27"/>
      <c r="K1217" s="250">
        <f t="shared" si="196"/>
        <v>14524</v>
      </c>
      <c r="L1217" s="259"/>
      <c r="M1217" s="315"/>
      <c r="N1217" s="27"/>
      <c r="O1217" s="250">
        <f t="shared" si="197"/>
        <v>0</v>
      </c>
      <c r="P1217" s="259"/>
      <c r="Q1217" s="309">
        <f t="shared" si="201"/>
        <v>14524</v>
      </c>
      <c r="R1217" s="91">
        <f t="shared" si="199"/>
        <v>0</v>
      </c>
      <c r="S1217" s="91">
        <f t="shared" si="200"/>
        <v>14524</v>
      </c>
    </row>
    <row r="1218" spans="2:19" x14ac:dyDescent="0.2">
      <c r="B1218" s="88">
        <f t="shared" si="198"/>
        <v>499</v>
      </c>
      <c r="C1218" s="10"/>
      <c r="D1218" s="10"/>
      <c r="E1218" s="10"/>
      <c r="F1218" s="29" t="s">
        <v>172</v>
      </c>
      <c r="G1218" s="10">
        <v>620</v>
      </c>
      <c r="H1218" s="10" t="s">
        <v>136</v>
      </c>
      <c r="I1218" s="27">
        <v>5672</v>
      </c>
      <c r="J1218" s="27"/>
      <c r="K1218" s="250">
        <f t="shared" si="196"/>
        <v>5672</v>
      </c>
      <c r="L1218" s="259"/>
      <c r="M1218" s="315"/>
      <c r="N1218" s="27"/>
      <c r="O1218" s="250">
        <f t="shared" si="197"/>
        <v>0</v>
      </c>
      <c r="P1218" s="259"/>
      <c r="Q1218" s="309">
        <f t="shared" si="201"/>
        <v>5672</v>
      </c>
      <c r="R1218" s="91">
        <f t="shared" si="199"/>
        <v>0</v>
      </c>
      <c r="S1218" s="91">
        <f t="shared" si="200"/>
        <v>5672</v>
      </c>
    </row>
    <row r="1219" spans="2:19" x14ac:dyDescent="0.2">
      <c r="B1219" s="88">
        <f t="shared" si="198"/>
        <v>500</v>
      </c>
      <c r="C1219" s="10"/>
      <c r="D1219" s="10"/>
      <c r="E1219" s="10"/>
      <c r="F1219" s="29" t="s">
        <v>172</v>
      </c>
      <c r="G1219" s="10">
        <v>630</v>
      </c>
      <c r="H1219" s="10" t="s">
        <v>133</v>
      </c>
      <c r="I1219" s="27">
        <f>SUM(I1220:I1222)</f>
        <v>17890</v>
      </c>
      <c r="J1219" s="27">
        <f>SUM(J1220:J1222)</f>
        <v>0</v>
      </c>
      <c r="K1219" s="250">
        <f t="shared" si="196"/>
        <v>17890</v>
      </c>
      <c r="L1219" s="259"/>
      <c r="M1219" s="315"/>
      <c r="N1219" s="27"/>
      <c r="O1219" s="250">
        <f t="shared" si="197"/>
        <v>0</v>
      </c>
      <c r="P1219" s="259"/>
      <c r="Q1219" s="309">
        <f t="shared" si="201"/>
        <v>17890</v>
      </c>
      <c r="R1219" s="91">
        <f t="shared" si="199"/>
        <v>0</v>
      </c>
      <c r="S1219" s="91">
        <f t="shared" si="200"/>
        <v>17890</v>
      </c>
    </row>
    <row r="1220" spans="2:19" x14ac:dyDescent="0.2">
      <c r="B1220" s="88">
        <f t="shared" si="198"/>
        <v>501</v>
      </c>
      <c r="C1220" s="4"/>
      <c r="D1220" s="4"/>
      <c r="E1220" s="4"/>
      <c r="F1220" s="30" t="s">
        <v>172</v>
      </c>
      <c r="G1220" s="4">
        <v>633</v>
      </c>
      <c r="H1220" s="4" t="s">
        <v>137</v>
      </c>
      <c r="I1220" s="23">
        <v>17050</v>
      </c>
      <c r="J1220" s="23">
        <v>-823</v>
      </c>
      <c r="K1220" s="220">
        <f t="shared" si="196"/>
        <v>16227</v>
      </c>
      <c r="L1220" s="335"/>
      <c r="M1220" s="227"/>
      <c r="N1220" s="23"/>
      <c r="O1220" s="220">
        <f t="shared" si="197"/>
        <v>0</v>
      </c>
      <c r="P1220" s="335"/>
      <c r="Q1220" s="308">
        <f t="shared" si="201"/>
        <v>17050</v>
      </c>
      <c r="R1220" s="92">
        <f t="shared" si="199"/>
        <v>-823</v>
      </c>
      <c r="S1220" s="92">
        <f t="shared" si="200"/>
        <v>16227</v>
      </c>
    </row>
    <row r="1221" spans="2:19" x14ac:dyDescent="0.2">
      <c r="B1221" s="88">
        <f t="shared" si="198"/>
        <v>502</v>
      </c>
      <c r="C1221" s="4"/>
      <c r="D1221" s="4"/>
      <c r="E1221" s="4"/>
      <c r="F1221" s="30" t="s">
        <v>172</v>
      </c>
      <c r="G1221" s="4">
        <v>635</v>
      </c>
      <c r="H1221" s="4" t="s">
        <v>145</v>
      </c>
      <c r="I1221" s="23">
        <v>200</v>
      </c>
      <c r="J1221" s="23">
        <v>823</v>
      </c>
      <c r="K1221" s="220">
        <f t="shared" si="196"/>
        <v>1023</v>
      </c>
      <c r="L1221" s="259"/>
      <c r="M1221" s="227"/>
      <c r="N1221" s="23"/>
      <c r="O1221" s="220">
        <f t="shared" si="197"/>
        <v>0</v>
      </c>
      <c r="P1221" s="259"/>
      <c r="Q1221" s="308">
        <f t="shared" si="201"/>
        <v>200</v>
      </c>
      <c r="R1221" s="92">
        <f t="shared" si="199"/>
        <v>823</v>
      </c>
      <c r="S1221" s="92">
        <f t="shared" si="200"/>
        <v>1023</v>
      </c>
    </row>
    <row r="1222" spans="2:19" x14ac:dyDescent="0.2">
      <c r="B1222" s="88">
        <f t="shared" si="198"/>
        <v>503</v>
      </c>
      <c r="C1222" s="4"/>
      <c r="D1222" s="4"/>
      <c r="E1222" s="4"/>
      <c r="F1222" s="30" t="s">
        <v>172</v>
      </c>
      <c r="G1222" s="4">
        <v>637</v>
      </c>
      <c r="H1222" s="4" t="s">
        <v>134</v>
      </c>
      <c r="I1222" s="23">
        <v>640</v>
      </c>
      <c r="J1222" s="23"/>
      <c r="K1222" s="220">
        <f t="shared" si="196"/>
        <v>640</v>
      </c>
      <c r="L1222" s="259"/>
      <c r="M1222" s="227"/>
      <c r="N1222" s="23"/>
      <c r="O1222" s="220">
        <f t="shared" si="197"/>
        <v>0</v>
      </c>
      <c r="P1222" s="259"/>
      <c r="Q1222" s="308">
        <f t="shared" si="201"/>
        <v>640</v>
      </c>
      <c r="R1222" s="92">
        <f t="shared" si="199"/>
        <v>0</v>
      </c>
      <c r="S1222" s="92">
        <f t="shared" si="200"/>
        <v>640</v>
      </c>
    </row>
    <row r="1223" spans="2:19" x14ac:dyDescent="0.2">
      <c r="B1223" s="88">
        <f t="shared" si="198"/>
        <v>504</v>
      </c>
      <c r="C1223" s="10"/>
      <c r="D1223" s="10"/>
      <c r="E1223" s="10"/>
      <c r="F1223" s="29" t="s">
        <v>172</v>
      </c>
      <c r="G1223" s="10">
        <v>640</v>
      </c>
      <c r="H1223" s="10" t="s">
        <v>141</v>
      </c>
      <c r="I1223" s="27">
        <v>1024</v>
      </c>
      <c r="J1223" s="27"/>
      <c r="K1223" s="250">
        <f t="shared" si="196"/>
        <v>1024</v>
      </c>
      <c r="L1223" s="259"/>
      <c r="M1223" s="315"/>
      <c r="N1223" s="27"/>
      <c r="O1223" s="250">
        <f t="shared" si="197"/>
        <v>0</v>
      </c>
      <c r="P1223" s="259"/>
      <c r="Q1223" s="309">
        <f t="shared" si="201"/>
        <v>1024</v>
      </c>
      <c r="R1223" s="91">
        <f t="shared" si="199"/>
        <v>0</v>
      </c>
      <c r="S1223" s="91">
        <f t="shared" si="200"/>
        <v>1024</v>
      </c>
    </row>
    <row r="1224" spans="2:19" x14ac:dyDescent="0.2">
      <c r="B1224" s="88">
        <f t="shared" si="198"/>
        <v>505</v>
      </c>
      <c r="C1224" s="9"/>
      <c r="D1224" s="9"/>
      <c r="E1224" s="9" t="s">
        <v>100</v>
      </c>
      <c r="F1224" s="33"/>
      <c r="G1224" s="9"/>
      <c r="H1224" s="9" t="s">
        <v>241</v>
      </c>
      <c r="I1224" s="45">
        <f>I1225+I1226+I1227</f>
        <v>64337</v>
      </c>
      <c r="J1224" s="45">
        <f>J1225+J1226+J1227</f>
        <v>0</v>
      </c>
      <c r="K1224" s="359">
        <f t="shared" si="196"/>
        <v>64337</v>
      </c>
      <c r="L1224" s="259"/>
      <c r="M1224" s="362">
        <v>0</v>
      </c>
      <c r="N1224" s="45">
        <v>0</v>
      </c>
      <c r="O1224" s="359">
        <f t="shared" si="197"/>
        <v>0</v>
      </c>
      <c r="P1224" s="259"/>
      <c r="Q1224" s="372">
        <f t="shared" si="201"/>
        <v>64337</v>
      </c>
      <c r="R1224" s="105">
        <f t="shared" si="199"/>
        <v>0</v>
      </c>
      <c r="S1224" s="105">
        <f t="shared" si="200"/>
        <v>64337</v>
      </c>
    </row>
    <row r="1225" spans="2:19" x14ac:dyDescent="0.2">
      <c r="B1225" s="88">
        <f t="shared" si="198"/>
        <v>506</v>
      </c>
      <c r="C1225" s="10"/>
      <c r="D1225" s="10"/>
      <c r="E1225" s="10"/>
      <c r="F1225" s="29" t="s">
        <v>172</v>
      </c>
      <c r="G1225" s="10">
        <v>610</v>
      </c>
      <c r="H1225" s="10" t="s">
        <v>143</v>
      </c>
      <c r="I1225" s="27">
        <v>26688</v>
      </c>
      <c r="J1225" s="27"/>
      <c r="K1225" s="250">
        <f t="shared" si="196"/>
        <v>26688</v>
      </c>
      <c r="L1225" s="335"/>
      <c r="M1225" s="315"/>
      <c r="N1225" s="27"/>
      <c r="O1225" s="250">
        <f t="shared" si="197"/>
        <v>0</v>
      </c>
      <c r="P1225" s="335"/>
      <c r="Q1225" s="309">
        <f t="shared" si="201"/>
        <v>26688</v>
      </c>
      <c r="R1225" s="91">
        <f t="shared" si="199"/>
        <v>0</v>
      </c>
      <c r="S1225" s="91">
        <f t="shared" si="200"/>
        <v>26688</v>
      </c>
    </row>
    <row r="1226" spans="2:19" x14ac:dyDescent="0.2">
      <c r="B1226" s="88">
        <f t="shared" si="198"/>
        <v>507</v>
      </c>
      <c r="C1226" s="10"/>
      <c r="D1226" s="10"/>
      <c r="E1226" s="10"/>
      <c r="F1226" s="29" t="s">
        <v>172</v>
      </c>
      <c r="G1226" s="10">
        <v>620</v>
      </c>
      <c r="H1226" s="10" t="s">
        <v>136</v>
      </c>
      <c r="I1226" s="27">
        <v>9789</v>
      </c>
      <c r="J1226" s="27"/>
      <c r="K1226" s="250">
        <f t="shared" si="196"/>
        <v>9789</v>
      </c>
      <c r="L1226" s="259"/>
      <c r="M1226" s="315"/>
      <c r="N1226" s="27"/>
      <c r="O1226" s="250">
        <f t="shared" si="197"/>
        <v>0</v>
      </c>
      <c r="P1226" s="259"/>
      <c r="Q1226" s="309">
        <f t="shared" si="201"/>
        <v>9789</v>
      </c>
      <c r="R1226" s="91">
        <f t="shared" si="199"/>
        <v>0</v>
      </c>
      <c r="S1226" s="91">
        <f t="shared" si="200"/>
        <v>9789</v>
      </c>
    </row>
    <row r="1227" spans="2:19" x14ac:dyDescent="0.2">
      <c r="B1227" s="88">
        <f t="shared" si="198"/>
        <v>508</v>
      </c>
      <c r="C1227" s="10"/>
      <c r="D1227" s="10"/>
      <c r="E1227" s="10"/>
      <c r="F1227" s="29" t="s">
        <v>172</v>
      </c>
      <c r="G1227" s="10">
        <v>630</v>
      </c>
      <c r="H1227" s="10" t="s">
        <v>133</v>
      </c>
      <c r="I1227" s="27">
        <f>SUM(I1228:I1230)</f>
        <v>27860</v>
      </c>
      <c r="J1227" s="27">
        <f>SUM(J1228:J1230)</f>
        <v>0</v>
      </c>
      <c r="K1227" s="250">
        <f t="shared" si="196"/>
        <v>27860</v>
      </c>
      <c r="L1227" s="259"/>
      <c r="M1227" s="315"/>
      <c r="N1227" s="27"/>
      <c r="O1227" s="250">
        <f t="shared" si="197"/>
        <v>0</v>
      </c>
      <c r="P1227" s="259"/>
      <c r="Q1227" s="309">
        <f t="shared" si="201"/>
        <v>27860</v>
      </c>
      <c r="R1227" s="91">
        <f t="shared" si="199"/>
        <v>0</v>
      </c>
      <c r="S1227" s="91">
        <f t="shared" si="200"/>
        <v>27860</v>
      </c>
    </row>
    <row r="1228" spans="2:19" x14ac:dyDescent="0.2">
      <c r="B1228" s="88">
        <f t="shared" si="198"/>
        <v>509</v>
      </c>
      <c r="C1228" s="4"/>
      <c r="D1228" s="4"/>
      <c r="E1228" s="4"/>
      <c r="F1228" s="30" t="s">
        <v>172</v>
      </c>
      <c r="G1228" s="4">
        <v>633</v>
      </c>
      <c r="H1228" s="4" t="s">
        <v>137</v>
      </c>
      <c r="I1228" s="23">
        <v>25550</v>
      </c>
      <c r="J1228" s="23"/>
      <c r="K1228" s="220">
        <f t="shared" si="196"/>
        <v>25550</v>
      </c>
      <c r="L1228" s="259"/>
      <c r="M1228" s="227"/>
      <c r="N1228" s="23"/>
      <c r="O1228" s="220">
        <f t="shared" si="197"/>
        <v>0</v>
      </c>
      <c r="P1228" s="259"/>
      <c r="Q1228" s="308">
        <f t="shared" si="201"/>
        <v>25550</v>
      </c>
      <c r="R1228" s="92">
        <f t="shared" si="199"/>
        <v>0</v>
      </c>
      <c r="S1228" s="92">
        <f t="shared" si="200"/>
        <v>25550</v>
      </c>
    </row>
    <row r="1229" spans="2:19" x14ac:dyDescent="0.2">
      <c r="B1229" s="88">
        <f t="shared" si="198"/>
        <v>510</v>
      </c>
      <c r="C1229" s="4"/>
      <c r="D1229" s="4"/>
      <c r="E1229" s="4"/>
      <c r="F1229" s="30" t="s">
        <v>172</v>
      </c>
      <c r="G1229" s="4">
        <v>635</v>
      </c>
      <c r="H1229" s="4" t="s">
        <v>145</v>
      </c>
      <c r="I1229" s="23">
        <v>1550</v>
      </c>
      <c r="J1229" s="23"/>
      <c r="K1229" s="220">
        <f t="shared" si="196"/>
        <v>1550</v>
      </c>
      <c r="L1229" s="259"/>
      <c r="M1229" s="227"/>
      <c r="N1229" s="23"/>
      <c r="O1229" s="220">
        <f t="shared" si="197"/>
        <v>0</v>
      </c>
      <c r="P1229" s="259"/>
      <c r="Q1229" s="308">
        <f t="shared" si="201"/>
        <v>1550</v>
      </c>
      <c r="R1229" s="92">
        <f t="shared" si="199"/>
        <v>0</v>
      </c>
      <c r="S1229" s="92">
        <f t="shared" si="200"/>
        <v>1550</v>
      </c>
    </row>
    <row r="1230" spans="2:19" x14ac:dyDescent="0.2">
      <c r="B1230" s="88">
        <f t="shared" si="198"/>
        <v>511</v>
      </c>
      <c r="C1230" s="4"/>
      <c r="D1230" s="4"/>
      <c r="E1230" s="4"/>
      <c r="F1230" s="30" t="s">
        <v>172</v>
      </c>
      <c r="G1230" s="4">
        <v>637</v>
      </c>
      <c r="H1230" s="4" t="s">
        <v>134</v>
      </c>
      <c r="I1230" s="23">
        <v>760</v>
      </c>
      <c r="J1230" s="23"/>
      <c r="K1230" s="220">
        <f t="shared" si="196"/>
        <v>760</v>
      </c>
      <c r="L1230" s="259"/>
      <c r="M1230" s="227"/>
      <c r="N1230" s="23"/>
      <c r="O1230" s="220">
        <f t="shared" si="197"/>
        <v>0</v>
      </c>
      <c r="P1230" s="259"/>
      <c r="Q1230" s="308">
        <f t="shared" si="201"/>
        <v>760</v>
      </c>
      <c r="R1230" s="92">
        <f t="shared" si="199"/>
        <v>0</v>
      </c>
      <c r="S1230" s="92">
        <f t="shared" si="200"/>
        <v>760</v>
      </c>
    </row>
    <row r="1231" spans="2:19" x14ac:dyDescent="0.2">
      <c r="B1231" s="88">
        <f t="shared" si="198"/>
        <v>512</v>
      </c>
      <c r="C1231" s="9"/>
      <c r="D1231" s="9"/>
      <c r="E1231" s="9" t="s">
        <v>93</v>
      </c>
      <c r="F1231" s="33"/>
      <c r="G1231" s="9"/>
      <c r="H1231" s="9" t="s">
        <v>71</v>
      </c>
      <c r="I1231" s="45">
        <f>I1232+I1233+I1234</f>
        <v>37165</v>
      </c>
      <c r="J1231" s="45">
        <f>J1232+J1233+J1234</f>
        <v>0</v>
      </c>
      <c r="K1231" s="359">
        <f t="shared" si="196"/>
        <v>37165</v>
      </c>
      <c r="L1231" s="259"/>
      <c r="M1231" s="362">
        <v>0</v>
      </c>
      <c r="N1231" s="45">
        <v>0</v>
      </c>
      <c r="O1231" s="359">
        <f t="shared" si="197"/>
        <v>0</v>
      </c>
      <c r="P1231" s="259"/>
      <c r="Q1231" s="372">
        <f t="shared" si="201"/>
        <v>37165</v>
      </c>
      <c r="R1231" s="105">
        <f t="shared" si="199"/>
        <v>0</v>
      </c>
      <c r="S1231" s="105">
        <f t="shared" si="200"/>
        <v>37165</v>
      </c>
    </row>
    <row r="1232" spans="2:19" x14ac:dyDescent="0.2">
      <c r="B1232" s="88">
        <f t="shared" si="198"/>
        <v>513</v>
      </c>
      <c r="C1232" s="10"/>
      <c r="D1232" s="10"/>
      <c r="E1232" s="10"/>
      <c r="F1232" s="29" t="s">
        <v>172</v>
      </c>
      <c r="G1232" s="10">
        <v>610</v>
      </c>
      <c r="H1232" s="10" t="s">
        <v>143</v>
      </c>
      <c r="I1232" s="27">
        <v>15011</v>
      </c>
      <c r="J1232" s="27"/>
      <c r="K1232" s="250">
        <f t="shared" si="196"/>
        <v>15011</v>
      </c>
      <c r="L1232" s="335"/>
      <c r="M1232" s="315"/>
      <c r="N1232" s="27"/>
      <c r="O1232" s="250">
        <f t="shared" si="197"/>
        <v>0</v>
      </c>
      <c r="P1232" s="335"/>
      <c r="Q1232" s="309">
        <f t="shared" si="201"/>
        <v>15011</v>
      </c>
      <c r="R1232" s="91">
        <f t="shared" si="199"/>
        <v>0</v>
      </c>
      <c r="S1232" s="91">
        <f t="shared" si="200"/>
        <v>15011</v>
      </c>
    </row>
    <row r="1233" spans="2:19" x14ac:dyDescent="0.2">
      <c r="B1233" s="88">
        <f t="shared" si="198"/>
        <v>514</v>
      </c>
      <c r="C1233" s="10"/>
      <c r="D1233" s="10"/>
      <c r="E1233" s="10"/>
      <c r="F1233" s="29" t="s">
        <v>172</v>
      </c>
      <c r="G1233" s="10">
        <v>620</v>
      </c>
      <c r="H1233" s="10" t="s">
        <v>136</v>
      </c>
      <c r="I1233" s="27">
        <v>5474</v>
      </c>
      <c r="J1233" s="27"/>
      <c r="K1233" s="250">
        <f t="shared" si="196"/>
        <v>5474</v>
      </c>
      <c r="L1233" s="335"/>
      <c r="M1233" s="315"/>
      <c r="N1233" s="27"/>
      <c r="O1233" s="250">
        <f t="shared" si="197"/>
        <v>0</v>
      </c>
      <c r="P1233" s="335"/>
      <c r="Q1233" s="309">
        <f t="shared" si="201"/>
        <v>5474</v>
      </c>
      <c r="R1233" s="91">
        <f t="shared" si="199"/>
        <v>0</v>
      </c>
      <c r="S1233" s="91">
        <f t="shared" si="200"/>
        <v>5474</v>
      </c>
    </row>
    <row r="1234" spans="2:19" x14ac:dyDescent="0.2">
      <c r="B1234" s="88">
        <f t="shared" si="198"/>
        <v>515</v>
      </c>
      <c r="C1234" s="10"/>
      <c r="D1234" s="10"/>
      <c r="E1234" s="10"/>
      <c r="F1234" s="29" t="s">
        <v>172</v>
      </c>
      <c r="G1234" s="10">
        <v>630</v>
      </c>
      <c r="H1234" s="10" t="s">
        <v>133</v>
      </c>
      <c r="I1234" s="27">
        <f>SUM(I1235:I1237)</f>
        <v>16680</v>
      </c>
      <c r="J1234" s="27">
        <f>SUM(J1235:J1237)</f>
        <v>0</v>
      </c>
      <c r="K1234" s="250">
        <f t="shared" si="196"/>
        <v>16680</v>
      </c>
      <c r="L1234" s="335"/>
      <c r="M1234" s="315"/>
      <c r="N1234" s="27"/>
      <c r="O1234" s="250">
        <f t="shared" si="197"/>
        <v>0</v>
      </c>
      <c r="P1234" s="335"/>
      <c r="Q1234" s="309">
        <f t="shared" si="201"/>
        <v>16680</v>
      </c>
      <c r="R1234" s="91">
        <f t="shared" si="199"/>
        <v>0</v>
      </c>
      <c r="S1234" s="91">
        <f t="shared" si="200"/>
        <v>16680</v>
      </c>
    </row>
    <row r="1235" spans="2:19" x14ac:dyDescent="0.2">
      <c r="B1235" s="88">
        <f t="shared" si="198"/>
        <v>516</v>
      </c>
      <c r="C1235" s="4"/>
      <c r="D1235" s="4"/>
      <c r="E1235" s="4"/>
      <c r="F1235" s="30" t="s">
        <v>172</v>
      </c>
      <c r="G1235" s="4">
        <v>633</v>
      </c>
      <c r="H1235" s="4" t="s">
        <v>137</v>
      </c>
      <c r="I1235" s="23">
        <v>14910</v>
      </c>
      <c r="J1235" s="23"/>
      <c r="K1235" s="220">
        <f t="shared" si="196"/>
        <v>14910</v>
      </c>
      <c r="L1235" s="335"/>
      <c r="M1235" s="227"/>
      <c r="N1235" s="23"/>
      <c r="O1235" s="220">
        <f t="shared" si="197"/>
        <v>0</v>
      </c>
      <c r="P1235" s="335"/>
      <c r="Q1235" s="308">
        <f t="shared" si="201"/>
        <v>14910</v>
      </c>
      <c r="R1235" s="92">
        <f t="shared" si="199"/>
        <v>0</v>
      </c>
      <c r="S1235" s="92">
        <f t="shared" si="200"/>
        <v>14910</v>
      </c>
    </row>
    <row r="1236" spans="2:19" x14ac:dyDescent="0.2">
      <c r="B1236" s="88">
        <f t="shared" si="198"/>
        <v>517</v>
      </c>
      <c r="C1236" s="4"/>
      <c r="D1236" s="4"/>
      <c r="E1236" s="4"/>
      <c r="F1236" s="30" t="s">
        <v>172</v>
      </c>
      <c r="G1236" s="4">
        <v>635</v>
      </c>
      <c r="H1236" s="4" t="s">
        <v>145</v>
      </c>
      <c r="I1236" s="23">
        <v>1100</v>
      </c>
      <c r="J1236" s="23"/>
      <c r="K1236" s="220">
        <f t="shared" si="196"/>
        <v>1100</v>
      </c>
      <c r="L1236" s="335"/>
      <c r="M1236" s="227"/>
      <c r="N1236" s="23"/>
      <c r="O1236" s="220">
        <f t="shared" si="197"/>
        <v>0</v>
      </c>
      <c r="P1236" s="335"/>
      <c r="Q1236" s="308">
        <f t="shared" si="201"/>
        <v>1100</v>
      </c>
      <c r="R1236" s="92">
        <f t="shared" si="199"/>
        <v>0</v>
      </c>
      <c r="S1236" s="92">
        <f t="shared" si="200"/>
        <v>1100</v>
      </c>
    </row>
    <row r="1237" spans="2:19" x14ac:dyDescent="0.2">
      <c r="B1237" s="88">
        <f t="shared" si="198"/>
        <v>518</v>
      </c>
      <c r="C1237" s="4"/>
      <c r="D1237" s="4"/>
      <c r="E1237" s="4"/>
      <c r="F1237" s="30" t="s">
        <v>172</v>
      </c>
      <c r="G1237" s="4">
        <v>637</v>
      </c>
      <c r="H1237" s="4" t="s">
        <v>134</v>
      </c>
      <c r="I1237" s="23">
        <v>670</v>
      </c>
      <c r="J1237" s="23"/>
      <c r="K1237" s="220">
        <f t="shared" si="196"/>
        <v>670</v>
      </c>
      <c r="L1237" s="335"/>
      <c r="M1237" s="227"/>
      <c r="N1237" s="23"/>
      <c r="O1237" s="220">
        <f t="shared" si="197"/>
        <v>0</v>
      </c>
      <c r="P1237" s="335"/>
      <c r="Q1237" s="308">
        <f t="shared" si="201"/>
        <v>670</v>
      </c>
      <c r="R1237" s="92">
        <f t="shared" si="199"/>
        <v>0</v>
      </c>
      <c r="S1237" s="92">
        <f t="shared" si="200"/>
        <v>670</v>
      </c>
    </row>
    <row r="1238" spans="2:19" x14ac:dyDescent="0.2">
      <c r="B1238" s="88">
        <f t="shared" si="198"/>
        <v>519</v>
      </c>
      <c r="C1238" s="9"/>
      <c r="D1238" s="9"/>
      <c r="E1238" s="9" t="s">
        <v>104</v>
      </c>
      <c r="F1238" s="33"/>
      <c r="G1238" s="9"/>
      <c r="H1238" s="9" t="s">
        <v>105</v>
      </c>
      <c r="I1238" s="45">
        <f>I1239+I1240+I1241</f>
        <v>50305</v>
      </c>
      <c r="J1238" s="45">
        <f>J1239+J1240+J1241</f>
        <v>0</v>
      </c>
      <c r="K1238" s="359">
        <f t="shared" si="196"/>
        <v>50305</v>
      </c>
      <c r="L1238" s="259"/>
      <c r="M1238" s="362">
        <v>0</v>
      </c>
      <c r="N1238" s="45">
        <v>0</v>
      </c>
      <c r="O1238" s="359">
        <f t="shared" si="197"/>
        <v>0</v>
      </c>
      <c r="P1238" s="259"/>
      <c r="Q1238" s="372">
        <f t="shared" si="201"/>
        <v>50305</v>
      </c>
      <c r="R1238" s="105">
        <f t="shared" si="199"/>
        <v>0</v>
      </c>
      <c r="S1238" s="105">
        <f t="shared" si="200"/>
        <v>50305</v>
      </c>
    </row>
    <row r="1239" spans="2:19" x14ac:dyDescent="0.2">
      <c r="B1239" s="88">
        <f t="shared" si="198"/>
        <v>520</v>
      </c>
      <c r="C1239" s="10"/>
      <c r="D1239" s="10"/>
      <c r="E1239" s="10"/>
      <c r="F1239" s="29" t="s">
        <v>172</v>
      </c>
      <c r="G1239" s="10">
        <v>610</v>
      </c>
      <c r="H1239" s="10" t="s">
        <v>143</v>
      </c>
      <c r="I1239" s="27">
        <v>19691</v>
      </c>
      <c r="J1239" s="27"/>
      <c r="K1239" s="250">
        <f t="shared" si="196"/>
        <v>19691</v>
      </c>
      <c r="L1239" s="259"/>
      <c r="M1239" s="315"/>
      <c r="N1239" s="27"/>
      <c r="O1239" s="250">
        <f t="shared" si="197"/>
        <v>0</v>
      </c>
      <c r="P1239" s="259"/>
      <c r="Q1239" s="309">
        <f t="shared" si="201"/>
        <v>19691</v>
      </c>
      <c r="R1239" s="91">
        <f t="shared" si="199"/>
        <v>0</v>
      </c>
      <c r="S1239" s="91">
        <f t="shared" si="200"/>
        <v>19691</v>
      </c>
    </row>
    <row r="1240" spans="2:19" x14ac:dyDescent="0.2">
      <c r="B1240" s="88">
        <f t="shared" si="198"/>
        <v>521</v>
      </c>
      <c r="C1240" s="10"/>
      <c r="D1240" s="10"/>
      <c r="E1240" s="10"/>
      <c r="F1240" s="29" t="s">
        <v>172</v>
      </c>
      <c r="G1240" s="10">
        <v>620</v>
      </c>
      <c r="H1240" s="10" t="s">
        <v>136</v>
      </c>
      <c r="I1240" s="27">
        <v>7204</v>
      </c>
      <c r="J1240" s="27"/>
      <c r="K1240" s="250">
        <f t="shared" si="196"/>
        <v>7204</v>
      </c>
      <c r="L1240" s="259"/>
      <c r="M1240" s="315"/>
      <c r="N1240" s="27"/>
      <c r="O1240" s="250">
        <f t="shared" si="197"/>
        <v>0</v>
      </c>
      <c r="P1240" s="259"/>
      <c r="Q1240" s="309">
        <f t="shared" si="201"/>
        <v>7204</v>
      </c>
      <c r="R1240" s="91">
        <f t="shared" si="199"/>
        <v>0</v>
      </c>
      <c r="S1240" s="91">
        <f t="shared" si="200"/>
        <v>7204</v>
      </c>
    </row>
    <row r="1241" spans="2:19" x14ac:dyDescent="0.2">
      <c r="B1241" s="88">
        <f t="shared" si="198"/>
        <v>522</v>
      </c>
      <c r="C1241" s="10"/>
      <c r="D1241" s="10"/>
      <c r="E1241" s="10"/>
      <c r="F1241" s="29" t="s">
        <v>172</v>
      </c>
      <c r="G1241" s="10">
        <v>630</v>
      </c>
      <c r="H1241" s="10" t="s">
        <v>133</v>
      </c>
      <c r="I1241" s="27">
        <f>SUM(I1242:I1244)</f>
        <v>23410</v>
      </c>
      <c r="J1241" s="27">
        <f>SUM(J1242:J1244)</f>
        <v>0</v>
      </c>
      <c r="K1241" s="250">
        <f t="shared" si="196"/>
        <v>23410</v>
      </c>
      <c r="L1241" s="259"/>
      <c r="M1241" s="315"/>
      <c r="N1241" s="27"/>
      <c r="O1241" s="250">
        <f t="shared" si="197"/>
        <v>0</v>
      </c>
      <c r="P1241" s="259"/>
      <c r="Q1241" s="309">
        <f t="shared" si="201"/>
        <v>23410</v>
      </c>
      <c r="R1241" s="91">
        <f t="shared" si="199"/>
        <v>0</v>
      </c>
      <c r="S1241" s="91">
        <f t="shared" si="200"/>
        <v>23410</v>
      </c>
    </row>
    <row r="1242" spans="2:19" x14ac:dyDescent="0.2">
      <c r="B1242" s="88">
        <f t="shared" si="198"/>
        <v>523</v>
      </c>
      <c r="C1242" s="4"/>
      <c r="D1242" s="4"/>
      <c r="E1242" s="4"/>
      <c r="F1242" s="30" t="s">
        <v>172</v>
      </c>
      <c r="G1242" s="4">
        <v>633</v>
      </c>
      <c r="H1242" s="4" t="s">
        <v>137</v>
      </c>
      <c r="I1242" s="23">
        <v>18275</v>
      </c>
      <c r="J1242" s="23"/>
      <c r="K1242" s="220">
        <f t="shared" si="196"/>
        <v>18275</v>
      </c>
      <c r="L1242" s="259"/>
      <c r="M1242" s="227"/>
      <c r="N1242" s="23"/>
      <c r="O1242" s="220">
        <f t="shared" si="197"/>
        <v>0</v>
      </c>
      <c r="P1242" s="259"/>
      <c r="Q1242" s="308">
        <f t="shared" si="201"/>
        <v>18275</v>
      </c>
      <c r="R1242" s="92">
        <f t="shared" si="199"/>
        <v>0</v>
      </c>
      <c r="S1242" s="92">
        <f t="shared" si="200"/>
        <v>18275</v>
      </c>
    </row>
    <row r="1243" spans="2:19" x14ac:dyDescent="0.2">
      <c r="B1243" s="88">
        <f t="shared" si="198"/>
        <v>524</v>
      </c>
      <c r="C1243" s="4"/>
      <c r="D1243" s="4"/>
      <c r="E1243" s="4"/>
      <c r="F1243" s="30" t="s">
        <v>172</v>
      </c>
      <c r="G1243" s="4">
        <v>635</v>
      </c>
      <c r="H1243" s="4" t="s">
        <v>145</v>
      </c>
      <c r="I1243" s="23">
        <v>4600</v>
      </c>
      <c r="J1243" s="23"/>
      <c r="K1243" s="220">
        <f t="shared" si="196"/>
        <v>4600</v>
      </c>
      <c r="L1243" s="259"/>
      <c r="M1243" s="227"/>
      <c r="N1243" s="23"/>
      <c r="O1243" s="220">
        <f t="shared" si="197"/>
        <v>0</v>
      </c>
      <c r="P1243" s="259"/>
      <c r="Q1243" s="308">
        <f t="shared" si="201"/>
        <v>4600</v>
      </c>
      <c r="R1243" s="92">
        <f t="shared" si="199"/>
        <v>0</v>
      </c>
      <c r="S1243" s="92">
        <f t="shared" si="200"/>
        <v>4600</v>
      </c>
    </row>
    <row r="1244" spans="2:19" x14ac:dyDescent="0.2">
      <c r="B1244" s="88">
        <f t="shared" si="198"/>
        <v>525</v>
      </c>
      <c r="C1244" s="4"/>
      <c r="D1244" s="4"/>
      <c r="E1244" s="4"/>
      <c r="F1244" s="30" t="s">
        <v>172</v>
      </c>
      <c r="G1244" s="4">
        <v>637</v>
      </c>
      <c r="H1244" s="4" t="s">
        <v>134</v>
      </c>
      <c r="I1244" s="23">
        <v>535</v>
      </c>
      <c r="J1244" s="23"/>
      <c r="K1244" s="220">
        <f t="shared" si="196"/>
        <v>535</v>
      </c>
      <c r="L1244" s="259"/>
      <c r="M1244" s="227"/>
      <c r="N1244" s="23"/>
      <c r="O1244" s="220">
        <f t="shared" si="197"/>
        <v>0</v>
      </c>
      <c r="P1244" s="259"/>
      <c r="Q1244" s="308">
        <f t="shared" si="201"/>
        <v>535</v>
      </c>
      <c r="R1244" s="92">
        <f t="shared" si="199"/>
        <v>0</v>
      </c>
      <c r="S1244" s="92">
        <f t="shared" si="200"/>
        <v>535</v>
      </c>
    </row>
    <row r="1245" spans="2:19" x14ac:dyDescent="0.2">
      <c r="B1245" s="88">
        <f t="shared" si="198"/>
        <v>526</v>
      </c>
      <c r="C1245" s="9"/>
      <c r="D1245" s="9"/>
      <c r="E1245" s="9" t="s">
        <v>107</v>
      </c>
      <c r="F1245" s="33"/>
      <c r="G1245" s="9"/>
      <c r="H1245" s="9" t="s">
        <v>108</v>
      </c>
      <c r="I1245" s="45">
        <f>I1246+I1247+I1248</f>
        <v>49660</v>
      </c>
      <c r="J1245" s="45">
        <f>J1246+J1247+J1248</f>
        <v>0</v>
      </c>
      <c r="K1245" s="359">
        <f t="shared" si="196"/>
        <v>49660</v>
      </c>
      <c r="L1245" s="259"/>
      <c r="M1245" s="362">
        <v>0</v>
      </c>
      <c r="N1245" s="45">
        <v>0</v>
      </c>
      <c r="O1245" s="359">
        <f t="shared" si="197"/>
        <v>0</v>
      </c>
      <c r="P1245" s="259"/>
      <c r="Q1245" s="372">
        <f t="shared" si="201"/>
        <v>49660</v>
      </c>
      <c r="R1245" s="105">
        <f t="shared" si="199"/>
        <v>0</v>
      </c>
      <c r="S1245" s="105">
        <f t="shared" si="200"/>
        <v>49660</v>
      </c>
    </row>
    <row r="1246" spans="2:19" x14ac:dyDescent="0.2">
      <c r="B1246" s="88">
        <f t="shared" si="198"/>
        <v>527</v>
      </c>
      <c r="C1246" s="10"/>
      <c r="D1246" s="10"/>
      <c r="E1246" s="10"/>
      <c r="F1246" s="29" t="s">
        <v>172</v>
      </c>
      <c r="G1246" s="10">
        <v>610</v>
      </c>
      <c r="H1246" s="10" t="s">
        <v>143</v>
      </c>
      <c r="I1246" s="27">
        <v>20739</v>
      </c>
      <c r="J1246" s="27"/>
      <c r="K1246" s="250">
        <f t="shared" si="196"/>
        <v>20739</v>
      </c>
      <c r="L1246" s="259"/>
      <c r="M1246" s="315"/>
      <c r="N1246" s="27"/>
      <c r="O1246" s="250">
        <f t="shared" si="197"/>
        <v>0</v>
      </c>
      <c r="P1246" s="259"/>
      <c r="Q1246" s="309">
        <f t="shared" si="201"/>
        <v>20739</v>
      </c>
      <c r="R1246" s="91">
        <f t="shared" si="199"/>
        <v>0</v>
      </c>
      <c r="S1246" s="91">
        <f t="shared" si="200"/>
        <v>20739</v>
      </c>
    </row>
    <row r="1247" spans="2:19" x14ac:dyDescent="0.2">
      <c r="B1247" s="88">
        <f t="shared" si="198"/>
        <v>528</v>
      </c>
      <c r="C1247" s="10"/>
      <c r="D1247" s="10"/>
      <c r="E1247" s="10"/>
      <c r="F1247" s="29" t="s">
        <v>172</v>
      </c>
      <c r="G1247" s="10">
        <v>620</v>
      </c>
      <c r="H1247" s="10" t="s">
        <v>136</v>
      </c>
      <c r="I1247" s="27">
        <v>7591</v>
      </c>
      <c r="J1247" s="27"/>
      <c r="K1247" s="250">
        <f t="shared" si="196"/>
        <v>7591</v>
      </c>
      <c r="L1247" s="259"/>
      <c r="M1247" s="315"/>
      <c r="N1247" s="27"/>
      <c r="O1247" s="250">
        <f t="shared" si="197"/>
        <v>0</v>
      </c>
      <c r="P1247" s="259"/>
      <c r="Q1247" s="309">
        <f t="shared" si="201"/>
        <v>7591</v>
      </c>
      <c r="R1247" s="91">
        <f t="shared" si="199"/>
        <v>0</v>
      </c>
      <c r="S1247" s="91">
        <f t="shared" si="200"/>
        <v>7591</v>
      </c>
    </row>
    <row r="1248" spans="2:19" x14ac:dyDescent="0.2">
      <c r="B1248" s="88">
        <f t="shared" si="198"/>
        <v>529</v>
      </c>
      <c r="C1248" s="10"/>
      <c r="D1248" s="10"/>
      <c r="E1248" s="10"/>
      <c r="F1248" s="29" t="s">
        <v>172</v>
      </c>
      <c r="G1248" s="10">
        <v>630</v>
      </c>
      <c r="H1248" s="10" t="s">
        <v>133</v>
      </c>
      <c r="I1248" s="27">
        <f>SUM(I1249:I1251)</f>
        <v>21330</v>
      </c>
      <c r="J1248" s="27">
        <f>SUM(J1249:J1251)</f>
        <v>0</v>
      </c>
      <c r="K1248" s="250">
        <f t="shared" ref="K1248:K1311" si="203">I1248+J1248</f>
        <v>21330</v>
      </c>
      <c r="L1248" s="259"/>
      <c r="M1248" s="315"/>
      <c r="N1248" s="27"/>
      <c r="O1248" s="250">
        <f t="shared" ref="O1248:O1311" si="204">M1248+N1248</f>
        <v>0</v>
      </c>
      <c r="P1248" s="259"/>
      <c r="Q1248" s="309">
        <f t="shared" si="201"/>
        <v>21330</v>
      </c>
      <c r="R1248" s="91">
        <f t="shared" si="199"/>
        <v>0</v>
      </c>
      <c r="S1248" s="91">
        <f t="shared" si="200"/>
        <v>21330</v>
      </c>
    </row>
    <row r="1249" spans="2:19" x14ac:dyDescent="0.2">
      <c r="B1249" s="88">
        <f t="shared" ref="B1249:B1312" si="205">B1248+1</f>
        <v>530</v>
      </c>
      <c r="C1249" s="4"/>
      <c r="D1249" s="4"/>
      <c r="E1249" s="4"/>
      <c r="F1249" s="30" t="s">
        <v>172</v>
      </c>
      <c r="G1249" s="4">
        <v>633</v>
      </c>
      <c r="H1249" s="4" t="s">
        <v>137</v>
      </c>
      <c r="I1249" s="23">
        <v>19180</v>
      </c>
      <c r="J1249" s="23"/>
      <c r="K1249" s="220">
        <f t="shared" si="203"/>
        <v>19180</v>
      </c>
      <c r="L1249" s="259"/>
      <c r="M1249" s="227"/>
      <c r="N1249" s="23"/>
      <c r="O1249" s="220">
        <f t="shared" si="204"/>
        <v>0</v>
      </c>
      <c r="P1249" s="259"/>
      <c r="Q1249" s="308">
        <f t="shared" si="201"/>
        <v>19180</v>
      </c>
      <c r="R1249" s="92">
        <f t="shared" si="199"/>
        <v>0</v>
      </c>
      <c r="S1249" s="92">
        <f t="shared" si="200"/>
        <v>19180</v>
      </c>
    </row>
    <row r="1250" spans="2:19" x14ac:dyDescent="0.2">
      <c r="B1250" s="88">
        <f t="shared" si="205"/>
        <v>531</v>
      </c>
      <c r="C1250" s="4"/>
      <c r="D1250" s="4"/>
      <c r="E1250" s="4"/>
      <c r="F1250" s="30" t="s">
        <v>172</v>
      </c>
      <c r="G1250" s="4">
        <v>635</v>
      </c>
      <c r="H1250" s="4" t="s">
        <v>145</v>
      </c>
      <c r="I1250" s="23">
        <v>1600</v>
      </c>
      <c r="J1250" s="23"/>
      <c r="K1250" s="220">
        <f t="shared" si="203"/>
        <v>1600</v>
      </c>
      <c r="L1250" s="259"/>
      <c r="M1250" s="227"/>
      <c r="N1250" s="23"/>
      <c r="O1250" s="220">
        <f t="shared" si="204"/>
        <v>0</v>
      </c>
      <c r="P1250" s="259"/>
      <c r="Q1250" s="308">
        <f t="shared" si="201"/>
        <v>1600</v>
      </c>
      <c r="R1250" s="92">
        <f t="shared" si="199"/>
        <v>0</v>
      </c>
      <c r="S1250" s="92">
        <f t="shared" si="200"/>
        <v>1600</v>
      </c>
    </row>
    <row r="1251" spans="2:19" x14ac:dyDescent="0.2">
      <c r="B1251" s="88">
        <f t="shared" si="205"/>
        <v>532</v>
      </c>
      <c r="C1251" s="4"/>
      <c r="D1251" s="4"/>
      <c r="E1251" s="4"/>
      <c r="F1251" s="30" t="s">
        <v>172</v>
      </c>
      <c r="G1251" s="4">
        <v>637</v>
      </c>
      <c r="H1251" s="4" t="s">
        <v>134</v>
      </c>
      <c r="I1251" s="23">
        <v>550</v>
      </c>
      <c r="J1251" s="23"/>
      <c r="K1251" s="220">
        <f t="shared" si="203"/>
        <v>550</v>
      </c>
      <c r="L1251" s="259"/>
      <c r="M1251" s="227"/>
      <c r="N1251" s="23"/>
      <c r="O1251" s="220">
        <f t="shared" si="204"/>
        <v>0</v>
      </c>
      <c r="P1251" s="259"/>
      <c r="Q1251" s="308">
        <f t="shared" si="201"/>
        <v>550</v>
      </c>
      <c r="R1251" s="92">
        <f t="shared" si="199"/>
        <v>0</v>
      </c>
      <c r="S1251" s="92">
        <f t="shared" si="200"/>
        <v>550</v>
      </c>
    </row>
    <row r="1252" spans="2:19" x14ac:dyDescent="0.2">
      <c r="B1252" s="88">
        <f t="shared" si="205"/>
        <v>533</v>
      </c>
      <c r="C1252" s="9"/>
      <c r="D1252" s="9"/>
      <c r="E1252" s="9" t="s">
        <v>91</v>
      </c>
      <c r="F1252" s="33"/>
      <c r="G1252" s="9"/>
      <c r="H1252" s="9" t="s">
        <v>92</v>
      </c>
      <c r="I1252" s="45">
        <f>I1253+I1254+I1255+I1259</f>
        <v>76289</v>
      </c>
      <c r="J1252" s="45">
        <f>J1253+J1254+J1255+J1259</f>
        <v>573</v>
      </c>
      <c r="K1252" s="359">
        <f t="shared" si="203"/>
        <v>76862</v>
      </c>
      <c r="L1252" s="259"/>
      <c r="M1252" s="362">
        <v>0</v>
      </c>
      <c r="N1252" s="45">
        <v>0</v>
      </c>
      <c r="O1252" s="359">
        <f t="shared" si="204"/>
        <v>0</v>
      </c>
      <c r="P1252" s="259"/>
      <c r="Q1252" s="372">
        <f t="shared" si="201"/>
        <v>76289</v>
      </c>
      <c r="R1252" s="105">
        <f t="shared" si="199"/>
        <v>573</v>
      </c>
      <c r="S1252" s="105">
        <f t="shared" si="200"/>
        <v>76862</v>
      </c>
    </row>
    <row r="1253" spans="2:19" x14ac:dyDescent="0.2">
      <c r="B1253" s="88">
        <f t="shared" si="205"/>
        <v>534</v>
      </c>
      <c r="C1253" s="10"/>
      <c r="D1253" s="10"/>
      <c r="E1253" s="10"/>
      <c r="F1253" s="29" t="s">
        <v>172</v>
      </c>
      <c r="G1253" s="10">
        <v>610</v>
      </c>
      <c r="H1253" s="10" t="s">
        <v>143</v>
      </c>
      <c r="I1253" s="27">
        <v>31163</v>
      </c>
      <c r="J1253" s="27"/>
      <c r="K1253" s="250">
        <f t="shared" si="203"/>
        <v>31163</v>
      </c>
      <c r="L1253" s="259"/>
      <c r="M1253" s="315"/>
      <c r="N1253" s="27"/>
      <c r="O1253" s="250">
        <f t="shared" si="204"/>
        <v>0</v>
      </c>
      <c r="P1253" s="259"/>
      <c r="Q1253" s="309">
        <f t="shared" si="201"/>
        <v>31163</v>
      </c>
      <c r="R1253" s="91">
        <f t="shared" si="199"/>
        <v>0</v>
      </c>
      <c r="S1253" s="91">
        <f t="shared" si="200"/>
        <v>31163</v>
      </c>
    </row>
    <row r="1254" spans="2:19" x14ac:dyDescent="0.2">
      <c r="B1254" s="88">
        <f t="shared" si="205"/>
        <v>535</v>
      </c>
      <c r="C1254" s="10"/>
      <c r="D1254" s="10"/>
      <c r="E1254" s="10"/>
      <c r="F1254" s="29" t="s">
        <v>172</v>
      </c>
      <c r="G1254" s="10">
        <v>620</v>
      </c>
      <c r="H1254" s="10" t="s">
        <v>136</v>
      </c>
      <c r="I1254" s="27">
        <v>11624</v>
      </c>
      <c r="J1254" s="27"/>
      <c r="K1254" s="250">
        <f t="shared" si="203"/>
        <v>11624</v>
      </c>
      <c r="L1254" s="259"/>
      <c r="M1254" s="315"/>
      <c r="N1254" s="27"/>
      <c r="O1254" s="250">
        <f t="shared" si="204"/>
        <v>0</v>
      </c>
      <c r="P1254" s="259"/>
      <c r="Q1254" s="309">
        <f t="shared" si="201"/>
        <v>11624</v>
      </c>
      <c r="R1254" s="91">
        <f t="shared" si="199"/>
        <v>0</v>
      </c>
      <c r="S1254" s="91">
        <f t="shared" si="200"/>
        <v>11624</v>
      </c>
    </row>
    <row r="1255" spans="2:19" x14ac:dyDescent="0.2">
      <c r="B1255" s="88">
        <f t="shared" si="205"/>
        <v>536</v>
      </c>
      <c r="C1255" s="10"/>
      <c r="D1255" s="10"/>
      <c r="E1255" s="10"/>
      <c r="F1255" s="29" t="s">
        <v>172</v>
      </c>
      <c r="G1255" s="10">
        <v>630</v>
      </c>
      <c r="H1255" s="10" t="s">
        <v>133</v>
      </c>
      <c r="I1255" s="27">
        <f>SUM(I1256:I1258)</f>
        <v>33010</v>
      </c>
      <c r="J1255" s="27">
        <f>SUM(J1256:J1258)</f>
        <v>573</v>
      </c>
      <c r="K1255" s="250">
        <f t="shared" si="203"/>
        <v>33583</v>
      </c>
      <c r="L1255" s="259"/>
      <c r="M1255" s="315"/>
      <c r="N1255" s="27"/>
      <c r="O1255" s="250">
        <f t="shared" si="204"/>
        <v>0</v>
      </c>
      <c r="P1255" s="259"/>
      <c r="Q1255" s="309">
        <f t="shared" si="201"/>
        <v>33010</v>
      </c>
      <c r="R1255" s="91">
        <f t="shared" si="199"/>
        <v>573</v>
      </c>
      <c r="S1255" s="91">
        <f t="shared" si="200"/>
        <v>33583</v>
      </c>
    </row>
    <row r="1256" spans="2:19" x14ac:dyDescent="0.2">
      <c r="B1256" s="88">
        <f t="shared" si="205"/>
        <v>537</v>
      </c>
      <c r="C1256" s="4"/>
      <c r="D1256" s="4"/>
      <c r="E1256" s="4"/>
      <c r="F1256" s="30" t="s">
        <v>172</v>
      </c>
      <c r="G1256" s="4">
        <v>633</v>
      </c>
      <c r="H1256" s="4" t="s">
        <v>137</v>
      </c>
      <c r="I1256" s="23">
        <v>30940</v>
      </c>
      <c r="J1256" s="23">
        <v>627</v>
      </c>
      <c r="K1256" s="220">
        <f t="shared" si="203"/>
        <v>31567</v>
      </c>
      <c r="L1256" s="259"/>
      <c r="M1256" s="227"/>
      <c r="N1256" s="23"/>
      <c r="O1256" s="220">
        <f t="shared" si="204"/>
        <v>0</v>
      </c>
      <c r="P1256" s="259"/>
      <c r="Q1256" s="308">
        <f t="shared" si="201"/>
        <v>30940</v>
      </c>
      <c r="R1256" s="92">
        <f t="shared" si="199"/>
        <v>627</v>
      </c>
      <c r="S1256" s="92">
        <f t="shared" si="200"/>
        <v>31567</v>
      </c>
    </row>
    <row r="1257" spans="2:19" x14ac:dyDescent="0.2">
      <c r="B1257" s="88">
        <f t="shared" si="205"/>
        <v>538</v>
      </c>
      <c r="C1257" s="4"/>
      <c r="D1257" s="4"/>
      <c r="E1257" s="4"/>
      <c r="F1257" s="30" t="s">
        <v>172</v>
      </c>
      <c r="G1257" s="4">
        <v>635</v>
      </c>
      <c r="H1257" s="4" t="s">
        <v>145</v>
      </c>
      <c r="I1257" s="23">
        <v>1350</v>
      </c>
      <c r="J1257" s="23">
        <v>-54</v>
      </c>
      <c r="K1257" s="220">
        <f t="shared" si="203"/>
        <v>1296</v>
      </c>
      <c r="L1257" s="259"/>
      <c r="M1257" s="227"/>
      <c r="N1257" s="23"/>
      <c r="O1257" s="220">
        <f t="shared" si="204"/>
        <v>0</v>
      </c>
      <c r="P1257" s="259"/>
      <c r="Q1257" s="308">
        <f t="shared" si="201"/>
        <v>1350</v>
      </c>
      <c r="R1257" s="92">
        <f t="shared" si="199"/>
        <v>-54</v>
      </c>
      <c r="S1257" s="92">
        <f t="shared" si="200"/>
        <v>1296</v>
      </c>
    </row>
    <row r="1258" spans="2:19" x14ac:dyDescent="0.2">
      <c r="B1258" s="88">
        <f t="shared" si="205"/>
        <v>539</v>
      </c>
      <c r="C1258" s="4"/>
      <c r="D1258" s="4"/>
      <c r="E1258" s="4"/>
      <c r="F1258" s="30" t="s">
        <v>172</v>
      </c>
      <c r="G1258" s="4">
        <v>637</v>
      </c>
      <c r="H1258" s="4" t="s">
        <v>134</v>
      </c>
      <c r="I1258" s="23">
        <v>720</v>
      </c>
      <c r="J1258" s="23"/>
      <c r="K1258" s="220">
        <f t="shared" si="203"/>
        <v>720</v>
      </c>
      <c r="L1258" s="259"/>
      <c r="M1258" s="227"/>
      <c r="N1258" s="23"/>
      <c r="O1258" s="220">
        <f t="shared" si="204"/>
        <v>0</v>
      </c>
      <c r="P1258" s="259"/>
      <c r="Q1258" s="308">
        <f t="shared" si="201"/>
        <v>720</v>
      </c>
      <c r="R1258" s="92">
        <f t="shared" si="199"/>
        <v>0</v>
      </c>
      <c r="S1258" s="92">
        <f t="shared" si="200"/>
        <v>720</v>
      </c>
    </row>
    <row r="1259" spans="2:19" x14ac:dyDescent="0.2">
      <c r="B1259" s="88">
        <f t="shared" si="205"/>
        <v>540</v>
      </c>
      <c r="C1259" s="10"/>
      <c r="D1259" s="10"/>
      <c r="E1259" s="10"/>
      <c r="F1259" s="29" t="s">
        <v>172</v>
      </c>
      <c r="G1259" s="10">
        <v>640</v>
      </c>
      <c r="H1259" s="10" t="s">
        <v>141</v>
      </c>
      <c r="I1259" s="27">
        <v>492</v>
      </c>
      <c r="J1259" s="27"/>
      <c r="K1259" s="250">
        <f t="shared" si="203"/>
        <v>492</v>
      </c>
      <c r="L1259" s="259"/>
      <c r="M1259" s="315"/>
      <c r="N1259" s="27"/>
      <c r="O1259" s="250">
        <f t="shared" si="204"/>
        <v>0</v>
      </c>
      <c r="P1259" s="259"/>
      <c r="Q1259" s="309">
        <f t="shared" si="201"/>
        <v>492</v>
      </c>
      <c r="R1259" s="91">
        <f t="shared" si="199"/>
        <v>0</v>
      </c>
      <c r="S1259" s="91">
        <f t="shared" si="200"/>
        <v>492</v>
      </c>
    </row>
    <row r="1260" spans="2:19" x14ac:dyDescent="0.2">
      <c r="B1260" s="88">
        <f t="shared" si="205"/>
        <v>541</v>
      </c>
      <c r="C1260" s="9"/>
      <c r="D1260" s="9"/>
      <c r="E1260" s="9" t="s">
        <v>88</v>
      </c>
      <c r="F1260" s="33"/>
      <c r="G1260" s="9"/>
      <c r="H1260" s="9" t="s">
        <v>89</v>
      </c>
      <c r="I1260" s="45">
        <f>I1261+I1262+I1263</f>
        <v>79204</v>
      </c>
      <c r="J1260" s="45">
        <f>J1261+J1262+J1263</f>
        <v>0</v>
      </c>
      <c r="K1260" s="359">
        <f t="shared" si="203"/>
        <v>79204</v>
      </c>
      <c r="L1260" s="259"/>
      <c r="M1260" s="362">
        <v>0</v>
      </c>
      <c r="N1260" s="45">
        <v>0</v>
      </c>
      <c r="O1260" s="359">
        <f t="shared" si="204"/>
        <v>0</v>
      </c>
      <c r="P1260" s="259"/>
      <c r="Q1260" s="372">
        <f t="shared" si="201"/>
        <v>79204</v>
      </c>
      <c r="R1260" s="105">
        <f t="shared" si="199"/>
        <v>0</v>
      </c>
      <c r="S1260" s="105">
        <f t="shared" si="200"/>
        <v>79204</v>
      </c>
    </row>
    <row r="1261" spans="2:19" x14ac:dyDescent="0.2">
      <c r="B1261" s="88">
        <f t="shared" si="205"/>
        <v>542</v>
      </c>
      <c r="C1261" s="10"/>
      <c r="D1261" s="10"/>
      <c r="E1261" s="10"/>
      <c r="F1261" s="29" t="s">
        <v>172</v>
      </c>
      <c r="G1261" s="10">
        <v>610</v>
      </c>
      <c r="H1261" s="10" t="s">
        <v>143</v>
      </c>
      <c r="I1261" s="27">
        <v>34488</v>
      </c>
      <c r="J1261" s="27"/>
      <c r="K1261" s="250">
        <f t="shared" si="203"/>
        <v>34488</v>
      </c>
      <c r="L1261" s="259"/>
      <c r="M1261" s="315"/>
      <c r="N1261" s="27"/>
      <c r="O1261" s="250">
        <f t="shared" si="204"/>
        <v>0</v>
      </c>
      <c r="P1261" s="259"/>
      <c r="Q1261" s="309">
        <f t="shared" si="201"/>
        <v>34488</v>
      </c>
      <c r="R1261" s="91">
        <f t="shared" si="199"/>
        <v>0</v>
      </c>
      <c r="S1261" s="91">
        <f t="shared" si="200"/>
        <v>34488</v>
      </c>
    </row>
    <row r="1262" spans="2:19" x14ac:dyDescent="0.2">
      <c r="B1262" s="88">
        <f t="shared" si="205"/>
        <v>543</v>
      </c>
      <c r="C1262" s="10"/>
      <c r="D1262" s="10"/>
      <c r="E1262" s="10"/>
      <c r="F1262" s="29" t="s">
        <v>172</v>
      </c>
      <c r="G1262" s="10">
        <v>620</v>
      </c>
      <c r="H1262" s="10" t="s">
        <v>136</v>
      </c>
      <c r="I1262" s="27">
        <v>12671</v>
      </c>
      <c r="J1262" s="27"/>
      <c r="K1262" s="250">
        <f t="shared" si="203"/>
        <v>12671</v>
      </c>
      <c r="L1262" s="259"/>
      <c r="M1262" s="315"/>
      <c r="N1262" s="27"/>
      <c r="O1262" s="250">
        <f t="shared" si="204"/>
        <v>0</v>
      </c>
      <c r="P1262" s="259"/>
      <c r="Q1262" s="309">
        <f t="shared" si="201"/>
        <v>12671</v>
      </c>
      <c r="R1262" s="91">
        <f t="shared" si="199"/>
        <v>0</v>
      </c>
      <c r="S1262" s="91">
        <f t="shared" si="200"/>
        <v>12671</v>
      </c>
    </row>
    <row r="1263" spans="2:19" x14ac:dyDescent="0.2">
      <c r="B1263" s="88">
        <f t="shared" si="205"/>
        <v>544</v>
      </c>
      <c r="C1263" s="10"/>
      <c r="D1263" s="10"/>
      <c r="E1263" s="10"/>
      <c r="F1263" s="29" t="s">
        <v>172</v>
      </c>
      <c r="G1263" s="10">
        <v>630</v>
      </c>
      <c r="H1263" s="10" t="s">
        <v>133</v>
      </c>
      <c r="I1263" s="27">
        <f>SUM(I1264:I1266)</f>
        <v>32045</v>
      </c>
      <c r="J1263" s="27">
        <f>SUM(J1264:J1266)</f>
        <v>0</v>
      </c>
      <c r="K1263" s="250">
        <f t="shared" si="203"/>
        <v>32045</v>
      </c>
      <c r="L1263" s="259"/>
      <c r="M1263" s="315"/>
      <c r="N1263" s="27"/>
      <c r="O1263" s="250">
        <f t="shared" si="204"/>
        <v>0</v>
      </c>
      <c r="P1263" s="259"/>
      <c r="Q1263" s="309">
        <f t="shared" si="201"/>
        <v>32045</v>
      </c>
      <c r="R1263" s="91">
        <f t="shared" si="199"/>
        <v>0</v>
      </c>
      <c r="S1263" s="91">
        <f t="shared" si="200"/>
        <v>32045</v>
      </c>
    </row>
    <row r="1264" spans="2:19" x14ac:dyDescent="0.2">
      <c r="B1264" s="88">
        <f t="shared" si="205"/>
        <v>545</v>
      </c>
      <c r="C1264" s="4"/>
      <c r="D1264" s="4"/>
      <c r="E1264" s="4"/>
      <c r="F1264" s="30" t="s">
        <v>172</v>
      </c>
      <c r="G1264" s="4">
        <v>633</v>
      </c>
      <c r="H1264" s="4" t="s">
        <v>137</v>
      </c>
      <c r="I1264" s="23">
        <f>29645+1000</f>
        <v>30645</v>
      </c>
      <c r="J1264" s="23"/>
      <c r="K1264" s="220">
        <f t="shared" si="203"/>
        <v>30645</v>
      </c>
      <c r="L1264" s="259"/>
      <c r="M1264" s="227"/>
      <c r="N1264" s="23"/>
      <c r="O1264" s="220">
        <f t="shared" si="204"/>
        <v>0</v>
      </c>
      <c r="P1264" s="259"/>
      <c r="Q1264" s="308">
        <f t="shared" si="201"/>
        <v>30645</v>
      </c>
      <c r="R1264" s="92">
        <f t="shared" ref="R1264:R1328" si="206">J1264+N1264</f>
        <v>0</v>
      </c>
      <c r="S1264" s="92">
        <f t="shared" ref="S1264:S1328" si="207">K1264+O1264</f>
        <v>30645</v>
      </c>
    </row>
    <row r="1265" spans="2:19" x14ac:dyDescent="0.2">
      <c r="B1265" s="88">
        <f t="shared" si="205"/>
        <v>546</v>
      </c>
      <c r="C1265" s="4"/>
      <c r="D1265" s="4"/>
      <c r="E1265" s="4"/>
      <c r="F1265" s="30" t="s">
        <v>172</v>
      </c>
      <c r="G1265" s="4">
        <v>635</v>
      </c>
      <c r="H1265" s="4" t="s">
        <v>145</v>
      </c>
      <c r="I1265" s="23">
        <f>1500-1000</f>
        <v>500</v>
      </c>
      <c r="J1265" s="23"/>
      <c r="K1265" s="220">
        <f t="shared" si="203"/>
        <v>500</v>
      </c>
      <c r="L1265" s="259"/>
      <c r="M1265" s="227"/>
      <c r="N1265" s="23"/>
      <c r="O1265" s="220">
        <f t="shared" si="204"/>
        <v>0</v>
      </c>
      <c r="P1265" s="259"/>
      <c r="Q1265" s="308">
        <f t="shared" si="201"/>
        <v>500</v>
      </c>
      <c r="R1265" s="92">
        <f t="shared" si="206"/>
        <v>0</v>
      </c>
      <c r="S1265" s="92">
        <f t="shared" si="207"/>
        <v>500</v>
      </c>
    </row>
    <row r="1266" spans="2:19" x14ac:dyDescent="0.2">
      <c r="B1266" s="88">
        <f t="shared" si="205"/>
        <v>547</v>
      </c>
      <c r="C1266" s="4"/>
      <c r="D1266" s="4"/>
      <c r="E1266" s="4"/>
      <c r="F1266" s="30" t="s">
        <v>172</v>
      </c>
      <c r="G1266" s="4">
        <v>637</v>
      </c>
      <c r="H1266" s="4" t="s">
        <v>134</v>
      </c>
      <c r="I1266" s="23">
        <v>900</v>
      </c>
      <c r="J1266" s="23"/>
      <c r="K1266" s="220">
        <f t="shared" si="203"/>
        <v>900</v>
      </c>
      <c r="L1266" s="259"/>
      <c r="M1266" s="227"/>
      <c r="N1266" s="23"/>
      <c r="O1266" s="220">
        <f t="shared" si="204"/>
        <v>0</v>
      </c>
      <c r="P1266" s="259"/>
      <c r="Q1266" s="308">
        <f t="shared" si="201"/>
        <v>900</v>
      </c>
      <c r="R1266" s="92">
        <f t="shared" si="206"/>
        <v>0</v>
      </c>
      <c r="S1266" s="92">
        <f t="shared" si="207"/>
        <v>900</v>
      </c>
    </row>
    <row r="1267" spans="2:19" x14ac:dyDescent="0.2">
      <c r="B1267" s="88">
        <f t="shared" si="205"/>
        <v>548</v>
      </c>
      <c r="C1267" s="9"/>
      <c r="D1267" s="9"/>
      <c r="E1267" s="9" t="s">
        <v>111</v>
      </c>
      <c r="F1267" s="33"/>
      <c r="G1267" s="9"/>
      <c r="H1267" s="9" t="s">
        <v>112</v>
      </c>
      <c r="I1267" s="45">
        <f>I1268+I1269+I1270</f>
        <v>46072</v>
      </c>
      <c r="J1267" s="45">
        <f>J1268+J1269+J1270</f>
        <v>0</v>
      </c>
      <c r="K1267" s="359">
        <f t="shared" si="203"/>
        <v>46072</v>
      </c>
      <c r="L1267" s="259"/>
      <c r="M1267" s="362">
        <v>0</v>
      </c>
      <c r="N1267" s="45">
        <v>0</v>
      </c>
      <c r="O1267" s="359">
        <f t="shared" si="204"/>
        <v>0</v>
      </c>
      <c r="P1267" s="259"/>
      <c r="Q1267" s="372">
        <f t="shared" si="201"/>
        <v>46072</v>
      </c>
      <c r="R1267" s="105">
        <f t="shared" si="206"/>
        <v>0</v>
      </c>
      <c r="S1267" s="105">
        <f t="shared" si="207"/>
        <v>46072</v>
      </c>
    </row>
    <row r="1268" spans="2:19" x14ac:dyDescent="0.2">
      <c r="B1268" s="88">
        <f t="shared" si="205"/>
        <v>549</v>
      </c>
      <c r="C1268" s="10"/>
      <c r="D1268" s="10"/>
      <c r="E1268" s="10"/>
      <c r="F1268" s="29" t="s">
        <v>172</v>
      </c>
      <c r="G1268" s="10">
        <v>610</v>
      </c>
      <c r="H1268" s="10" t="s">
        <v>143</v>
      </c>
      <c r="I1268" s="27">
        <v>19722</v>
      </c>
      <c r="J1268" s="27"/>
      <c r="K1268" s="250">
        <f t="shared" si="203"/>
        <v>19722</v>
      </c>
      <c r="L1268" s="259"/>
      <c r="M1268" s="315"/>
      <c r="N1268" s="27"/>
      <c r="O1268" s="250">
        <f t="shared" si="204"/>
        <v>0</v>
      </c>
      <c r="P1268" s="259"/>
      <c r="Q1268" s="309">
        <f t="shared" si="201"/>
        <v>19722</v>
      </c>
      <c r="R1268" s="91">
        <f t="shared" si="206"/>
        <v>0</v>
      </c>
      <c r="S1268" s="91">
        <f t="shared" si="207"/>
        <v>19722</v>
      </c>
    </row>
    <row r="1269" spans="2:19" x14ac:dyDescent="0.2">
      <c r="B1269" s="88">
        <f t="shared" si="205"/>
        <v>550</v>
      </c>
      <c r="C1269" s="10"/>
      <c r="D1269" s="10"/>
      <c r="E1269" s="10"/>
      <c r="F1269" s="29" t="s">
        <v>172</v>
      </c>
      <c r="G1269" s="10">
        <v>620</v>
      </c>
      <c r="H1269" s="10" t="s">
        <v>136</v>
      </c>
      <c r="I1269" s="27">
        <v>7215</v>
      </c>
      <c r="J1269" s="27"/>
      <c r="K1269" s="250">
        <f t="shared" si="203"/>
        <v>7215</v>
      </c>
      <c r="L1269" s="259"/>
      <c r="M1269" s="315"/>
      <c r="N1269" s="27"/>
      <c r="O1269" s="250">
        <f t="shared" si="204"/>
        <v>0</v>
      </c>
      <c r="P1269" s="259"/>
      <c r="Q1269" s="309">
        <f t="shared" si="201"/>
        <v>7215</v>
      </c>
      <c r="R1269" s="91">
        <f t="shared" si="206"/>
        <v>0</v>
      </c>
      <c r="S1269" s="91">
        <f t="shared" si="207"/>
        <v>7215</v>
      </c>
    </row>
    <row r="1270" spans="2:19" x14ac:dyDescent="0.2">
      <c r="B1270" s="88">
        <f t="shared" si="205"/>
        <v>551</v>
      </c>
      <c r="C1270" s="10"/>
      <c r="D1270" s="10"/>
      <c r="E1270" s="10"/>
      <c r="F1270" s="29" t="s">
        <v>172</v>
      </c>
      <c r="G1270" s="10">
        <v>630</v>
      </c>
      <c r="H1270" s="10" t="s">
        <v>133</v>
      </c>
      <c r="I1270" s="27">
        <f>SUM(I1271:I1273)</f>
        <v>19135</v>
      </c>
      <c r="J1270" s="27">
        <f>SUM(J1271:J1273)</f>
        <v>0</v>
      </c>
      <c r="K1270" s="250">
        <f t="shared" si="203"/>
        <v>19135</v>
      </c>
      <c r="L1270" s="259"/>
      <c r="M1270" s="315"/>
      <c r="N1270" s="27"/>
      <c r="O1270" s="250">
        <f t="shared" si="204"/>
        <v>0</v>
      </c>
      <c r="P1270" s="259"/>
      <c r="Q1270" s="309">
        <f t="shared" ref="Q1270:Q1333" si="208">I1270+M1270</f>
        <v>19135</v>
      </c>
      <c r="R1270" s="91">
        <f t="shared" si="206"/>
        <v>0</v>
      </c>
      <c r="S1270" s="91">
        <f t="shared" si="207"/>
        <v>19135</v>
      </c>
    </row>
    <row r="1271" spans="2:19" x14ac:dyDescent="0.2">
      <c r="B1271" s="88">
        <f t="shared" si="205"/>
        <v>552</v>
      </c>
      <c r="C1271" s="4"/>
      <c r="D1271" s="4"/>
      <c r="E1271" s="4"/>
      <c r="F1271" s="30" t="s">
        <v>172</v>
      </c>
      <c r="G1271" s="4">
        <v>633</v>
      </c>
      <c r="H1271" s="4" t="s">
        <v>137</v>
      </c>
      <c r="I1271" s="23">
        <v>17055</v>
      </c>
      <c r="J1271" s="23"/>
      <c r="K1271" s="220">
        <f t="shared" si="203"/>
        <v>17055</v>
      </c>
      <c r="L1271" s="259"/>
      <c r="M1271" s="227"/>
      <c r="N1271" s="23"/>
      <c r="O1271" s="220">
        <f t="shared" si="204"/>
        <v>0</v>
      </c>
      <c r="P1271" s="259"/>
      <c r="Q1271" s="308">
        <f t="shared" si="208"/>
        <v>17055</v>
      </c>
      <c r="R1271" s="92">
        <f t="shared" si="206"/>
        <v>0</v>
      </c>
      <c r="S1271" s="92">
        <f t="shared" si="207"/>
        <v>17055</v>
      </c>
    </row>
    <row r="1272" spans="2:19" x14ac:dyDescent="0.2">
      <c r="B1272" s="88">
        <f t="shared" si="205"/>
        <v>553</v>
      </c>
      <c r="C1272" s="4"/>
      <c r="D1272" s="4"/>
      <c r="E1272" s="4"/>
      <c r="F1272" s="30" t="s">
        <v>172</v>
      </c>
      <c r="G1272" s="4">
        <v>635</v>
      </c>
      <c r="H1272" s="4" t="s">
        <v>145</v>
      </c>
      <c r="I1272" s="23">
        <v>1300</v>
      </c>
      <c r="J1272" s="23"/>
      <c r="K1272" s="220">
        <f t="shared" si="203"/>
        <v>1300</v>
      </c>
      <c r="L1272" s="259"/>
      <c r="M1272" s="227"/>
      <c r="N1272" s="23"/>
      <c r="O1272" s="220">
        <f t="shared" si="204"/>
        <v>0</v>
      </c>
      <c r="P1272" s="259"/>
      <c r="Q1272" s="308">
        <f t="shared" si="208"/>
        <v>1300</v>
      </c>
      <c r="R1272" s="92">
        <f t="shared" si="206"/>
        <v>0</v>
      </c>
      <c r="S1272" s="92">
        <f t="shared" si="207"/>
        <v>1300</v>
      </c>
    </row>
    <row r="1273" spans="2:19" x14ac:dyDescent="0.2">
      <c r="B1273" s="88">
        <f t="shared" si="205"/>
        <v>554</v>
      </c>
      <c r="C1273" s="4"/>
      <c r="D1273" s="4"/>
      <c r="E1273" s="4"/>
      <c r="F1273" s="30" t="s">
        <v>172</v>
      </c>
      <c r="G1273" s="4">
        <v>637</v>
      </c>
      <c r="H1273" s="4" t="s">
        <v>134</v>
      </c>
      <c r="I1273" s="23">
        <v>780</v>
      </c>
      <c r="J1273" s="23"/>
      <c r="K1273" s="220">
        <f t="shared" si="203"/>
        <v>780</v>
      </c>
      <c r="L1273" s="259"/>
      <c r="M1273" s="227"/>
      <c r="N1273" s="23"/>
      <c r="O1273" s="220">
        <f t="shared" si="204"/>
        <v>0</v>
      </c>
      <c r="P1273" s="259"/>
      <c r="Q1273" s="308">
        <f t="shared" si="208"/>
        <v>780</v>
      </c>
      <c r="R1273" s="92">
        <f t="shared" si="206"/>
        <v>0</v>
      </c>
      <c r="S1273" s="92">
        <f t="shared" si="207"/>
        <v>780</v>
      </c>
    </row>
    <row r="1274" spans="2:19" x14ac:dyDescent="0.2">
      <c r="B1274" s="88">
        <f t="shared" si="205"/>
        <v>555</v>
      </c>
      <c r="C1274" s="9"/>
      <c r="D1274" s="9"/>
      <c r="E1274" s="9" t="s">
        <v>110</v>
      </c>
      <c r="F1274" s="33"/>
      <c r="G1274" s="9"/>
      <c r="H1274" s="9" t="s">
        <v>67</v>
      </c>
      <c r="I1274" s="45">
        <f>I1275+I1276+I1277+I1281</f>
        <v>55393</v>
      </c>
      <c r="J1274" s="45">
        <f>J1275+J1276+J1277+J1281</f>
        <v>0</v>
      </c>
      <c r="K1274" s="359">
        <f t="shared" si="203"/>
        <v>55393</v>
      </c>
      <c r="L1274" s="259"/>
      <c r="M1274" s="362">
        <v>0</v>
      </c>
      <c r="N1274" s="45">
        <v>0</v>
      </c>
      <c r="O1274" s="359">
        <f t="shared" si="204"/>
        <v>0</v>
      </c>
      <c r="P1274" s="259"/>
      <c r="Q1274" s="372">
        <f t="shared" si="208"/>
        <v>55393</v>
      </c>
      <c r="R1274" s="105">
        <f t="shared" si="206"/>
        <v>0</v>
      </c>
      <c r="S1274" s="105">
        <f t="shared" si="207"/>
        <v>55393</v>
      </c>
    </row>
    <row r="1275" spans="2:19" x14ac:dyDescent="0.2">
      <c r="B1275" s="88">
        <f t="shared" si="205"/>
        <v>556</v>
      </c>
      <c r="C1275" s="10"/>
      <c r="D1275" s="10"/>
      <c r="E1275" s="10"/>
      <c r="F1275" s="29" t="s">
        <v>172</v>
      </c>
      <c r="G1275" s="10">
        <v>610</v>
      </c>
      <c r="H1275" s="10" t="s">
        <v>143</v>
      </c>
      <c r="I1275" s="27">
        <v>22080</v>
      </c>
      <c r="J1275" s="27"/>
      <c r="K1275" s="250">
        <f t="shared" si="203"/>
        <v>22080</v>
      </c>
      <c r="L1275" s="259"/>
      <c r="M1275" s="315"/>
      <c r="N1275" s="27"/>
      <c r="O1275" s="250">
        <f t="shared" si="204"/>
        <v>0</v>
      </c>
      <c r="P1275" s="259"/>
      <c r="Q1275" s="309">
        <f t="shared" si="208"/>
        <v>22080</v>
      </c>
      <c r="R1275" s="91">
        <f t="shared" si="206"/>
        <v>0</v>
      </c>
      <c r="S1275" s="91">
        <f t="shared" si="207"/>
        <v>22080</v>
      </c>
    </row>
    <row r="1276" spans="2:19" x14ac:dyDescent="0.2">
      <c r="B1276" s="88">
        <f t="shared" si="205"/>
        <v>557</v>
      </c>
      <c r="C1276" s="10"/>
      <c r="D1276" s="10"/>
      <c r="E1276" s="10"/>
      <c r="F1276" s="29" t="s">
        <v>172</v>
      </c>
      <c r="G1276" s="10">
        <v>620</v>
      </c>
      <c r="H1276" s="10" t="s">
        <v>136</v>
      </c>
      <c r="I1276" s="27">
        <v>8266</v>
      </c>
      <c r="J1276" s="27"/>
      <c r="K1276" s="250">
        <f t="shared" si="203"/>
        <v>8266</v>
      </c>
      <c r="L1276" s="259"/>
      <c r="M1276" s="315"/>
      <c r="N1276" s="27"/>
      <c r="O1276" s="250">
        <f t="shared" si="204"/>
        <v>0</v>
      </c>
      <c r="P1276" s="259"/>
      <c r="Q1276" s="309">
        <f t="shared" si="208"/>
        <v>8266</v>
      </c>
      <c r="R1276" s="91">
        <f t="shared" si="206"/>
        <v>0</v>
      </c>
      <c r="S1276" s="91">
        <f t="shared" si="207"/>
        <v>8266</v>
      </c>
    </row>
    <row r="1277" spans="2:19" x14ac:dyDescent="0.2">
      <c r="B1277" s="88">
        <f t="shared" si="205"/>
        <v>558</v>
      </c>
      <c r="C1277" s="10"/>
      <c r="D1277" s="10"/>
      <c r="E1277" s="10"/>
      <c r="F1277" s="29" t="s">
        <v>172</v>
      </c>
      <c r="G1277" s="10">
        <v>630</v>
      </c>
      <c r="H1277" s="10" t="s">
        <v>133</v>
      </c>
      <c r="I1277" s="27">
        <f>SUM(I1278:I1280)</f>
        <v>24555</v>
      </c>
      <c r="J1277" s="27">
        <f>SUM(J1278:J1280)</f>
        <v>0</v>
      </c>
      <c r="K1277" s="250">
        <f t="shared" si="203"/>
        <v>24555</v>
      </c>
      <c r="L1277" s="259"/>
      <c r="M1277" s="315"/>
      <c r="N1277" s="27"/>
      <c r="O1277" s="250">
        <f t="shared" si="204"/>
        <v>0</v>
      </c>
      <c r="P1277" s="259"/>
      <c r="Q1277" s="309">
        <f t="shared" si="208"/>
        <v>24555</v>
      </c>
      <c r="R1277" s="91">
        <f t="shared" si="206"/>
        <v>0</v>
      </c>
      <c r="S1277" s="91">
        <f t="shared" si="207"/>
        <v>24555</v>
      </c>
    </row>
    <row r="1278" spans="2:19" x14ac:dyDescent="0.2">
      <c r="B1278" s="88">
        <f t="shared" si="205"/>
        <v>559</v>
      </c>
      <c r="C1278" s="4"/>
      <c r="D1278" s="4"/>
      <c r="E1278" s="4"/>
      <c r="F1278" s="30" t="s">
        <v>172</v>
      </c>
      <c r="G1278" s="4">
        <v>633</v>
      </c>
      <c r="H1278" s="4" t="s">
        <v>137</v>
      </c>
      <c r="I1278" s="23">
        <v>22405</v>
      </c>
      <c r="J1278" s="23"/>
      <c r="K1278" s="220">
        <f t="shared" si="203"/>
        <v>22405</v>
      </c>
      <c r="L1278" s="259"/>
      <c r="M1278" s="227"/>
      <c r="N1278" s="23"/>
      <c r="O1278" s="220">
        <f t="shared" si="204"/>
        <v>0</v>
      </c>
      <c r="P1278" s="259"/>
      <c r="Q1278" s="308">
        <f t="shared" si="208"/>
        <v>22405</v>
      </c>
      <c r="R1278" s="92">
        <f t="shared" si="206"/>
        <v>0</v>
      </c>
      <c r="S1278" s="92">
        <f t="shared" si="207"/>
        <v>22405</v>
      </c>
    </row>
    <row r="1279" spans="2:19" x14ac:dyDescent="0.2">
      <c r="B1279" s="88">
        <f t="shared" si="205"/>
        <v>560</v>
      </c>
      <c r="C1279" s="4"/>
      <c r="D1279" s="4"/>
      <c r="E1279" s="4"/>
      <c r="F1279" s="30" t="s">
        <v>172</v>
      </c>
      <c r="G1279" s="4">
        <v>635</v>
      </c>
      <c r="H1279" s="4" t="s">
        <v>145</v>
      </c>
      <c r="I1279" s="23">
        <v>1400</v>
      </c>
      <c r="J1279" s="23"/>
      <c r="K1279" s="220">
        <f t="shared" si="203"/>
        <v>1400</v>
      </c>
      <c r="L1279" s="259"/>
      <c r="M1279" s="227"/>
      <c r="N1279" s="23"/>
      <c r="O1279" s="220">
        <f t="shared" si="204"/>
        <v>0</v>
      </c>
      <c r="P1279" s="259"/>
      <c r="Q1279" s="308">
        <f t="shared" si="208"/>
        <v>1400</v>
      </c>
      <c r="R1279" s="92">
        <f t="shared" si="206"/>
        <v>0</v>
      </c>
      <c r="S1279" s="92">
        <f t="shared" si="207"/>
        <v>1400</v>
      </c>
    </row>
    <row r="1280" spans="2:19" x14ac:dyDescent="0.2">
      <c r="B1280" s="88">
        <f t="shared" si="205"/>
        <v>561</v>
      </c>
      <c r="C1280" s="4"/>
      <c r="D1280" s="4"/>
      <c r="E1280" s="4"/>
      <c r="F1280" s="30" t="s">
        <v>172</v>
      </c>
      <c r="G1280" s="4">
        <v>637</v>
      </c>
      <c r="H1280" s="4" t="s">
        <v>134</v>
      </c>
      <c r="I1280" s="23">
        <v>750</v>
      </c>
      <c r="J1280" s="23"/>
      <c r="K1280" s="220">
        <f t="shared" si="203"/>
        <v>750</v>
      </c>
      <c r="L1280" s="259"/>
      <c r="M1280" s="227"/>
      <c r="N1280" s="23"/>
      <c r="O1280" s="220">
        <f t="shared" si="204"/>
        <v>0</v>
      </c>
      <c r="P1280" s="259"/>
      <c r="Q1280" s="308">
        <f t="shared" si="208"/>
        <v>750</v>
      </c>
      <c r="R1280" s="92">
        <f t="shared" si="206"/>
        <v>0</v>
      </c>
      <c r="S1280" s="92">
        <f t="shared" si="207"/>
        <v>750</v>
      </c>
    </row>
    <row r="1281" spans="2:19" x14ac:dyDescent="0.2">
      <c r="B1281" s="88">
        <f t="shared" si="205"/>
        <v>562</v>
      </c>
      <c r="C1281" s="10"/>
      <c r="D1281" s="10"/>
      <c r="E1281" s="10"/>
      <c r="F1281" s="29" t="s">
        <v>172</v>
      </c>
      <c r="G1281" s="10">
        <v>640</v>
      </c>
      <c r="H1281" s="10" t="s">
        <v>141</v>
      </c>
      <c r="I1281" s="27">
        <v>492</v>
      </c>
      <c r="J1281" s="27"/>
      <c r="K1281" s="250">
        <f t="shared" si="203"/>
        <v>492</v>
      </c>
      <c r="L1281" s="259"/>
      <c r="M1281" s="315"/>
      <c r="N1281" s="27"/>
      <c r="O1281" s="250">
        <f t="shared" si="204"/>
        <v>0</v>
      </c>
      <c r="P1281" s="259"/>
      <c r="Q1281" s="309">
        <f t="shared" si="208"/>
        <v>492</v>
      </c>
      <c r="R1281" s="91">
        <f t="shared" si="206"/>
        <v>0</v>
      </c>
      <c r="S1281" s="91">
        <f t="shared" si="207"/>
        <v>492</v>
      </c>
    </row>
    <row r="1282" spans="2:19" x14ac:dyDescent="0.2">
      <c r="B1282" s="88">
        <f t="shared" si="205"/>
        <v>563</v>
      </c>
      <c r="C1282" s="9"/>
      <c r="D1282" s="9"/>
      <c r="E1282" s="9" t="s">
        <v>106</v>
      </c>
      <c r="F1282" s="33"/>
      <c r="G1282" s="9"/>
      <c r="H1282" s="9" t="s">
        <v>73</v>
      </c>
      <c r="I1282" s="45">
        <f>I1283+I1284+I1285</f>
        <v>66164</v>
      </c>
      <c r="J1282" s="45">
        <f>J1283+J1284+J1285</f>
        <v>0</v>
      </c>
      <c r="K1282" s="359">
        <f t="shared" si="203"/>
        <v>66164</v>
      </c>
      <c r="L1282" s="259"/>
      <c r="M1282" s="362">
        <v>0</v>
      </c>
      <c r="N1282" s="45">
        <v>0</v>
      </c>
      <c r="O1282" s="359">
        <f t="shared" si="204"/>
        <v>0</v>
      </c>
      <c r="P1282" s="259"/>
      <c r="Q1282" s="372">
        <f t="shared" si="208"/>
        <v>66164</v>
      </c>
      <c r="R1282" s="105">
        <f t="shared" si="206"/>
        <v>0</v>
      </c>
      <c r="S1282" s="105">
        <f t="shared" si="207"/>
        <v>66164</v>
      </c>
    </row>
    <row r="1283" spans="2:19" x14ac:dyDescent="0.2">
      <c r="B1283" s="88">
        <f t="shared" si="205"/>
        <v>564</v>
      </c>
      <c r="C1283" s="10"/>
      <c r="D1283" s="10"/>
      <c r="E1283" s="10"/>
      <c r="F1283" s="29" t="s">
        <v>172</v>
      </c>
      <c r="G1283" s="10">
        <v>610</v>
      </c>
      <c r="H1283" s="10" t="s">
        <v>143</v>
      </c>
      <c r="I1283" s="27">
        <v>25835</v>
      </c>
      <c r="J1283" s="27"/>
      <c r="K1283" s="250">
        <f t="shared" si="203"/>
        <v>25835</v>
      </c>
      <c r="L1283" s="259"/>
      <c r="M1283" s="315"/>
      <c r="N1283" s="27"/>
      <c r="O1283" s="250">
        <f t="shared" si="204"/>
        <v>0</v>
      </c>
      <c r="P1283" s="259"/>
      <c r="Q1283" s="309">
        <f t="shared" si="208"/>
        <v>25835</v>
      </c>
      <c r="R1283" s="91">
        <f t="shared" si="206"/>
        <v>0</v>
      </c>
      <c r="S1283" s="91">
        <f t="shared" si="207"/>
        <v>25835</v>
      </c>
    </row>
    <row r="1284" spans="2:19" x14ac:dyDescent="0.2">
      <c r="B1284" s="88">
        <f t="shared" si="205"/>
        <v>565</v>
      </c>
      <c r="C1284" s="10"/>
      <c r="D1284" s="10"/>
      <c r="E1284" s="10"/>
      <c r="F1284" s="29" t="s">
        <v>172</v>
      </c>
      <c r="G1284" s="10">
        <v>620</v>
      </c>
      <c r="H1284" s="10" t="s">
        <v>136</v>
      </c>
      <c r="I1284" s="27">
        <v>9474</v>
      </c>
      <c r="J1284" s="27"/>
      <c r="K1284" s="250">
        <f t="shared" si="203"/>
        <v>9474</v>
      </c>
      <c r="L1284" s="259"/>
      <c r="M1284" s="315"/>
      <c r="N1284" s="27"/>
      <c r="O1284" s="250">
        <f t="shared" si="204"/>
        <v>0</v>
      </c>
      <c r="P1284" s="259"/>
      <c r="Q1284" s="309">
        <f t="shared" si="208"/>
        <v>9474</v>
      </c>
      <c r="R1284" s="91">
        <f t="shared" si="206"/>
        <v>0</v>
      </c>
      <c r="S1284" s="91">
        <f t="shared" si="207"/>
        <v>9474</v>
      </c>
    </row>
    <row r="1285" spans="2:19" x14ac:dyDescent="0.2">
      <c r="B1285" s="88">
        <f t="shared" si="205"/>
        <v>566</v>
      </c>
      <c r="C1285" s="10"/>
      <c r="D1285" s="10"/>
      <c r="E1285" s="10"/>
      <c r="F1285" s="29" t="s">
        <v>172</v>
      </c>
      <c r="G1285" s="10">
        <v>630</v>
      </c>
      <c r="H1285" s="10" t="s">
        <v>133</v>
      </c>
      <c r="I1285" s="27">
        <f>SUM(I1286:I1288)</f>
        <v>30855</v>
      </c>
      <c r="J1285" s="27">
        <f>SUM(J1286:J1288)</f>
        <v>0</v>
      </c>
      <c r="K1285" s="250">
        <f t="shared" si="203"/>
        <v>30855</v>
      </c>
      <c r="L1285" s="259"/>
      <c r="M1285" s="315"/>
      <c r="N1285" s="27"/>
      <c r="O1285" s="250">
        <f t="shared" si="204"/>
        <v>0</v>
      </c>
      <c r="P1285" s="259"/>
      <c r="Q1285" s="309">
        <f t="shared" si="208"/>
        <v>30855</v>
      </c>
      <c r="R1285" s="91">
        <f t="shared" si="206"/>
        <v>0</v>
      </c>
      <c r="S1285" s="91">
        <f t="shared" si="207"/>
        <v>30855</v>
      </c>
    </row>
    <row r="1286" spans="2:19" x14ac:dyDescent="0.2">
      <c r="B1286" s="88">
        <f t="shared" si="205"/>
        <v>567</v>
      </c>
      <c r="C1286" s="4"/>
      <c r="D1286" s="4"/>
      <c r="E1286" s="4"/>
      <c r="F1286" s="30" t="s">
        <v>172</v>
      </c>
      <c r="G1286" s="4">
        <v>633</v>
      </c>
      <c r="H1286" s="4" t="s">
        <v>137</v>
      </c>
      <c r="I1286" s="23">
        <v>27560</v>
      </c>
      <c r="J1286" s="23">
        <v>89</v>
      </c>
      <c r="K1286" s="220">
        <f t="shared" si="203"/>
        <v>27649</v>
      </c>
      <c r="L1286" s="259"/>
      <c r="M1286" s="227"/>
      <c r="N1286" s="23"/>
      <c r="O1286" s="220">
        <f t="shared" si="204"/>
        <v>0</v>
      </c>
      <c r="P1286" s="259"/>
      <c r="Q1286" s="308">
        <f t="shared" si="208"/>
        <v>27560</v>
      </c>
      <c r="R1286" s="92">
        <f t="shared" si="206"/>
        <v>89</v>
      </c>
      <c r="S1286" s="92">
        <f t="shared" si="207"/>
        <v>27649</v>
      </c>
    </row>
    <row r="1287" spans="2:19" x14ac:dyDescent="0.2">
      <c r="B1287" s="88">
        <f t="shared" si="205"/>
        <v>568</v>
      </c>
      <c r="C1287" s="4"/>
      <c r="D1287" s="4"/>
      <c r="E1287" s="4"/>
      <c r="F1287" s="30" t="s">
        <v>172</v>
      </c>
      <c r="G1287" s="4">
        <v>635</v>
      </c>
      <c r="H1287" s="4" t="s">
        <v>145</v>
      </c>
      <c r="I1287" s="23">
        <v>2300</v>
      </c>
      <c r="J1287" s="23">
        <v>-89</v>
      </c>
      <c r="K1287" s="220">
        <f t="shared" si="203"/>
        <v>2211</v>
      </c>
      <c r="L1287" s="259"/>
      <c r="M1287" s="227"/>
      <c r="N1287" s="23"/>
      <c r="O1287" s="220">
        <f t="shared" si="204"/>
        <v>0</v>
      </c>
      <c r="P1287" s="259"/>
      <c r="Q1287" s="308">
        <f t="shared" si="208"/>
        <v>2300</v>
      </c>
      <c r="R1287" s="92">
        <f t="shared" si="206"/>
        <v>-89</v>
      </c>
      <c r="S1287" s="92">
        <f t="shared" si="207"/>
        <v>2211</v>
      </c>
    </row>
    <row r="1288" spans="2:19" x14ac:dyDescent="0.2">
      <c r="B1288" s="88">
        <f t="shared" si="205"/>
        <v>569</v>
      </c>
      <c r="C1288" s="4"/>
      <c r="D1288" s="4"/>
      <c r="E1288" s="4"/>
      <c r="F1288" s="30" t="s">
        <v>172</v>
      </c>
      <c r="G1288" s="4">
        <v>637</v>
      </c>
      <c r="H1288" s="4" t="s">
        <v>134</v>
      </c>
      <c r="I1288" s="23">
        <v>995</v>
      </c>
      <c r="J1288" s="23"/>
      <c r="K1288" s="220">
        <f t="shared" si="203"/>
        <v>995</v>
      </c>
      <c r="L1288" s="259"/>
      <c r="M1288" s="227"/>
      <c r="N1288" s="23"/>
      <c r="O1288" s="220">
        <f t="shared" si="204"/>
        <v>0</v>
      </c>
      <c r="P1288" s="259"/>
      <c r="Q1288" s="308">
        <f t="shared" si="208"/>
        <v>995</v>
      </c>
      <c r="R1288" s="92">
        <f t="shared" si="206"/>
        <v>0</v>
      </c>
      <c r="S1288" s="92">
        <f t="shared" si="207"/>
        <v>995</v>
      </c>
    </row>
    <row r="1289" spans="2:19" x14ac:dyDescent="0.2">
      <c r="B1289" s="88">
        <f t="shared" si="205"/>
        <v>570</v>
      </c>
      <c r="C1289" s="9"/>
      <c r="D1289" s="9"/>
      <c r="E1289" s="9" t="s">
        <v>109</v>
      </c>
      <c r="F1289" s="33"/>
      <c r="G1289" s="9"/>
      <c r="H1289" s="9" t="s">
        <v>74</v>
      </c>
      <c r="I1289" s="45">
        <f>I1290+I1291+I1292</f>
        <v>44928</v>
      </c>
      <c r="J1289" s="45">
        <f>J1290+J1291+J1292</f>
        <v>0</v>
      </c>
      <c r="K1289" s="359">
        <f t="shared" si="203"/>
        <v>44928</v>
      </c>
      <c r="L1289" s="259"/>
      <c r="M1289" s="362">
        <v>0</v>
      </c>
      <c r="N1289" s="45">
        <v>0</v>
      </c>
      <c r="O1289" s="359">
        <f t="shared" si="204"/>
        <v>0</v>
      </c>
      <c r="P1289" s="259"/>
      <c r="Q1289" s="372">
        <f t="shared" si="208"/>
        <v>44928</v>
      </c>
      <c r="R1289" s="105">
        <f t="shared" si="206"/>
        <v>0</v>
      </c>
      <c r="S1289" s="105">
        <f t="shared" si="207"/>
        <v>44928</v>
      </c>
    </row>
    <row r="1290" spans="2:19" x14ac:dyDescent="0.2">
      <c r="B1290" s="88">
        <f t="shared" si="205"/>
        <v>571</v>
      </c>
      <c r="C1290" s="10"/>
      <c r="D1290" s="10"/>
      <c r="E1290" s="10"/>
      <c r="F1290" s="29" t="s">
        <v>172</v>
      </c>
      <c r="G1290" s="10">
        <v>610</v>
      </c>
      <c r="H1290" s="10" t="s">
        <v>143</v>
      </c>
      <c r="I1290" s="27">
        <v>19942</v>
      </c>
      <c r="J1290" s="27"/>
      <c r="K1290" s="250">
        <f t="shared" si="203"/>
        <v>19942</v>
      </c>
      <c r="L1290" s="259"/>
      <c r="M1290" s="315"/>
      <c r="N1290" s="27"/>
      <c r="O1290" s="250">
        <f t="shared" si="204"/>
        <v>0</v>
      </c>
      <c r="P1290" s="259"/>
      <c r="Q1290" s="309">
        <f t="shared" si="208"/>
        <v>19942</v>
      </c>
      <c r="R1290" s="91">
        <f t="shared" si="206"/>
        <v>0</v>
      </c>
      <c r="S1290" s="91">
        <f t="shared" si="207"/>
        <v>19942</v>
      </c>
    </row>
    <row r="1291" spans="2:19" x14ac:dyDescent="0.2">
      <c r="B1291" s="88">
        <f t="shared" si="205"/>
        <v>572</v>
      </c>
      <c r="C1291" s="10"/>
      <c r="D1291" s="10"/>
      <c r="E1291" s="10"/>
      <c r="F1291" s="29" t="s">
        <v>172</v>
      </c>
      <c r="G1291" s="10">
        <v>620</v>
      </c>
      <c r="H1291" s="10" t="s">
        <v>136</v>
      </c>
      <c r="I1291" s="27">
        <v>7296</v>
      </c>
      <c r="J1291" s="27"/>
      <c r="K1291" s="250">
        <f t="shared" si="203"/>
        <v>7296</v>
      </c>
      <c r="L1291" s="259"/>
      <c r="M1291" s="315"/>
      <c r="N1291" s="27"/>
      <c r="O1291" s="250">
        <f t="shared" si="204"/>
        <v>0</v>
      </c>
      <c r="P1291" s="259"/>
      <c r="Q1291" s="309">
        <f t="shared" si="208"/>
        <v>7296</v>
      </c>
      <c r="R1291" s="91">
        <f t="shared" si="206"/>
        <v>0</v>
      </c>
      <c r="S1291" s="91">
        <f t="shared" si="207"/>
        <v>7296</v>
      </c>
    </row>
    <row r="1292" spans="2:19" x14ac:dyDescent="0.2">
      <c r="B1292" s="88">
        <f t="shared" si="205"/>
        <v>573</v>
      </c>
      <c r="C1292" s="10"/>
      <c r="D1292" s="10"/>
      <c r="E1292" s="10"/>
      <c r="F1292" s="29" t="s">
        <v>172</v>
      </c>
      <c r="G1292" s="10">
        <v>630</v>
      </c>
      <c r="H1292" s="10" t="s">
        <v>133</v>
      </c>
      <c r="I1292" s="27">
        <v>17690</v>
      </c>
      <c r="J1292" s="27"/>
      <c r="K1292" s="250">
        <f t="shared" si="203"/>
        <v>17690</v>
      </c>
      <c r="L1292" s="259"/>
      <c r="M1292" s="315"/>
      <c r="N1292" s="27"/>
      <c r="O1292" s="250">
        <f t="shared" si="204"/>
        <v>0</v>
      </c>
      <c r="P1292" s="259"/>
      <c r="Q1292" s="309">
        <f t="shared" si="208"/>
        <v>17690</v>
      </c>
      <c r="R1292" s="91">
        <f t="shared" si="206"/>
        <v>0</v>
      </c>
      <c r="S1292" s="91">
        <f t="shared" si="207"/>
        <v>17690</v>
      </c>
    </row>
    <row r="1293" spans="2:19" x14ac:dyDescent="0.2">
      <c r="B1293" s="88">
        <f t="shared" si="205"/>
        <v>574</v>
      </c>
      <c r="C1293" s="4"/>
      <c r="D1293" s="4"/>
      <c r="E1293" s="4"/>
      <c r="F1293" s="30" t="s">
        <v>172</v>
      </c>
      <c r="G1293" s="4">
        <v>633</v>
      </c>
      <c r="H1293" s="4" t="s">
        <v>137</v>
      </c>
      <c r="I1293" s="23">
        <v>15750</v>
      </c>
      <c r="J1293" s="23"/>
      <c r="K1293" s="220">
        <f t="shared" si="203"/>
        <v>15750</v>
      </c>
      <c r="L1293" s="259"/>
      <c r="M1293" s="227"/>
      <c r="N1293" s="23"/>
      <c r="O1293" s="220">
        <f t="shared" si="204"/>
        <v>0</v>
      </c>
      <c r="P1293" s="259"/>
      <c r="Q1293" s="308">
        <f t="shared" si="208"/>
        <v>15750</v>
      </c>
      <c r="R1293" s="92">
        <f t="shared" si="206"/>
        <v>0</v>
      </c>
      <c r="S1293" s="92">
        <f t="shared" si="207"/>
        <v>15750</v>
      </c>
    </row>
    <row r="1294" spans="2:19" x14ac:dyDescent="0.2">
      <c r="B1294" s="88">
        <f t="shared" si="205"/>
        <v>575</v>
      </c>
      <c r="C1294" s="4"/>
      <c r="D1294" s="4"/>
      <c r="E1294" s="4"/>
      <c r="F1294" s="30" t="s">
        <v>172</v>
      </c>
      <c r="G1294" s="4">
        <v>635</v>
      </c>
      <c r="H1294" s="4" t="s">
        <v>145</v>
      </c>
      <c r="I1294" s="23">
        <v>1400</v>
      </c>
      <c r="J1294" s="23"/>
      <c r="K1294" s="220">
        <f t="shared" si="203"/>
        <v>1400</v>
      </c>
      <c r="L1294" s="259"/>
      <c r="M1294" s="227"/>
      <c r="N1294" s="23"/>
      <c r="O1294" s="220">
        <f t="shared" si="204"/>
        <v>0</v>
      </c>
      <c r="P1294" s="259"/>
      <c r="Q1294" s="308">
        <f t="shared" si="208"/>
        <v>1400</v>
      </c>
      <c r="R1294" s="92">
        <f t="shared" si="206"/>
        <v>0</v>
      </c>
      <c r="S1294" s="92">
        <f t="shared" si="207"/>
        <v>1400</v>
      </c>
    </row>
    <row r="1295" spans="2:19" x14ac:dyDescent="0.2">
      <c r="B1295" s="88">
        <f t="shared" si="205"/>
        <v>576</v>
      </c>
      <c r="C1295" s="4"/>
      <c r="D1295" s="4"/>
      <c r="E1295" s="4"/>
      <c r="F1295" s="30" t="s">
        <v>172</v>
      </c>
      <c r="G1295" s="4">
        <v>637</v>
      </c>
      <c r="H1295" s="4" t="s">
        <v>134</v>
      </c>
      <c r="I1295" s="23">
        <v>540</v>
      </c>
      <c r="J1295" s="23"/>
      <c r="K1295" s="220">
        <f t="shared" si="203"/>
        <v>540</v>
      </c>
      <c r="L1295" s="259"/>
      <c r="M1295" s="227"/>
      <c r="N1295" s="23"/>
      <c r="O1295" s="220">
        <f t="shared" si="204"/>
        <v>0</v>
      </c>
      <c r="P1295" s="259"/>
      <c r="Q1295" s="308">
        <f t="shared" si="208"/>
        <v>540</v>
      </c>
      <c r="R1295" s="92">
        <f t="shared" si="206"/>
        <v>0</v>
      </c>
      <c r="S1295" s="92">
        <f t="shared" si="207"/>
        <v>540</v>
      </c>
    </row>
    <row r="1296" spans="2:19" x14ac:dyDescent="0.2">
      <c r="B1296" s="88">
        <f t="shared" si="205"/>
        <v>577</v>
      </c>
      <c r="C1296" s="9"/>
      <c r="D1296" s="9"/>
      <c r="E1296" s="9" t="s">
        <v>102</v>
      </c>
      <c r="F1296" s="33"/>
      <c r="G1296" s="9"/>
      <c r="H1296" s="9" t="s">
        <v>103</v>
      </c>
      <c r="I1296" s="45">
        <f>I1297+I1298+I1299</f>
        <v>29255</v>
      </c>
      <c r="J1296" s="45">
        <f>J1297+J1298+J1299</f>
        <v>0</v>
      </c>
      <c r="K1296" s="359">
        <f t="shared" si="203"/>
        <v>29255</v>
      </c>
      <c r="L1296" s="259"/>
      <c r="M1296" s="362">
        <v>0</v>
      </c>
      <c r="N1296" s="45">
        <v>0</v>
      </c>
      <c r="O1296" s="359">
        <f t="shared" si="204"/>
        <v>0</v>
      </c>
      <c r="P1296" s="259"/>
      <c r="Q1296" s="372">
        <f t="shared" si="208"/>
        <v>29255</v>
      </c>
      <c r="R1296" s="105">
        <f t="shared" si="206"/>
        <v>0</v>
      </c>
      <c r="S1296" s="105">
        <f t="shared" si="207"/>
        <v>29255</v>
      </c>
    </row>
    <row r="1297" spans="2:19" x14ac:dyDescent="0.2">
      <c r="B1297" s="88">
        <f t="shared" si="205"/>
        <v>578</v>
      </c>
      <c r="C1297" s="10"/>
      <c r="D1297" s="10"/>
      <c r="E1297" s="10"/>
      <c r="F1297" s="29" t="s">
        <v>172</v>
      </c>
      <c r="G1297" s="10">
        <v>610</v>
      </c>
      <c r="H1297" s="10" t="s">
        <v>143</v>
      </c>
      <c r="I1297" s="27">
        <v>10987</v>
      </c>
      <c r="J1297" s="27"/>
      <c r="K1297" s="250">
        <f t="shared" si="203"/>
        <v>10987</v>
      </c>
      <c r="L1297" s="259"/>
      <c r="M1297" s="315"/>
      <c r="N1297" s="27"/>
      <c r="O1297" s="250">
        <f t="shared" si="204"/>
        <v>0</v>
      </c>
      <c r="P1297" s="259"/>
      <c r="Q1297" s="309">
        <f t="shared" si="208"/>
        <v>10987</v>
      </c>
      <c r="R1297" s="91">
        <f t="shared" si="206"/>
        <v>0</v>
      </c>
      <c r="S1297" s="91">
        <f t="shared" si="207"/>
        <v>10987</v>
      </c>
    </row>
    <row r="1298" spans="2:19" x14ac:dyDescent="0.2">
      <c r="B1298" s="88">
        <f t="shared" si="205"/>
        <v>579</v>
      </c>
      <c r="C1298" s="10"/>
      <c r="D1298" s="10"/>
      <c r="E1298" s="10"/>
      <c r="F1298" s="29" t="s">
        <v>172</v>
      </c>
      <c r="G1298" s="10">
        <v>620</v>
      </c>
      <c r="H1298" s="10" t="s">
        <v>136</v>
      </c>
      <c r="I1298" s="27">
        <v>3973</v>
      </c>
      <c r="J1298" s="27"/>
      <c r="K1298" s="250">
        <f t="shared" si="203"/>
        <v>3973</v>
      </c>
      <c r="L1298" s="259"/>
      <c r="M1298" s="315"/>
      <c r="N1298" s="27"/>
      <c r="O1298" s="250">
        <f t="shared" si="204"/>
        <v>0</v>
      </c>
      <c r="P1298" s="259"/>
      <c r="Q1298" s="309">
        <f t="shared" si="208"/>
        <v>3973</v>
      </c>
      <c r="R1298" s="91">
        <f t="shared" si="206"/>
        <v>0</v>
      </c>
      <c r="S1298" s="91">
        <f t="shared" si="207"/>
        <v>3973</v>
      </c>
    </row>
    <row r="1299" spans="2:19" x14ac:dyDescent="0.2">
      <c r="B1299" s="88">
        <f t="shared" si="205"/>
        <v>580</v>
      </c>
      <c r="C1299" s="10"/>
      <c r="D1299" s="10"/>
      <c r="E1299" s="10"/>
      <c r="F1299" s="29" t="s">
        <v>172</v>
      </c>
      <c r="G1299" s="10">
        <v>630</v>
      </c>
      <c r="H1299" s="10" t="s">
        <v>133</v>
      </c>
      <c r="I1299" s="27">
        <f>SUM(I1300:I1302)</f>
        <v>14295</v>
      </c>
      <c r="J1299" s="27">
        <f>SUM(J1300:J1302)</f>
        <v>0</v>
      </c>
      <c r="K1299" s="250">
        <f t="shared" si="203"/>
        <v>14295</v>
      </c>
      <c r="L1299" s="259"/>
      <c r="M1299" s="315"/>
      <c r="N1299" s="27"/>
      <c r="O1299" s="250">
        <f t="shared" si="204"/>
        <v>0</v>
      </c>
      <c r="P1299" s="259"/>
      <c r="Q1299" s="309">
        <f t="shared" si="208"/>
        <v>14295</v>
      </c>
      <c r="R1299" s="91">
        <f t="shared" si="206"/>
        <v>0</v>
      </c>
      <c r="S1299" s="91">
        <f t="shared" si="207"/>
        <v>14295</v>
      </c>
    </row>
    <row r="1300" spans="2:19" x14ac:dyDescent="0.2">
      <c r="B1300" s="88">
        <f t="shared" si="205"/>
        <v>581</v>
      </c>
      <c r="C1300" s="4"/>
      <c r="D1300" s="4"/>
      <c r="E1300" s="4"/>
      <c r="F1300" s="30" t="s">
        <v>172</v>
      </c>
      <c r="G1300" s="4">
        <v>633</v>
      </c>
      <c r="H1300" s="4" t="s">
        <v>137</v>
      </c>
      <c r="I1300" s="23">
        <v>12250</v>
      </c>
      <c r="J1300" s="23"/>
      <c r="K1300" s="220">
        <f t="shared" si="203"/>
        <v>12250</v>
      </c>
      <c r="L1300" s="259"/>
      <c r="M1300" s="227"/>
      <c r="N1300" s="23"/>
      <c r="O1300" s="220">
        <f t="shared" si="204"/>
        <v>0</v>
      </c>
      <c r="P1300" s="259"/>
      <c r="Q1300" s="308">
        <f t="shared" si="208"/>
        <v>12250</v>
      </c>
      <c r="R1300" s="92">
        <f t="shared" si="206"/>
        <v>0</v>
      </c>
      <c r="S1300" s="92">
        <f t="shared" si="207"/>
        <v>12250</v>
      </c>
    </row>
    <row r="1301" spans="2:19" x14ac:dyDescent="0.2">
      <c r="B1301" s="88">
        <f t="shared" si="205"/>
        <v>582</v>
      </c>
      <c r="C1301" s="4"/>
      <c r="D1301" s="4"/>
      <c r="E1301" s="4"/>
      <c r="F1301" s="30" t="s">
        <v>172</v>
      </c>
      <c r="G1301" s="4">
        <v>635</v>
      </c>
      <c r="H1301" s="4" t="s">
        <v>145</v>
      </c>
      <c r="I1301" s="23">
        <v>1500</v>
      </c>
      <c r="J1301" s="23"/>
      <c r="K1301" s="220">
        <f t="shared" si="203"/>
        <v>1500</v>
      </c>
      <c r="L1301" s="259"/>
      <c r="M1301" s="227"/>
      <c r="N1301" s="23"/>
      <c r="O1301" s="220">
        <f t="shared" si="204"/>
        <v>0</v>
      </c>
      <c r="P1301" s="259"/>
      <c r="Q1301" s="308">
        <f t="shared" si="208"/>
        <v>1500</v>
      </c>
      <c r="R1301" s="92">
        <f t="shared" si="206"/>
        <v>0</v>
      </c>
      <c r="S1301" s="92">
        <f t="shared" si="207"/>
        <v>1500</v>
      </c>
    </row>
    <row r="1302" spans="2:19" x14ac:dyDescent="0.2">
      <c r="B1302" s="88">
        <f t="shared" si="205"/>
        <v>583</v>
      </c>
      <c r="C1302" s="4"/>
      <c r="D1302" s="4"/>
      <c r="E1302" s="4"/>
      <c r="F1302" s="30" t="s">
        <v>172</v>
      </c>
      <c r="G1302" s="4">
        <v>637</v>
      </c>
      <c r="H1302" s="4" t="s">
        <v>134</v>
      </c>
      <c r="I1302" s="23">
        <v>545</v>
      </c>
      <c r="J1302" s="23"/>
      <c r="K1302" s="220">
        <f t="shared" si="203"/>
        <v>545</v>
      </c>
      <c r="L1302" s="259"/>
      <c r="M1302" s="227"/>
      <c r="N1302" s="23"/>
      <c r="O1302" s="220">
        <f t="shared" si="204"/>
        <v>0</v>
      </c>
      <c r="P1302" s="259"/>
      <c r="Q1302" s="308">
        <f t="shared" si="208"/>
        <v>545</v>
      </c>
      <c r="R1302" s="92">
        <f t="shared" si="206"/>
        <v>0</v>
      </c>
      <c r="S1302" s="92">
        <f t="shared" si="207"/>
        <v>545</v>
      </c>
    </row>
    <row r="1303" spans="2:19" x14ac:dyDescent="0.2">
      <c r="B1303" s="88">
        <f t="shared" si="205"/>
        <v>584</v>
      </c>
      <c r="C1303" s="9"/>
      <c r="D1303" s="9"/>
      <c r="E1303" s="9" t="s">
        <v>94</v>
      </c>
      <c r="F1303" s="33"/>
      <c r="G1303" s="9"/>
      <c r="H1303" s="9" t="s">
        <v>212</v>
      </c>
      <c r="I1303" s="45">
        <f>I1304+I1305+I1306</f>
        <v>45888</v>
      </c>
      <c r="J1303" s="45">
        <f>J1304+J1305+J1306</f>
        <v>0</v>
      </c>
      <c r="K1303" s="359">
        <f t="shared" si="203"/>
        <v>45888</v>
      </c>
      <c r="L1303" s="259"/>
      <c r="M1303" s="362">
        <v>0</v>
      </c>
      <c r="N1303" s="45">
        <v>0</v>
      </c>
      <c r="O1303" s="359">
        <f t="shared" si="204"/>
        <v>0</v>
      </c>
      <c r="P1303" s="259"/>
      <c r="Q1303" s="372">
        <f t="shared" si="208"/>
        <v>45888</v>
      </c>
      <c r="R1303" s="105">
        <f t="shared" si="206"/>
        <v>0</v>
      </c>
      <c r="S1303" s="105">
        <f t="shared" si="207"/>
        <v>45888</v>
      </c>
    </row>
    <row r="1304" spans="2:19" x14ac:dyDescent="0.2">
      <c r="B1304" s="88">
        <f t="shared" si="205"/>
        <v>585</v>
      </c>
      <c r="C1304" s="10"/>
      <c r="D1304" s="10"/>
      <c r="E1304" s="10"/>
      <c r="F1304" s="29" t="s">
        <v>172</v>
      </c>
      <c r="G1304" s="10">
        <v>610</v>
      </c>
      <c r="H1304" s="10" t="s">
        <v>143</v>
      </c>
      <c r="I1304" s="27">
        <v>16846</v>
      </c>
      <c r="J1304" s="27"/>
      <c r="K1304" s="250">
        <f t="shared" si="203"/>
        <v>16846</v>
      </c>
      <c r="L1304" s="259"/>
      <c r="M1304" s="315"/>
      <c r="N1304" s="27"/>
      <c r="O1304" s="250">
        <f t="shared" si="204"/>
        <v>0</v>
      </c>
      <c r="P1304" s="259"/>
      <c r="Q1304" s="309">
        <f t="shared" si="208"/>
        <v>16846</v>
      </c>
      <c r="R1304" s="91">
        <f t="shared" si="206"/>
        <v>0</v>
      </c>
      <c r="S1304" s="91">
        <f t="shared" si="207"/>
        <v>16846</v>
      </c>
    </row>
    <row r="1305" spans="2:19" x14ac:dyDescent="0.2">
      <c r="B1305" s="88">
        <f t="shared" si="205"/>
        <v>586</v>
      </c>
      <c r="C1305" s="10"/>
      <c r="D1305" s="10"/>
      <c r="E1305" s="10"/>
      <c r="F1305" s="29" t="s">
        <v>172</v>
      </c>
      <c r="G1305" s="10">
        <v>620</v>
      </c>
      <c r="H1305" s="10" t="s">
        <v>136</v>
      </c>
      <c r="I1305" s="27">
        <v>6152</v>
      </c>
      <c r="J1305" s="27"/>
      <c r="K1305" s="250">
        <f t="shared" si="203"/>
        <v>6152</v>
      </c>
      <c r="L1305" s="259"/>
      <c r="M1305" s="315"/>
      <c r="N1305" s="27"/>
      <c r="O1305" s="250">
        <f t="shared" si="204"/>
        <v>0</v>
      </c>
      <c r="P1305" s="259"/>
      <c r="Q1305" s="309">
        <f t="shared" si="208"/>
        <v>6152</v>
      </c>
      <c r="R1305" s="91">
        <f t="shared" si="206"/>
        <v>0</v>
      </c>
      <c r="S1305" s="91">
        <f t="shared" si="207"/>
        <v>6152</v>
      </c>
    </row>
    <row r="1306" spans="2:19" x14ac:dyDescent="0.2">
      <c r="B1306" s="88">
        <f t="shared" si="205"/>
        <v>587</v>
      </c>
      <c r="C1306" s="10"/>
      <c r="D1306" s="10"/>
      <c r="E1306" s="10"/>
      <c r="F1306" s="29" t="s">
        <v>172</v>
      </c>
      <c r="G1306" s="10">
        <v>630</v>
      </c>
      <c r="H1306" s="10" t="s">
        <v>133</v>
      </c>
      <c r="I1306" s="27">
        <f>SUM(I1307:I1309)</f>
        <v>22890</v>
      </c>
      <c r="J1306" s="27">
        <f>SUM(J1307:J1309)</f>
        <v>0</v>
      </c>
      <c r="K1306" s="250">
        <f t="shared" si="203"/>
        <v>22890</v>
      </c>
      <c r="L1306" s="259"/>
      <c r="M1306" s="315"/>
      <c r="N1306" s="27"/>
      <c r="O1306" s="250">
        <f t="shared" si="204"/>
        <v>0</v>
      </c>
      <c r="P1306" s="259"/>
      <c r="Q1306" s="309">
        <f t="shared" si="208"/>
        <v>22890</v>
      </c>
      <c r="R1306" s="91">
        <f t="shared" si="206"/>
        <v>0</v>
      </c>
      <c r="S1306" s="91">
        <f t="shared" si="207"/>
        <v>22890</v>
      </c>
    </row>
    <row r="1307" spans="2:19" x14ac:dyDescent="0.2">
      <c r="B1307" s="88">
        <f t="shared" si="205"/>
        <v>588</v>
      </c>
      <c r="C1307" s="4"/>
      <c r="D1307" s="4"/>
      <c r="E1307" s="4"/>
      <c r="F1307" s="30" t="s">
        <v>172</v>
      </c>
      <c r="G1307" s="4">
        <v>633</v>
      </c>
      <c r="H1307" s="4" t="s">
        <v>137</v>
      </c>
      <c r="I1307" s="23">
        <v>21140</v>
      </c>
      <c r="J1307" s="23"/>
      <c r="K1307" s="220">
        <f t="shared" si="203"/>
        <v>21140</v>
      </c>
      <c r="L1307" s="259"/>
      <c r="M1307" s="227"/>
      <c r="N1307" s="23"/>
      <c r="O1307" s="220">
        <f t="shared" si="204"/>
        <v>0</v>
      </c>
      <c r="P1307" s="259"/>
      <c r="Q1307" s="308">
        <f t="shared" si="208"/>
        <v>21140</v>
      </c>
      <c r="R1307" s="92">
        <f t="shared" si="206"/>
        <v>0</v>
      </c>
      <c r="S1307" s="92">
        <f t="shared" si="207"/>
        <v>21140</v>
      </c>
    </row>
    <row r="1308" spans="2:19" x14ac:dyDescent="0.2">
      <c r="B1308" s="88">
        <f t="shared" si="205"/>
        <v>589</v>
      </c>
      <c r="C1308" s="4"/>
      <c r="D1308" s="4"/>
      <c r="E1308" s="4"/>
      <c r="F1308" s="30" t="s">
        <v>172</v>
      </c>
      <c r="G1308" s="4">
        <v>635</v>
      </c>
      <c r="H1308" s="4" t="s">
        <v>145</v>
      </c>
      <c r="I1308" s="23">
        <v>1300</v>
      </c>
      <c r="J1308" s="23"/>
      <c r="K1308" s="220">
        <f t="shared" si="203"/>
        <v>1300</v>
      </c>
      <c r="L1308" s="259"/>
      <c r="M1308" s="227"/>
      <c r="N1308" s="23"/>
      <c r="O1308" s="220">
        <f t="shared" si="204"/>
        <v>0</v>
      </c>
      <c r="P1308" s="259"/>
      <c r="Q1308" s="308">
        <f t="shared" si="208"/>
        <v>1300</v>
      </c>
      <c r="R1308" s="92">
        <f t="shared" si="206"/>
        <v>0</v>
      </c>
      <c r="S1308" s="92">
        <f t="shared" si="207"/>
        <v>1300</v>
      </c>
    </row>
    <row r="1309" spans="2:19" x14ac:dyDescent="0.2">
      <c r="B1309" s="88">
        <f t="shared" si="205"/>
        <v>590</v>
      </c>
      <c r="C1309" s="4"/>
      <c r="D1309" s="4"/>
      <c r="E1309" s="4"/>
      <c r="F1309" s="30" t="s">
        <v>172</v>
      </c>
      <c r="G1309" s="4">
        <v>637</v>
      </c>
      <c r="H1309" s="4" t="s">
        <v>134</v>
      </c>
      <c r="I1309" s="23">
        <v>450</v>
      </c>
      <c r="J1309" s="23"/>
      <c r="K1309" s="220">
        <f t="shared" si="203"/>
        <v>450</v>
      </c>
      <c r="L1309" s="259"/>
      <c r="M1309" s="227"/>
      <c r="N1309" s="23"/>
      <c r="O1309" s="220">
        <f t="shared" si="204"/>
        <v>0</v>
      </c>
      <c r="P1309" s="259"/>
      <c r="Q1309" s="308">
        <f t="shared" si="208"/>
        <v>450</v>
      </c>
      <c r="R1309" s="92">
        <f t="shared" si="206"/>
        <v>0</v>
      </c>
      <c r="S1309" s="92">
        <f t="shared" si="207"/>
        <v>450</v>
      </c>
    </row>
    <row r="1310" spans="2:19" x14ac:dyDescent="0.2">
      <c r="B1310" s="88">
        <f t="shared" si="205"/>
        <v>591</v>
      </c>
      <c r="C1310" s="9"/>
      <c r="D1310" s="9"/>
      <c r="E1310" s="9" t="s">
        <v>95</v>
      </c>
      <c r="F1310" s="33"/>
      <c r="G1310" s="9"/>
      <c r="H1310" s="9" t="s">
        <v>96</v>
      </c>
      <c r="I1310" s="45">
        <f>I1311+I1312+I1313</f>
        <v>83515</v>
      </c>
      <c r="J1310" s="45">
        <f>J1311+J1312+J1313</f>
        <v>-573</v>
      </c>
      <c r="K1310" s="359">
        <f t="shared" si="203"/>
        <v>82942</v>
      </c>
      <c r="L1310" s="259"/>
      <c r="M1310" s="362">
        <f>M1318</f>
        <v>37230</v>
      </c>
      <c r="N1310" s="45">
        <f t="shared" ref="N1310" si="209">N1318</f>
        <v>0</v>
      </c>
      <c r="O1310" s="359">
        <f t="shared" si="204"/>
        <v>37230</v>
      </c>
      <c r="P1310" s="259"/>
      <c r="Q1310" s="372">
        <f t="shared" si="208"/>
        <v>120745</v>
      </c>
      <c r="R1310" s="105">
        <f t="shared" si="206"/>
        <v>-573</v>
      </c>
      <c r="S1310" s="105">
        <f t="shared" si="207"/>
        <v>120172</v>
      </c>
    </row>
    <row r="1311" spans="2:19" x14ac:dyDescent="0.2">
      <c r="B1311" s="88">
        <f t="shared" si="205"/>
        <v>592</v>
      </c>
      <c r="C1311" s="10"/>
      <c r="D1311" s="10"/>
      <c r="E1311" s="10"/>
      <c r="F1311" s="29" t="s">
        <v>172</v>
      </c>
      <c r="G1311" s="10">
        <v>610</v>
      </c>
      <c r="H1311" s="10" t="s">
        <v>143</v>
      </c>
      <c r="I1311" s="27">
        <v>33493</v>
      </c>
      <c r="J1311" s="27"/>
      <c r="K1311" s="250">
        <f t="shared" si="203"/>
        <v>33493</v>
      </c>
      <c r="L1311" s="259"/>
      <c r="M1311" s="315"/>
      <c r="N1311" s="27"/>
      <c r="O1311" s="250">
        <f t="shared" si="204"/>
        <v>0</v>
      </c>
      <c r="P1311" s="259"/>
      <c r="Q1311" s="309">
        <f t="shared" si="208"/>
        <v>33493</v>
      </c>
      <c r="R1311" s="91">
        <f t="shared" si="206"/>
        <v>0</v>
      </c>
      <c r="S1311" s="91">
        <f t="shared" si="207"/>
        <v>33493</v>
      </c>
    </row>
    <row r="1312" spans="2:19" x14ac:dyDescent="0.2">
      <c r="B1312" s="88">
        <f t="shared" si="205"/>
        <v>593</v>
      </c>
      <c r="C1312" s="10"/>
      <c r="D1312" s="10"/>
      <c r="E1312" s="10"/>
      <c r="F1312" s="29" t="s">
        <v>172</v>
      </c>
      <c r="G1312" s="10">
        <v>620</v>
      </c>
      <c r="H1312" s="10" t="s">
        <v>136</v>
      </c>
      <c r="I1312" s="27">
        <v>12272</v>
      </c>
      <c r="J1312" s="27"/>
      <c r="K1312" s="250">
        <f t="shared" ref="K1312:K1375" si="210">I1312+J1312</f>
        <v>12272</v>
      </c>
      <c r="L1312" s="259"/>
      <c r="M1312" s="315"/>
      <c r="N1312" s="27"/>
      <c r="O1312" s="250">
        <f t="shared" ref="O1312:O1375" si="211">M1312+N1312</f>
        <v>0</v>
      </c>
      <c r="P1312" s="259"/>
      <c r="Q1312" s="309">
        <f t="shared" si="208"/>
        <v>12272</v>
      </c>
      <c r="R1312" s="91">
        <f t="shared" si="206"/>
        <v>0</v>
      </c>
      <c r="S1312" s="91">
        <f t="shared" si="207"/>
        <v>12272</v>
      </c>
    </row>
    <row r="1313" spans="2:19" x14ac:dyDescent="0.2">
      <c r="B1313" s="88">
        <f t="shared" ref="B1313:B1376" si="212">B1312+1</f>
        <v>594</v>
      </c>
      <c r="C1313" s="10"/>
      <c r="D1313" s="10"/>
      <c r="E1313" s="10"/>
      <c r="F1313" s="29" t="s">
        <v>172</v>
      </c>
      <c r="G1313" s="10">
        <v>630</v>
      </c>
      <c r="H1313" s="10" t="s">
        <v>133</v>
      </c>
      <c r="I1313" s="27">
        <f>SUM(I1314:I1317)</f>
        <v>37750</v>
      </c>
      <c r="J1313" s="27">
        <f>SUM(J1314:J1317)</f>
        <v>-573</v>
      </c>
      <c r="K1313" s="250">
        <f t="shared" si="210"/>
        <v>37177</v>
      </c>
      <c r="L1313" s="259"/>
      <c r="M1313" s="315"/>
      <c r="N1313" s="27"/>
      <c r="O1313" s="250">
        <f t="shared" si="211"/>
        <v>0</v>
      </c>
      <c r="P1313" s="259"/>
      <c r="Q1313" s="309">
        <f t="shared" si="208"/>
        <v>37750</v>
      </c>
      <c r="R1313" s="91">
        <f t="shared" si="206"/>
        <v>-573</v>
      </c>
      <c r="S1313" s="91">
        <f t="shared" si="207"/>
        <v>37177</v>
      </c>
    </row>
    <row r="1314" spans="2:19" x14ac:dyDescent="0.2">
      <c r="B1314" s="88">
        <f t="shared" si="212"/>
        <v>595</v>
      </c>
      <c r="C1314" s="4"/>
      <c r="D1314" s="4"/>
      <c r="E1314" s="4"/>
      <c r="F1314" s="30" t="s">
        <v>172</v>
      </c>
      <c r="G1314" s="4">
        <v>632</v>
      </c>
      <c r="H1314" s="4" t="s">
        <v>146</v>
      </c>
      <c r="I1314" s="23">
        <v>600</v>
      </c>
      <c r="J1314" s="23"/>
      <c r="K1314" s="220">
        <f t="shared" si="210"/>
        <v>600</v>
      </c>
      <c r="L1314" s="259"/>
      <c r="M1314" s="227"/>
      <c r="N1314" s="23"/>
      <c r="O1314" s="220">
        <f t="shared" si="211"/>
        <v>0</v>
      </c>
      <c r="P1314" s="259"/>
      <c r="Q1314" s="308">
        <f t="shared" si="208"/>
        <v>600</v>
      </c>
      <c r="R1314" s="92">
        <f t="shared" si="206"/>
        <v>0</v>
      </c>
      <c r="S1314" s="92">
        <f t="shared" si="207"/>
        <v>600</v>
      </c>
    </row>
    <row r="1315" spans="2:19" x14ac:dyDescent="0.2">
      <c r="B1315" s="88">
        <f t="shared" si="212"/>
        <v>596</v>
      </c>
      <c r="C1315" s="4"/>
      <c r="D1315" s="4"/>
      <c r="E1315" s="4"/>
      <c r="F1315" s="30" t="s">
        <v>172</v>
      </c>
      <c r="G1315" s="4">
        <v>633</v>
      </c>
      <c r="H1315" s="4" t="s">
        <v>137</v>
      </c>
      <c r="I1315" s="23">
        <v>33190</v>
      </c>
      <c r="J1315" s="23"/>
      <c r="K1315" s="220">
        <f t="shared" si="210"/>
        <v>33190</v>
      </c>
      <c r="L1315" s="259"/>
      <c r="M1315" s="227"/>
      <c r="N1315" s="23"/>
      <c r="O1315" s="220">
        <f t="shared" si="211"/>
        <v>0</v>
      </c>
      <c r="P1315" s="259"/>
      <c r="Q1315" s="308">
        <f t="shared" si="208"/>
        <v>33190</v>
      </c>
      <c r="R1315" s="92">
        <f t="shared" si="206"/>
        <v>0</v>
      </c>
      <c r="S1315" s="92">
        <f t="shared" si="207"/>
        <v>33190</v>
      </c>
    </row>
    <row r="1316" spans="2:19" x14ac:dyDescent="0.2">
      <c r="B1316" s="88">
        <f t="shared" si="212"/>
        <v>597</v>
      </c>
      <c r="C1316" s="4"/>
      <c r="D1316" s="4"/>
      <c r="E1316" s="4"/>
      <c r="F1316" s="30" t="s">
        <v>172</v>
      </c>
      <c r="G1316" s="4">
        <v>635</v>
      </c>
      <c r="H1316" s="4" t="s">
        <v>145</v>
      </c>
      <c r="I1316" s="23">
        <v>1200</v>
      </c>
      <c r="J1316" s="23">
        <v>-573</v>
      </c>
      <c r="K1316" s="220">
        <f t="shared" si="210"/>
        <v>627</v>
      </c>
      <c r="L1316" s="259"/>
      <c r="M1316" s="227"/>
      <c r="N1316" s="23"/>
      <c r="O1316" s="220">
        <f t="shared" si="211"/>
        <v>0</v>
      </c>
      <c r="P1316" s="259"/>
      <c r="Q1316" s="308">
        <f t="shared" si="208"/>
        <v>1200</v>
      </c>
      <c r="R1316" s="92">
        <f t="shared" si="206"/>
        <v>-573</v>
      </c>
      <c r="S1316" s="92">
        <f t="shared" si="207"/>
        <v>627</v>
      </c>
    </row>
    <row r="1317" spans="2:19" x14ac:dyDescent="0.2">
      <c r="B1317" s="88">
        <f t="shared" si="212"/>
        <v>598</v>
      </c>
      <c r="C1317" s="4"/>
      <c r="D1317" s="4"/>
      <c r="E1317" s="4"/>
      <c r="F1317" s="30" t="s">
        <v>172</v>
      </c>
      <c r="G1317" s="4">
        <v>637</v>
      </c>
      <c r="H1317" s="4" t="s">
        <v>134</v>
      </c>
      <c r="I1317" s="23">
        <v>2760</v>
      </c>
      <c r="J1317" s="23"/>
      <c r="K1317" s="220">
        <f t="shared" si="210"/>
        <v>2760</v>
      </c>
      <c r="L1317" s="259"/>
      <c r="M1317" s="227"/>
      <c r="N1317" s="23"/>
      <c r="O1317" s="220">
        <f t="shared" si="211"/>
        <v>0</v>
      </c>
      <c r="P1317" s="259"/>
      <c r="Q1317" s="308">
        <f t="shared" si="208"/>
        <v>2760</v>
      </c>
      <c r="R1317" s="92">
        <f t="shared" si="206"/>
        <v>0</v>
      </c>
      <c r="S1317" s="92">
        <f t="shared" si="207"/>
        <v>2760</v>
      </c>
    </row>
    <row r="1318" spans="2:19" x14ac:dyDescent="0.2">
      <c r="B1318" s="88">
        <f t="shared" si="212"/>
        <v>599</v>
      </c>
      <c r="C1318" s="4"/>
      <c r="D1318" s="4"/>
      <c r="E1318" s="4"/>
      <c r="F1318" s="29" t="s">
        <v>172</v>
      </c>
      <c r="G1318" s="10">
        <v>710</v>
      </c>
      <c r="H1318" s="10" t="s">
        <v>188</v>
      </c>
      <c r="I1318" s="27"/>
      <c r="J1318" s="27"/>
      <c r="K1318" s="250">
        <f t="shared" si="210"/>
        <v>0</v>
      </c>
      <c r="L1318" s="259"/>
      <c r="M1318" s="315">
        <f>M1319</f>
        <v>37230</v>
      </c>
      <c r="N1318" s="27">
        <f t="shared" ref="N1318" si="213">N1319</f>
        <v>0</v>
      </c>
      <c r="O1318" s="250">
        <f t="shared" si="211"/>
        <v>37230</v>
      </c>
      <c r="P1318" s="259"/>
      <c r="Q1318" s="309">
        <f t="shared" si="208"/>
        <v>37230</v>
      </c>
      <c r="R1318" s="91">
        <f t="shared" si="206"/>
        <v>0</v>
      </c>
      <c r="S1318" s="91">
        <f t="shared" si="207"/>
        <v>37230</v>
      </c>
    </row>
    <row r="1319" spans="2:19" x14ac:dyDescent="0.2">
      <c r="B1319" s="88">
        <f t="shared" si="212"/>
        <v>600</v>
      </c>
      <c r="C1319" s="4"/>
      <c r="D1319" s="4"/>
      <c r="E1319" s="4"/>
      <c r="F1319" s="30" t="s">
        <v>172</v>
      </c>
      <c r="G1319" s="4">
        <v>717</v>
      </c>
      <c r="H1319" s="4" t="s">
        <v>198</v>
      </c>
      <c r="I1319" s="23"/>
      <c r="J1319" s="23"/>
      <c r="K1319" s="220">
        <f t="shared" si="210"/>
        <v>0</v>
      </c>
      <c r="L1319" s="259"/>
      <c r="M1319" s="227">
        <f>SUM(M1320:M1320)</f>
        <v>37230</v>
      </c>
      <c r="N1319" s="23">
        <f t="shared" ref="N1319" si="214">SUM(N1320:N1320)</f>
        <v>0</v>
      </c>
      <c r="O1319" s="220">
        <f t="shared" si="211"/>
        <v>37230</v>
      </c>
      <c r="P1319" s="259"/>
      <c r="Q1319" s="308">
        <f t="shared" si="208"/>
        <v>37230</v>
      </c>
      <c r="R1319" s="92">
        <f t="shared" si="206"/>
        <v>0</v>
      </c>
      <c r="S1319" s="92">
        <f t="shared" si="207"/>
        <v>37230</v>
      </c>
    </row>
    <row r="1320" spans="2:19" x14ac:dyDescent="0.2">
      <c r="B1320" s="88">
        <f t="shared" si="212"/>
        <v>601</v>
      </c>
      <c r="C1320" s="4"/>
      <c r="D1320" s="4"/>
      <c r="E1320" s="4"/>
      <c r="F1320" s="31"/>
      <c r="G1320" s="5"/>
      <c r="H1320" s="5" t="s">
        <v>634</v>
      </c>
      <c r="I1320" s="25"/>
      <c r="J1320" s="25"/>
      <c r="K1320" s="251">
        <f t="shared" si="210"/>
        <v>0</v>
      </c>
      <c r="L1320" s="259"/>
      <c r="M1320" s="349">
        <v>37230</v>
      </c>
      <c r="N1320" s="44"/>
      <c r="O1320" s="354">
        <f t="shared" si="211"/>
        <v>37230</v>
      </c>
      <c r="P1320" s="259"/>
      <c r="Q1320" s="332">
        <f t="shared" si="208"/>
        <v>37230</v>
      </c>
      <c r="R1320" s="93">
        <f t="shared" si="206"/>
        <v>0</v>
      </c>
      <c r="S1320" s="93">
        <f t="shared" si="207"/>
        <v>37230</v>
      </c>
    </row>
    <row r="1321" spans="2:19" ht="15" x14ac:dyDescent="0.25">
      <c r="B1321" s="88">
        <f t="shared" si="212"/>
        <v>602</v>
      </c>
      <c r="C1321" s="13"/>
      <c r="D1321" s="13"/>
      <c r="E1321" s="13">
        <v>6</v>
      </c>
      <c r="F1321" s="32"/>
      <c r="G1321" s="13"/>
      <c r="H1321" s="13" t="s">
        <v>12</v>
      </c>
      <c r="I1321" s="42">
        <f>I1322+I1323+I1324+I1329+I1330+I1331+I1332+I1337</f>
        <v>172191</v>
      </c>
      <c r="J1321" s="42">
        <f>J1322+J1323+J1324+J1329+J1330+J1331+J1332+J1337</f>
        <v>0</v>
      </c>
      <c r="K1321" s="255">
        <f t="shared" si="210"/>
        <v>172191</v>
      </c>
      <c r="L1321" s="259"/>
      <c r="M1321" s="317">
        <v>0</v>
      </c>
      <c r="N1321" s="42">
        <v>0</v>
      </c>
      <c r="O1321" s="255">
        <f t="shared" si="211"/>
        <v>0</v>
      </c>
      <c r="P1321" s="259"/>
      <c r="Q1321" s="312">
        <f t="shared" si="208"/>
        <v>172191</v>
      </c>
      <c r="R1321" s="99">
        <f t="shared" si="206"/>
        <v>0</v>
      </c>
      <c r="S1321" s="99">
        <f t="shared" si="207"/>
        <v>172191</v>
      </c>
    </row>
    <row r="1322" spans="2:19" x14ac:dyDescent="0.2">
      <c r="B1322" s="88">
        <f t="shared" si="212"/>
        <v>603</v>
      </c>
      <c r="C1322" s="10"/>
      <c r="D1322" s="10"/>
      <c r="E1322" s="10"/>
      <c r="F1322" s="29" t="s">
        <v>87</v>
      </c>
      <c r="G1322" s="10">
        <v>610</v>
      </c>
      <c r="H1322" s="10" t="s">
        <v>143</v>
      </c>
      <c r="I1322" s="27">
        <v>27947</v>
      </c>
      <c r="J1322" s="27"/>
      <c r="K1322" s="250">
        <f t="shared" si="210"/>
        <v>27947</v>
      </c>
      <c r="L1322" s="259"/>
      <c r="M1322" s="315"/>
      <c r="N1322" s="27"/>
      <c r="O1322" s="250">
        <f t="shared" si="211"/>
        <v>0</v>
      </c>
      <c r="P1322" s="259"/>
      <c r="Q1322" s="309">
        <f t="shared" si="208"/>
        <v>27947</v>
      </c>
      <c r="R1322" s="91">
        <f t="shared" si="206"/>
        <v>0</v>
      </c>
      <c r="S1322" s="91">
        <f t="shared" si="207"/>
        <v>27947</v>
      </c>
    </row>
    <row r="1323" spans="2:19" x14ac:dyDescent="0.2">
      <c r="B1323" s="88">
        <f t="shared" si="212"/>
        <v>604</v>
      </c>
      <c r="C1323" s="10"/>
      <c r="D1323" s="10"/>
      <c r="E1323" s="10"/>
      <c r="F1323" s="29" t="s">
        <v>87</v>
      </c>
      <c r="G1323" s="10">
        <v>620</v>
      </c>
      <c r="H1323" s="10" t="s">
        <v>136</v>
      </c>
      <c r="I1323" s="27">
        <v>10397</v>
      </c>
      <c r="J1323" s="27"/>
      <c r="K1323" s="250">
        <f t="shared" si="210"/>
        <v>10397</v>
      </c>
      <c r="L1323" s="259"/>
      <c r="M1323" s="315"/>
      <c r="N1323" s="27"/>
      <c r="O1323" s="250">
        <f t="shared" si="211"/>
        <v>0</v>
      </c>
      <c r="P1323" s="259"/>
      <c r="Q1323" s="309">
        <f t="shared" si="208"/>
        <v>10397</v>
      </c>
      <c r="R1323" s="91">
        <f t="shared" si="206"/>
        <v>0</v>
      </c>
      <c r="S1323" s="91">
        <f t="shared" si="207"/>
        <v>10397</v>
      </c>
    </row>
    <row r="1324" spans="2:19" x14ac:dyDescent="0.2">
      <c r="B1324" s="88">
        <f t="shared" si="212"/>
        <v>605</v>
      </c>
      <c r="C1324" s="10"/>
      <c r="D1324" s="10"/>
      <c r="E1324" s="10"/>
      <c r="F1324" s="29" t="s">
        <v>87</v>
      </c>
      <c r="G1324" s="10">
        <v>630</v>
      </c>
      <c r="H1324" s="10" t="s">
        <v>133</v>
      </c>
      <c r="I1324" s="27">
        <f>SUM(I1325:I1328)</f>
        <v>47303</v>
      </c>
      <c r="J1324" s="27">
        <f>SUM(J1325:J1328)</f>
        <v>0</v>
      </c>
      <c r="K1324" s="250">
        <f t="shared" si="210"/>
        <v>47303</v>
      </c>
      <c r="L1324" s="259"/>
      <c r="M1324" s="315"/>
      <c r="N1324" s="27"/>
      <c r="O1324" s="250">
        <f t="shared" si="211"/>
        <v>0</v>
      </c>
      <c r="P1324" s="259"/>
      <c r="Q1324" s="309">
        <f t="shared" si="208"/>
        <v>47303</v>
      </c>
      <c r="R1324" s="91">
        <f t="shared" si="206"/>
        <v>0</v>
      </c>
      <c r="S1324" s="91">
        <f t="shared" si="207"/>
        <v>47303</v>
      </c>
    </row>
    <row r="1325" spans="2:19" x14ac:dyDescent="0.2">
      <c r="B1325" s="88">
        <f t="shared" si="212"/>
        <v>606</v>
      </c>
      <c r="C1325" s="4"/>
      <c r="D1325" s="4"/>
      <c r="E1325" s="4"/>
      <c r="F1325" s="30" t="s">
        <v>87</v>
      </c>
      <c r="G1325" s="4">
        <v>632</v>
      </c>
      <c r="H1325" s="4" t="s">
        <v>146</v>
      </c>
      <c r="I1325" s="23">
        <v>5046</v>
      </c>
      <c r="J1325" s="23">
        <v>-186</v>
      </c>
      <c r="K1325" s="220">
        <f t="shared" si="210"/>
        <v>4860</v>
      </c>
      <c r="L1325" s="259"/>
      <c r="M1325" s="227"/>
      <c r="N1325" s="23"/>
      <c r="O1325" s="220">
        <f t="shared" si="211"/>
        <v>0</v>
      </c>
      <c r="P1325" s="259"/>
      <c r="Q1325" s="308">
        <f t="shared" si="208"/>
        <v>5046</v>
      </c>
      <c r="R1325" s="92">
        <f t="shared" si="206"/>
        <v>-186</v>
      </c>
      <c r="S1325" s="92">
        <f t="shared" si="207"/>
        <v>4860</v>
      </c>
    </row>
    <row r="1326" spans="2:19" x14ac:dyDescent="0.2">
      <c r="B1326" s="88">
        <f t="shared" si="212"/>
        <v>607</v>
      </c>
      <c r="C1326" s="4"/>
      <c r="D1326" s="4"/>
      <c r="E1326" s="4"/>
      <c r="F1326" s="30" t="s">
        <v>87</v>
      </c>
      <c r="G1326" s="4">
        <v>633</v>
      </c>
      <c r="H1326" s="4" t="s">
        <v>137</v>
      </c>
      <c r="I1326" s="23">
        <v>40841</v>
      </c>
      <c r="J1326" s="23"/>
      <c r="K1326" s="220">
        <f t="shared" si="210"/>
        <v>40841</v>
      </c>
      <c r="L1326" s="259"/>
      <c r="M1326" s="227"/>
      <c r="N1326" s="23"/>
      <c r="O1326" s="220">
        <f t="shared" si="211"/>
        <v>0</v>
      </c>
      <c r="P1326" s="259"/>
      <c r="Q1326" s="308">
        <f t="shared" si="208"/>
        <v>40841</v>
      </c>
      <c r="R1326" s="92">
        <f t="shared" si="206"/>
        <v>0</v>
      </c>
      <c r="S1326" s="92">
        <f t="shared" si="207"/>
        <v>40841</v>
      </c>
    </row>
    <row r="1327" spans="2:19" x14ac:dyDescent="0.2">
      <c r="B1327" s="88">
        <f t="shared" si="212"/>
        <v>608</v>
      </c>
      <c r="C1327" s="4"/>
      <c r="D1327" s="4"/>
      <c r="E1327" s="4"/>
      <c r="F1327" s="30" t="s">
        <v>87</v>
      </c>
      <c r="G1327" s="4">
        <v>635</v>
      </c>
      <c r="H1327" s="4" t="s">
        <v>145</v>
      </c>
      <c r="I1327" s="23">
        <v>216</v>
      </c>
      <c r="J1327" s="23">
        <v>186</v>
      </c>
      <c r="K1327" s="220">
        <f t="shared" si="210"/>
        <v>402</v>
      </c>
      <c r="L1327" s="259"/>
      <c r="M1327" s="227"/>
      <c r="N1327" s="23"/>
      <c r="O1327" s="220">
        <f t="shared" si="211"/>
        <v>0</v>
      </c>
      <c r="P1327" s="259"/>
      <c r="Q1327" s="308">
        <f t="shared" si="208"/>
        <v>216</v>
      </c>
      <c r="R1327" s="92">
        <f t="shared" si="206"/>
        <v>186</v>
      </c>
      <c r="S1327" s="92">
        <f t="shared" si="207"/>
        <v>402</v>
      </c>
    </row>
    <row r="1328" spans="2:19" x14ac:dyDescent="0.2">
      <c r="B1328" s="88">
        <f t="shared" si="212"/>
        <v>609</v>
      </c>
      <c r="C1328" s="4"/>
      <c r="D1328" s="4"/>
      <c r="E1328" s="4"/>
      <c r="F1328" s="30" t="s">
        <v>87</v>
      </c>
      <c r="G1328" s="4">
        <v>637</v>
      </c>
      <c r="H1328" s="4" t="s">
        <v>134</v>
      </c>
      <c r="I1328" s="23">
        <v>1200</v>
      </c>
      <c r="J1328" s="23"/>
      <c r="K1328" s="220">
        <f t="shared" si="210"/>
        <v>1200</v>
      </c>
      <c r="L1328" s="259"/>
      <c r="M1328" s="227"/>
      <c r="N1328" s="23"/>
      <c r="O1328" s="220">
        <f t="shared" si="211"/>
        <v>0</v>
      </c>
      <c r="P1328" s="259"/>
      <c r="Q1328" s="308">
        <f t="shared" si="208"/>
        <v>1200</v>
      </c>
      <c r="R1328" s="92">
        <f t="shared" si="206"/>
        <v>0</v>
      </c>
      <c r="S1328" s="92">
        <f t="shared" si="207"/>
        <v>1200</v>
      </c>
    </row>
    <row r="1329" spans="2:19" x14ac:dyDescent="0.2">
      <c r="B1329" s="88">
        <f t="shared" si="212"/>
        <v>610</v>
      </c>
      <c r="C1329" s="10"/>
      <c r="D1329" s="10"/>
      <c r="E1329" s="10"/>
      <c r="F1329" s="29" t="s">
        <v>87</v>
      </c>
      <c r="G1329" s="10">
        <v>640</v>
      </c>
      <c r="H1329" s="10" t="s">
        <v>141</v>
      </c>
      <c r="I1329" s="27">
        <v>113</v>
      </c>
      <c r="J1329" s="27"/>
      <c r="K1329" s="250">
        <f t="shared" si="210"/>
        <v>113</v>
      </c>
      <c r="L1329" s="259"/>
      <c r="M1329" s="315"/>
      <c r="N1329" s="27"/>
      <c r="O1329" s="250">
        <f t="shared" si="211"/>
        <v>0</v>
      </c>
      <c r="P1329" s="259"/>
      <c r="Q1329" s="309">
        <f t="shared" si="208"/>
        <v>113</v>
      </c>
      <c r="R1329" s="91">
        <f t="shared" ref="R1329:R1392" si="215">J1329+N1329</f>
        <v>0</v>
      </c>
      <c r="S1329" s="91">
        <f t="shared" ref="S1329:S1392" si="216">K1329+O1329</f>
        <v>113</v>
      </c>
    </row>
    <row r="1330" spans="2:19" x14ac:dyDescent="0.2">
      <c r="B1330" s="88">
        <f t="shared" si="212"/>
        <v>611</v>
      </c>
      <c r="C1330" s="10"/>
      <c r="D1330" s="10"/>
      <c r="E1330" s="10"/>
      <c r="F1330" s="29" t="s">
        <v>55</v>
      </c>
      <c r="G1330" s="10">
        <v>610</v>
      </c>
      <c r="H1330" s="10" t="s">
        <v>143</v>
      </c>
      <c r="I1330" s="27">
        <v>27328</v>
      </c>
      <c r="J1330" s="27"/>
      <c r="K1330" s="250">
        <f t="shared" si="210"/>
        <v>27328</v>
      </c>
      <c r="L1330" s="259"/>
      <c r="M1330" s="315"/>
      <c r="N1330" s="27"/>
      <c r="O1330" s="250">
        <f t="shared" si="211"/>
        <v>0</v>
      </c>
      <c r="P1330" s="259"/>
      <c r="Q1330" s="309">
        <f t="shared" si="208"/>
        <v>27328</v>
      </c>
      <c r="R1330" s="91">
        <f t="shared" si="215"/>
        <v>0</v>
      </c>
      <c r="S1330" s="91">
        <f t="shared" si="216"/>
        <v>27328</v>
      </c>
    </row>
    <row r="1331" spans="2:19" x14ac:dyDescent="0.2">
      <c r="B1331" s="88">
        <f t="shared" si="212"/>
        <v>612</v>
      </c>
      <c r="C1331" s="10"/>
      <c r="D1331" s="10"/>
      <c r="E1331" s="10"/>
      <c r="F1331" s="29" t="s">
        <v>55</v>
      </c>
      <c r="G1331" s="10">
        <v>620</v>
      </c>
      <c r="H1331" s="10" t="s">
        <v>136</v>
      </c>
      <c r="I1331" s="27">
        <v>10176</v>
      </c>
      <c r="J1331" s="27"/>
      <c r="K1331" s="250">
        <f t="shared" si="210"/>
        <v>10176</v>
      </c>
      <c r="L1331" s="259"/>
      <c r="M1331" s="315"/>
      <c r="N1331" s="27"/>
      <c r="O1331" s="250">
        <f t="shared" si="211"/>
        <v>0</v>
      </c>
      <c r="P1331" s="259"/>
      <c r="Q1331" s="309">
        <f t="shared" si="208"/>
        <v>10176</v>
      </c>
      <c r="R1331" s="91">
        <f t="shared" si="215"/>
        <v>0</v>
      </c>
      <c r="S1331" s="91">
        <f t="shared" si="216"/>
        <v>10176</v>
      </c>
    </row>
    <row r="1332" spans="2:19" x14ac:dyDescent="0.2">
      <c r="B1332" s="88">
        <f t="shared" si="212"/>
        <v>613</v>
      </c>
      <c r="C1332" s="10"/>
      <c r="D1332" s="10"/>
      <c r="E1332" s="10"/>
      <c r="F1332" s="29" t="s">
        <v>55</v>
      </c>
      <c r="G1332" s="10">
        <v>630</v>
      </c>
      <c r="H1332" s="10" t="s">
        <v>133</v>
      </c>
      <c r="I1332" s="27">
        <f>SUM(I1333:I1336)</f>
        <v>48814</v>
      </c>
      <c r="J1332" s="27">
        <f>SUM(J1333:J1336)</f>
        <v>0</v>
      </c>
      <c r="K1332" s="250">
        <f t="shared" si="210"/>
        <v>48814</v>
      </c>
      <c r="L1332" s="259"/>
      <c r="M1332" s="315"/>
      <c r="N1332" s="27"/>
      <c r="O1332" s="250">
        <f t="shared" si="211"/>
        <v>0</v>
      </c>
      <c r="P1332" s="259"/>
      <c r="Q1332" s="309">
        <f t="shared" si="208"/>
        <v>48814</v>
      </c>
      <c r="R1332" s="91">
        <f t="shared" si="215"/>
        <v>0</v>
      </c>
      <c r="S1332" s="91">
        <f t="shared" si="216"/>
        <v>48814</v>
      </c>
    </row>
    <row r="1333" spans="2:19" x14ac:dyDescent="0.2">
      <c r="B1333" s="88">
        <f t="shared" si="212"/>
        <v>614</v>
      </c>
      <c r="C1333" s="4"/>
      <c r="D1333" s="4"/>
      <c r="E1333" s="4"/>
      <c r="F1333" s="30" t="s">
        <v>55</v>
      </c>
      <c r="G1333" s="4">
        <v>632</v>
      </c>
      <c r="H1333" s="4" t="s">
        <v>146</v>
      </c>
      <c r="I1333" s="23">
        <v>5046</v>
      </c>
      <c r="J1333" s="23">
        <v>-186</v>
      </c>
      <c r="K1333" s="220">
        <f t="shared" si="210"/>
        <v>4860</v>
      </c>
      <c r="L1333" s="259"/>
      <c r="M1333" s="227"/>
      <c r="N1333" s="23"/>
      <c r="O1333" s="220">
        <f t="shared" si="211"/>
        <v>0</v>
      </c>
      <c r="P1333" s="259"/>
      <c r="Q1333" s="308">
        <f t="shared" si="208"/>
        <v>5046</v>
      </c>
      <c r="R1333" s="92">
        <f t="shared" si="215"/>
        <v>-186</v>
      </c>
      <c r="S1333" s="92">
        <f t="shared" si="216"/>
        <v>4860</v>
      </c>
    </row>
    <row r="1334" spans="2:19" x14ac:dyDescent="0.2">
      <c r="B1334" s="88">
        <f t="shared" si="212"/>
        <v>615</v>
      </c>
      <c r="C1334" s="4"/>
      <c r="D1334" s="4"/>
      <c r="E1334" s="4"/>
      <c r="F1334" s="30" t="s">
        <v>55</v>
      </c>
      <c r="G1334" s="4">
        <v>633</v>
      </c>
      <c r="H1334" s="4" t="s">
        <v>137</v>
      </c>
      <c r="I1334" s="23">
        <f>40841+1511</f>
        <v>42352</v>
      </c>
      <c r="J1334" s="23"/>
      <c r="K1334" s="220">
        <f t="shared" si="210"/>
        <v>42352</v>
      </c>
      <c r="L1334" s="259"/>
      <c r="M1334" s="227"/>
      <c r="N1334" s="23"/>
      <c r="O1334" s="220">
        <f t="shared" si="211"/>
        <v>0</v>
      </c>
      <c r="P1334" s="259"/>
      <c r="Q1334" s="308">
        <f t="shared" ref="Q1334:Q1400" si="217">I1334+M1334</f>
        <v>42352</v>
      </c>
      <c r="R1334" s="92">
        <f t="shared" si="215"/>
        <v>0</v>
      </c>
      <c r="S1334" s="92">
        <f t="shared" si="216"/>
        <v>42352</v>
      </c>
    </row>
    <row r="1335" spans="2:19" x14ac:dyDescent="0.2">
      <c r="B1335" s="88">
        <f t="shared" si="212"/>
        <v>616</v>
      </c>
      <c r="C1335" s="4"/>
      <c r="D1335" s="4"/>
      <c r="E1335" s="4"/>
      <c r="F1335" s="30" t="s">
        <v>55</v>
      </c>
      <c r="G1335" s="4">
        <v>635</v>
      </c>
      <c r="H1335" s="4" t="s">
        <v>145</v>
      </c>
      <c r="I1335" s="23">
        <v>216</v>
      </c>
      <c r="J1335" s="23">
        <v>186</v>
      </c>
      <c r="K1335" s="220">
        <f t="shared" si="210"/>
        <v>402</v>
      </c>
      <c r="L1335" s="259"/>
      <c r="M1335" s="227"/>
      <c r="N1335" s="23"/>
      <c r="O1335" s="220">
        <f t="shared" si="211"/>
        <v>0</v>
      </c>
      <c r="P1335" s="259"/>
      <c r="Q1335" s="308">
        <f t="shared" si="217"/>
        <v>216</v>
      </c>
      <c r="R1335" s="92">
        <f t="shared" si="215"/>
        <v>186</v>
      </c>
      <c r="S1335" s="92">
        <f t="shared" si="216"/>
        <v>402</v>
      </c>
    </row>
    <row r="1336" spans="2:19" x14ac:dyDescent="0.2">
      <c r="B1336" s="88">
        <f t="shared" si="212"/>
        <v>617</v>
      </c>
      <c r="C1336" s="4"/>
      <c r="D1336" s="4"/>
      <c r="E1336" s="4"/>
      <c r="F1336" s="30" t="s">
        <v>55</v>
      </c>
      <c r="G1336" s="4">
        <v>637</v>
      </c>
      <c r="H1336" s="4" t="s">
        <v>134</v>
      </c>
      <c r="I1336" s="23">
        <v>1200</v>
      </c>
      <c r="J1336" s="23"/>
      <c r="K1336" s="220">
        <f t="shared" si="210"/>
        <v>1200</v>
      </c>
      <c r="L1336" s="259"/>
      <c r="M1336" s="227"/>
      <c r="N1336" s="23"/>
      <c r="O1336" s="220">
        <f t="shared" si="211"/>
        <v>0</v>
      </c>
      <c r="P1336" s="259"/>
      <c r="Q1336" s="308">
        <f t="shared" si="217"/>
        <v>1200</v>
      </c>
      <c r="R1336" s="92">
        <f t="shared" si="215"/>
        <v>0</v>
      </c>
      <c r="S1336" s="92">
        <f t="shared" si="216"/>
        <v>1200</v>
      </c>
    </row>
    <row r="1337" spans="2:19" x14ac:dyDescent="0.2">
      <c r="B1337" s="88">
        <f t="shared" si="212"/>
        <v>618</v>
      </c>
      <c r="C1337" s="10"/>
      <c r="D1337" s="10"/>
      <c r="E1337" s="10"/>
      <c r="F1337" s="29" t="s">
        <v>55</v>
      </c>
      <c r="G1337" s="10">
        <v>640</v>
      </c>
      <c r="H1337" s="10" t="s">
        <v>141</v>
      </c>
      <c r="I1337" s="27">
        <v>113</v>
      </c>
      <c r="J1337" s="27"/>
      <c r="K1337" s="250">
        <f t="shared" si="210"/>
        <v>113</v>
      </c>
      <c r="L1337" s="259"/>
      <c r="M1337" s="315"/>
      <c r="N1337" s="27"/>
      <c r="O1337" s="250">
        <f t="shared" si="211"/>
        <v>0</v>
      </c>
      <c r="P1337" s="259"/>
      <c r="Q1337" s="309">
        <f t="shared" si="217"/>
        <v>113</v>
      </c>
      <c r="R1337" s="91">
        <f t="shared" si="215"/>
        <v>0</v>
      </c>
      <c r="S1337" s="91">
        <f t="shared" si="216"/>
        <v>113</v>
      </c>
    </row>
    <row r="1338" spans="2:19" ht="15" x14ac:dyDescent="0.25">
      <c r="B1338" s="88">
        <f t="shared" si="212"/>
        <v>619</v>
      </c>
      <c r="C1338" s="13"/>
      <c r="D1338" s="13"/>
      <c r="E1338" s="13">
        <v>7</v>
      </c>
      <c r="F1338" s="32"/>
      <c r="G1338" s="13"/>
      <c r="H1338" s="13" t="s">
        <v>13</v>
      </c>
      <c r="I1338" s="42">
        <f>I1339+I1340+I1341+I1346+I1347+I1348+I1349+I1354</f>
        <v>205648</v>
      </c>
      <c r="J1338" s="42">
        <f>J1339+J1340+J1341+J1346+J1347+J1348+J1349+J1354</f>
        <v>0</v>
      </c>
      <c r="K1338" s="255">
        <f t="shared" si="210"/>
        <v>205648</v>
      </c>
      <c r="L1338" s="259"/>
      <c r="M1338" s="317">
        <v>0</v>
      </c>
      <c r="N1338" s="42">
        <v>0</v>
      </c>
      <c r="O1338" s="255">
        <f t="shared" si="211"/>
        <v>0</v>
      </c>
      <c r="P1338" s="259"/>
      <c r="Q1338" s="312">
        <f t="shared" si="217"/>
        <v>205648</v>
      </c>
      <c r="R1338" s="99">
        <f t="shared" si="215"/>
        <v>0</v>
      </c>
      <c r="S1338" s="99">
        <f t="shared" si="216"/>
        <v>205648</v>
      </c>
    </row>
    <row r="1339" spans="2:19" x14ac:dyDescent="0.2">
      <c r="B1339" s="88">
        <f t="shared" si="212"/>
        <v>620</v>
      </c>
      <c r="C1339" s="10"/>
      <c r="D1339" s="10"/>
      <c r="E1339" s="10"/>
      <c r="F1339" s="29" t="s">
        <v>87</v>
      </c>
      <c r="G1339" s="10">
        <v>610</v>
      </c>
      <c r="H1339" s="10" t="s">
        <v>143</v>
      </c>
      <c r="I1339" s="27">
        <f>35109+2196</f>
        <v>37305</v>
      </c>
      <c r="J1339" s="27"/>
      <c r="K1339" s="250">
        <f t="shared" si="210"/>
        <v>37305</v>
      </c>
      <c r="L1339" s="259"/>
      <c r="M1339" s="315"/>
      <c r="N1339" s="27"/>
      <c r="O1339" s="250">
        <f t="shared" si="211"/>
        <v>0</v>
      </c>
      <c r="P1339" s="259"/>
      <c r="Q1339" s="309">
        <f t="shared" si="217"/>
        <v>37305</v>
      </c>
      <c r="R1339" s="91">
        <f t="shared" si="215"/>
        <v>0</v>
      </c>
      <c r="S1339" s="91">
        <f t="shared" si="216"/>
        <v>37305</v>
      </c>
    </row>
    <row r="1340" spans="2:19" x14ac:dyDescent="0.2">
      <c r="B1340" s="88">
        <f t="shared" si="212"/>
        <v>621</v>
      </c>
      <c r="C1340" s="10"/>
      <c r="D1340" s="10"/>
      <c r="E1340" s="10"/>
      <c r="F1340" s="29" t="s">
        <v>87</v>
      </c>
      <c r="G1340" s="10">
        <v>620</v>
      </c>
      <c r="H1340" s="10" t="s">
        <v>136</v>
      </c>
      <c r="I1340" s="27">
        <f>12829+773</f>
        <v>13602</v>
      </c>
      <c r="J1340" s="27"/>
      <c r="K1340" s="250">
        <f t="shared" si="210"/>
        <v>13602</v>
      </c>
      <c r="L1340" s="259"/>
      <c r="M1340" s="315"/>
      <c r="N1340" s="27"/>
      <c r="O1340" s="250">
        <f t="shared" si="211"/>
        <v>0</v>
      </c>
      <c r="P1340" s="259"/>
      <c r="Q1340" s="309">
        <f t="shared" si="217"/>
        <v>13602</v>
      </c>
      <c r="R1340" s="91">
        <f t="shared" si="215"/>
        <v>0</v>
      </c>
      <c r="S1340" s="91">
        <f t="shared" si="216"/>
        <v>13602</v>
      </c>
    </row>
    <row r="1341" spans="2:19" x14ac:dyDescent="0.2">
      <c r="B1341" s="88">
        <f t="shared" si="212"/>
        <v>622</v>
      </c>
      <c r="C1341" s="10"/>
      <c r="D1341" s="10"/>
      <c r="E1341" s="10"/>
      <c r="F1341" s="29" t="s">
        <v>87</v>
      </c>
      <c r="G1341" s="10">
        <v>630</v>
      </c>
      <c r="H1341" s="10" t="s">
        <v>133</v>
      </c>
      <c r="I1341" s="27">
        <f>SUM(I1342:I1345)</f>
        <v>49593</v>
      </c>
      <c r="J1341" s="27">
        <f>SUM(J1342:J1345)</f>
        <v>0</v>
      </c>
      <c r="K1341" s="250">
        <f t="shared" si="210"/>
        <v>49593</v>
      </c>
      <c r="L1341" s="259"/>
      <c r="M1341" s="315"/>
      <c r="N1341" s="27"/>
      <c r="O1341" s="250">
        <f t="shared" si="211"/>
        <v>0</v>
      </c>
      <c r="P1341" s="259"/>
      <c r="Q1341" s="309">
        <f t="shared" si="217"/>
        <v>49593</v>
      </c>
      <c r="R1341" s="91">
        <f t="shared" si="215"/>
        <v>0</v>
      </c>
      <c r="S1341" s="91">
        <f t="shared" si="216"/>
        <v>49593</v>
      </c>
    </row>
    <row r="1342" spans="2:19" x14ac:dyDescent="0.2">
      <c r="B1342" s="88">
        <f t="shared" si="212"/>
        <v>623</v>
      </c>
      <c r="C1342" s="4"/>
      <c r="D1342" s="4"/>
      <c r="E1342" s="4"/>
      <c r="F1342" s="30" t="s">
        <v>87</v>
      </c>
      <c r="G1342" s="4">
        <v>632</v>
      </c>
      <c r="H1342" s="4" t="s">
        <v>146</v>
      </c>
      <c r="I1342" s="23">
        <v>1292</v>
      </c>
      <c r="J1342" s="23"/>
      <c r="K1342" s="220">
        <f t="shared" si="210"/>
        <v>1292</v>
      </c>
      <c r="L1342" s="259"/>
      <c r="M1342" s="227"/>
      <c r="N1342" s="23"/>
      <c r="O1342" s="220">
        <f t="shared" si="211"/>
        <v>0</v>
      </c>
      <c r="P1342" s="259"/>
      <c r="Q1342" s="308">
        <f t="shared" si="217"/>
        <v>1292</v>
      </c>
      <c r="R1342" s="92">
        <f t="shared" si="215"/>
        <v>0</v>
      </c>
      <c r="S1342" s="92">
        <f t="shared" si="216"/>
        <v>1292</v>
      </c>
    </row>
    <row r="1343" spans="2:19" x14ac:dyDescent="0.2">
      <c r="B1343" s="88">
        <f t="shared" si="212"/>
        <v>624</v>
      </c>
      <c r="C1343" s="4"/>
      <c r="D1343" s="4"/>
      <c r="E1343" s="4"/>
      <c r="F1343" s="30" t="s">
        <v>87</v>
      </c>
      <c r="G1343" s="4">
        <v>633</v>
      </c>
      <c r="H1343" s="4" t="s">
        <v>137</v>
      </c>
      <c r="I1343" s="23">
        <v>45901</v>
      </c>
      <c r="J1343" s="23"/>
      <c r="K1343" s="220">
        <f t="shared" si="210"/>
        <v>45901</v>
      </c>
      <c r="L1343" s="259"/>
      <c r="M1343" s="227"/>
      <c r="N1343" s="23"/>
      <c r="O1343" s="220">
        <f t="shared" si="211"/>
        <v>0</v>
      </c>
      <c r="P1343" s="259"/>
      <c r="Q1343" s="308">
        <f t="shared" si="217"/>
        <v>45901</v>
      </c>
      <c r="R1343" s="92">
        <f t="shared" si="215"/>
        <v>0</v>
      </c>
      <c r="S1343" s="92">
        <f t="shared" si="216"/>
        <v>45901</v>
      </c>
    </row>
    <row r="1344" spans="2:19" x14ac:dyDescent="0.2">
      <c r="B1344" s="88">
        <f t="shared" si="212"/>
        <v>625</v>
      </c>
      <c r="C1344" s="4"/>
      <c r="D1344" s="4"/>
      <c r="E1344" s="4"/>
      <c r="F1344" s="30" t="s">
        <v>87</v>
      </c>
      <c r="G1344" s="4">
        <v>635</v>
      </c>
      <c r="H1344" s="4" t="s">
        <v>145</v>
      </c>
      <c r="I1344" s="23">
        <v>645</v>
      </c>
      <c r="J1344" s="23"/>
      <c r="K1344" s="220">
        <f t="shared" si="210"/>
        <v>645</v>
      </c>
      <c r="L1344" s="259"/>
      <c r="M1344" s="227"/>
      <c r="N1344" s="23"/>
      <c r="O1344" s="220">
        <f t="shared" si="211"/>
        <v>0</v>
      </c>
      <c r="P1344" s="259"/>
      <c r="Q1344" s="308">
        <f t="shared" si="217"/>
        <v>645</v>
      </c>
      <c r="R1344" s="92">
        <f t="shared" si="215"/>
        <v>0</v>
      </c>
      <c r="S1344" s="92">
        <f t="shared" si="216"/>
        <v>645</v>
      </c>
    </row>
    <row r="1345" spans="2:19" x14ac:dyDescent="0.2">
      <c r="B1345" s="88">
        <f t="shared" si="212"/>
        <v>626</v>
      </c>
      <c r="C1345" s="4"/>
      <c r="D1345" s="4"/>
      <c r="E1345" s="4"/>
      <c r="F1345" s="30" t="s">
        <v>87</v>
      </c>
      <c r="G1345" s="4">
        <v>637</v>
      </c>
      <c r="H1345" s="4" t="s">
        <v>134</v>
      </c>
      <c r="I1345" s="23">
        <v>1755</v>
      </c>
      <c r="J1345" s="23"/>
      <c r="K1345" s="220">
        <f t="shared" si="210"/>
        <v>1755</v>
      </c>
      <c r="L1345" s="259"/>
      <c r="M1345" s="227"/>
      <c r="N1345" s="23"/>
      <c r="O1345" s="220">
        <f t="shared" si="211"/>
        <v>0</v>
      </c>
      <c r="P1345" s="259"/>
      <c r="Q1345" s="308">
        <f t="shared" si="217"/>
        <v>1755</v>
      </c>
      <c r="R1345" s="92">
        <f t="shared" si="215"/>
        <v>0</v>
      </c>
      <c r="S1345" s="92">
        <f t="shared" si="216"/>
        <v>1755</v>
      </c>
    </row>
    <row r="1346" spans="2:19" x14ac:dyDescent="0.2">
      <c r="B1346" s="88">
        <f t="shared" si="212"/>
        <v>627</v>
      </c>
      <c r="C1346" s="10"/>
      <c r="D1346" s="10"/>
      <c r="E1346" s="10"/>
      <c r="F1346" s="29" t="s">
        <v>87</v>
      </c>
      <c r="G1346" s="10">
        <v>640</v>
      </c>
      <c r="H1346" s="10" t="s">
        <v>141</v>
      </c>
      <c r="I1346" s="27">
        <v>758</v>
      </c>
      <c r="J1346" s="27"/>
      <c r="K1346" s="250">
        <f t="shared" si="210"/>
        <v>758</v>
      </c>
      <c r="L1346" s="259"/>
      <c r="M1346" s="315"/>
      <c r="N1346" s="27"/>
      <c r="O1346" s="250">
        <f t="shared" si="211"/>
        <v>0</v>
      </c>
      <c r="P1346" s="259"/>
      <c r="Q1346" s="309">
        <f t="shared" si="217"/>
        <v>758</v>
      </c>
      <c r="R1346" s="91">
        <f t="shared" si="215"/>
        <v>0</v>
      </c>
      <c r="S1346" s="91">
        <f t="shared" si="216"/>
        <v>758</v>
      </c>
    </row>
    <row r="1347" spans="2:19" x14ac:dyDescent="0.2">
      <c r="B1347" s="88">
        <f t="shared" si="212"/>
        <v>628</v>
      </c>
      <c r="C1347" s="10"/>
      <c r="D1347" s="10"/>
      <c r="E1347" s="10"/>
      <c r="F1347" s="29" t="s">
        <v>55</v>
      </c>
      <c r="G1347" s="10">
        <v>610</v>
      </c>
      <c r="H1347" s="10" t="s">
        <v>143</v>
      </c>
      <c r="I1347" s="27">
        <v>39549</v>
      </c>
      <c r="J1347" s="27"/>
      <c r="K1347" s="250">
        <f t="shared" si="210"/>
        <v>39549</v>
      </c>
      <c r="L1347" s="259"/>
      <c r="M1347" s="315"/>
      <c r="N1347" s="27"/>
      <c r="O1347" s="250">
        <f t="shared" si="211"/>
        <v>0</v>
      </c>
      <c r="P1347" s="259"/>
      <c r="Q1347" s="309">
        <f t="shared" si="217"/>
        <v>39549</v>
      </c>
      <c r="R1347" s="91">
        <f t="shared" si="215"/>
        <v>0</v>
      </c>
      <c r="S1347" s="91">
        <f t="shared" si="216"/>
        <v>39549</v>
      </c>
    </row>
    <row r="1348" spans="2:19" x14ac:dyDescent="0.2">
      <c r="B1348" s="88">
        <f t="shared" si="212"/>
        <v>629</v>
      </c>
      <c r="C1348" s="10"/>
      <c r="D1348" s="10"/>
      <c r="E1348" s="10"/>
      <c r="F1348" s="29" t="s">
        <v>55</v>
      </c>
      <c r="G1348" s="10">
        <v>620</v>
      </c>
      <c r="H1348" s="10" t="s">
        <v>136</v>
      </c>
      <c r="I1348" s="27">
        <v>14544</v>
      </c>
      <c r="J1348" s="27"/>
      <c r="K1348" s="250">
        <f t="shared" si="210"/>
        <v>14544</v>
      </c>
      <c r="L1348" s="259"/>
      <c r="M1348" s="315"/>
      <c r="N1348" s="27"/>
      <c r="O1348" s="250">
        <f t="shared" si="211"/>
        <v>0</v>
      </c>
      <c r="P1348" s="259"/>
      <c r="Q1348" s="309">
        <f t="shared" si="217"/>
        <v>14544</v>
      </c>
      <c r="R1348" s="91">
        <f t="shared" si="215"/>
        <v>0</v>
      </c>
      <c r="S1348" s="91">
        <f t="shared" si="216"/>
        <v>14544</v>
      </c>
    </row>
    <row r="1349" spans="2:19" x14ac:dyDescent="0.2">
      <c r="B1349" s="88">
        <f t="shared" si="212"/>
        <v>630</v>
      </c>
      <c r="C1349" s="10"/>
      <c r="D1349" s="10"/>
      <c r="E1349" s="10"/>
      <c r="F1349" s="29" t="s">
        <v>55</v>
      </c>
      <c r="G1349" s="10">
        <v>630</v>
      </c>
      <c r="H1349" s="10" t="s">
        <v>133</v>
      </c>
      <c r="I1349" s="27">
        <f>SUM(I1350:I1353)</f>
        <v>48424</v>
      </c>
      <c r="J1349" s="27">
        <f>SUM(J1350:J1353)</f>
        <v>0</v>
      </c>
      <c r="K1349" s="250">
        <f t="shared" si="210"/>
        <v>48424</v>
      </c>
      <c r="L1349" s="259"/>
      <c r="M1349" s="315"/>
      <c r="N1349" s="27"/>
      <c r="O1349" s="250">
        <f t="shared" si="211"/>
        <v>0</v>
      </c>
      <c r="P1349" s="259"/>
      <c r="Q1349" s="309">
        <f t="shared" si="217"/>
        <v>48424</v>
      </c>
      <c r="R1349" s="91">
        <f t="shared" si="215"/>
        <v>0</v>
      </c>
      <c r="S1349" s="91">
        <f t="shared" si="216"/>
        <v>48424</v>
      </c>
    </row>
    <row r="1350" spans="2:19" x14ac:dyDescent="0.2">
      <c r="B1350" s="88">
        <f t="shared" si="212"/>
        <v>631</v>
      </c>
      <c r="C1350" s="4"/>
      <c r="D1350" s="4"/>
      <c r="E1350" s="4"/>
      <c r="F1350" s="30" t="s">
        <v>55</v>
      </c>
      <c r="G1350" s="4">
        <v>632</v>
      </c>
      <c r="H1350" s="4" t="s">
        <v>146</v>
      </c>
      <c r="I1350" s="23">
        <v>1796</v>
      </c>
      <c r="J1350" s="23"/>
      <c r="K1350" s="220">
        <f t="shared" si="210"/>
        <v>1796</v>
      </c>
      <c r="L1350" s="259"/>
      <c r="M1350" s="227"/>
      <c r="N1350" s="23"/>
      <c r="O1350" s="220">
        <f t="shared" si="211"/>
        <v>0</v>
      </c>
      <c r="P1350" s="259"/>
      <c r="Q1350" s="308">
        <f t="shared" si="217"/>
        <v>1796</v>
      </c>
      <c r="R1350" s="92">
        <f t="shared" si="215"/>
        <v>0</v>
      </c>
      <c r="S1350" s="92">
        <f t="shared" si="216"/>
        <v>1796</v>
      </c>
    </row>
    <row r="1351" spans="2:19" x14ac:dyDescent="0.2">
      <c r="B1351" s="88">
        <f t="shared" si="212"/>
        <v>632</v>
      </c>
      <c r="C1351" s="4"/>
      <c r="D1351" s="4"/>
      <c r="E1351" s="4"/>
      <c r="F1351" s="30" t="s">
        <v>55</v>
      </c>
      <c r="G1351" s="4">
        <v>633</v>
      </c>
      <c r="H1351" s="4" t="s">
        <v>137</v>
      </c>
      <c r="I1351" s="23">
        <f>43412+366</f>
        <v>43778</v>
      </c>
      <c r="J1351" s="23"/>
      <c r="K1351" s="220">
        <f t="shared" si="210"/>
        <v>43778</v>
      </c>
      <c r="L1351" s="259"/>
      <c r="M1351" s="227"/>
      <c r="N1351" s="23"/>
      <c r="O1351" s="220">
        <f t="shared" si="211"/>
        <v>0</v>
      </c>
      <c r="P1351" s="259"/>
      <c r="Q1351" s="308">
        <f t="shared" si="217"/>
        <v>43778</v>
      </c>
      <c r="R1351" s="92">
        <f t="shared" si="215"/>
        <v>0</v>
      </c>
      <c r="S1351" s="92">
        <f t="shared" si="216"/>
        <v>43778</v>
      </c>
    </row>
    <row r="1352" spans="2:19" x14ac:dyDescent="0.2">
      <c r="B1352" s="88">
        <f t="shared" si="212"/>
        <v>633</v>
      </c>
      <c r="C1352" s="4"/>
      <c r="D1352" s="4"/>
      <c r="E1352" s="4"/>
      <c r="F1352" s="30" t="s">
        <v>55</v>
      </c>
      <c r="G1352" s="4">
        <v>635</v>
      </c>
      <c r="H1352" s="4" t="s">
        <v>145</v>
      </c>
      <c r="I1352" s="23">
        <v>855</v>
      </c>
      <c r="J1352" s="23"/>
      <c r="K1352" s="220">
        <f t="shared" si="210"/>
        <v>855</v>
      </c>
      <c r="L1352" s="259"/>
      <c r="M1352" s="227"/>
      <c r="N1352" s="23"/>
      <c r="O1352" s="220">
        <f t="shared" si="211"/>
        <v>0</v>
      </c>
      <c r="P1352" s="259"/>
      <c r="Q1352" s="308">
        <f t="shared" si="217"/>
        <v>855</v>
      </c>
      <c r="R1352" s="92">
        <f t="shared" si="215"/>
        <v>0</v>
      </c>
      <c r="S1352" s="92">
        <f t="shared" si="216"/>
        <v>855</v>
      </c>
    </row>
    <row r="1353" spans="2:19" x14ac:dyDescent="0.2">
      <c r="B1353" s="88">
        <f t="shared" si="212"/>
        <v>634</v>
      </c>
      <c r="C1353" s="4"/>
      <c r="D1353" s="4"/>
      <c r="E1353" s="4"/>
      <c r="F1353" s="30" t="s">
        <v>55</v>
      </c>
      <c r="G1353" s="4">
        <v>637</v>
      </c>
      <c r="H1353" s="4" t="s">
        <v>134</v>
      </c>
      <c r="I1353" s="23">
        <v>1995</v>
      </c>
      <c r="J1353" s="23"/>
      <c r="K1353" s="220">
        <f t="shared" si="210"/>
        <v>1995</v>
      </c>
      <c r="L1353" s="259"/>
      <c r="M1353" s="227"/>
      <c r="N1353" s="23"/>
      <c r="O1353" s="220">
        <f t="shared" si="211"/>
        <v>0</v>
      </c>
      <c r="P1353" s="259"/>
      <c r="Q1353" s="308">
        <f t="shared" si="217"/>
        <v>1995</v>
      </c>
      <c r="R1353" s="92">
        <f t="shared" si="215"/>
        <v>0</v>
      </c>
      <c r="S1353" s="92">
        <f t="shared" si="216"/>
        <v>1995</v>
      </c>
    </row>
    <row r="1354" spans="2:19" x14ac:dyDescent="0.2">
      <c r="B1354" s="88">
        <f t="shared" si="212"/>
        <v>635</v>
      </c>
      <c r="C1354" s="10"/>
      <c r="D1354" s="10"/>
      <c r="E1354" s="10"/>
      <c r="F1354" s="29" t="s">
        <v>55</v>
      </c>
      <c r="G1354" s="10">
        <v>640</v>
      </c>
      <c r="H1354" s="10" t="s">
        <v>141</v>
      </c>
      <c r="I1354" s="27">
        <v>1873</v>
      </c>
      <c r="J1354" s="27"/>
      <c r="K1354" s="250">
        <f t="shared" si="210"/>
        <v>1873</v>
      </c>
      <c r="L1354" s="259"/>
      <c r="M1354" s="315"/>
      <c r="N1354" s="27"/>
      <c r="O1354" s="250">
        <f t="shared" si="211"/>
        <v>0</v>
      </c>
      <c r="P1354" s="259"/>
      <c r="Q1354" s="309">
        <f t="shared" si="217"/>
        <v>1873</v>
      </c>
      <c r="R1354" s="91">
        <f t="shared" si="215"/>
        <v>0</v>
      </c>
      <c r="S1354" s="91">
        <f t="shared" si="216"/>
        <v>1873</v>
      </c>
    </row>
    <row r="1355" spans="2:19" ht="15" x14ac:dyDescent="0.25">
      <c r="B1355" s="88">
        <f t="shared" si="212"/>
        <v>636</v>
      </c>
      <c r="C1355" s="13"/>
      <c r="D1355" s="13"/>
      <c r="E1355" s="13">
        <v>8</v>
      </c>
      <c r="F1355" s="32"/>
      <c r="G1355" s="13"/>
      <c r="H1355" s="13" t="s">
        <v>10</v>
      </c>
      <c r="I1355" s="42">
        <f>I1356+I1358</f>
        <v>141861</v>
      </c>
      <c r="J1355" s="42">
        <f>J1356+J1358</f>
        <v>0</v>
      </c>
      <c r="K1355" s="255">
        <f t="shared" si="210"/>
        <v>141861</v>
      </c>
      <c r="L1355" s="259"/>
      <c r="M1355" s="317"/>
      <c r="N1355" s="42"/>
      <c r="O1355" s="255">
        <f t="shared" si="211"/>
        <v>0</v>
      </c>
      <c r="P1355" s="259"/>
      <c r="Q1355" s="312">
        <f t="shared" si="217"/>
        <v>141861</v>
      </c>
      <c r="R1355" s="99">
        <f t="shared" si="215"/>
        <v>0</v>
      </c>
      <c r="S1355" s="99">
        <f t="shared" si="216"/>
        <v>141861</v>
      </c>
    </row>
    <row r="1356" spans="2:19" x14ac:dyDescent="0.2">
      <c r="B1356" s="88">
        <f t="shared" si="212"/>
        <v>637</v>
      </c>
      <c r="C1356" s="10"/>
      <c r="D1356" s="10"/>
      <c r="E1356" s="10"/>
      <c r="F1356" s="29" t="s">
        <v>87</v>
      </c>
      <c r="G1356" s="10">
        <v>630</v>
      </c>
      <c r="H1356" s="10" t="s">
        <v>133</v>
      </c>
      <c r="I1356" s="27">
        <f>I1357</f>
        <v>56745</v>
      </c>
      <c r="J1356" s="27">
        <f>J1357</f>
        <v>0</v>
      </c>
      <c r="K1356" s="250">
        <f t="shared" si="210"/>
        <v>56745</v>
      </c>
      <c r="L1356" s="259"/>
      <c r="M1356" s="315"/>
      <c r="N1356" s="27"/>
      <c r="O1356" s="250">
        <f t="shared" si="211"/>
        <v>0</v>
      </c>
      <c r="P1356" s="259"/>
      <c r="Q1356" s="309">
        <f t="shared" si="217"/>
        <v>56745</v>
      </c>
      <c r="R1356" s="91">
        <f t="shared" si="215"/>
        <v>0</v>
      </c>
      <c r="S1356" s="91">
        <f t="shared" si="216"/>
        <v>56745</v>
      </c>
    </row>
    <row r="1357" spans="2:19" x14ac:dyDescent="0.2">
      <c r="B1357" s="88">
        <f t="shared" si="212"/>
        <v>638</v>
      </c>
      <c r="C1357" s="4"/>
      <c r="D1357" s="4"/>
      <c r="E1357" s="4"/>
      <c r="F1357" s="30" t="s">
        <v>87</v>
      </c>
      <c r="G1357" s="4">
        <v>637</v>
      </c>
      <c r="H1357" s="4" t="s">
        <v>134</v>
      </c>
      <c r="I1357" s="23">
        <v>56745</v>
      </c>
      <c r="J1357" s="23"/>
      <c r="K1357" s="220">
        <f t="shared" si="210"/>
        <v>56745</v>
      </c>
      <c r="L1357" s="259"/>
      <c r="M1357" s="227"/>
      <c r="N1357" s="23"/>
      <c r="O1357" s="220">
        <f t="shared" si="211"/>
        <v>0</v>
      </c>
      <c r="P1357" s="259"/>
      <c r="Q1357" s="308">
        <f t="shared" si="217"/>
        <v>56745</v>
      </c>
      <c r="R1357" s="92">
        <f t="shared" si="215"/>
        <v>0</v>
      </c>
      <c r="S1357" s="92">
        <f t="shared" si="216"/>
        <v>56745</v>
      </c>
    </row>
    <row r="1358" spans="2:19" x14ac:dyDescent="0.2">
      <c r="B1358" s="88">
        <f t="shared" si="212"/>
        <v>639</v>
      </c>
      <c r="C1358" s="10"/>
      <c r="D1358" s="10"/>
      <c r="E1358" s="10"/>
      <c r="F1358" s="29" t="s">
        <v>55</v>
      </c>
      <c r="G1358" s="10">
        <v>630</v>
      </c>
      <c r="H1358" s="10" t="s">
        <v>133</v>
      </c>
      <c r="I1358" s="27">
        <f>I1359</f>
        <v>85116</v>
      </c>
      <c r="J1358" s="27">
        <f>J1359</f>
        <v>0</v>
      </c>
      <c r="K1358" s="250">
        <f t="shared" si="210"/>
        <v>85116</v>
      </c>
      <c r="L1358" s="259"/>
      <c r="M1358" s="315"/>
      <c r="N1358" s="27"/>
      <c r="O1358" s="250">
        <f t="shared" si="211"/>
        <v>0</v>
      </c>
      <c r="P1358" s="259"/>
      <c r="Q1358" s="309">
        <f t="shared" si="217"/>
        <v>85116</v>
      </c>
      <c r="R1358" s="91">
        <f t="shared" si="215"/>
        <v>0</v>
      </c>
      <c r="S1358" s="91">
        <f t="shared" si="216"/>
        <v>85116</v>
      </c>
    </row>
    <row r="1359" spans="2:19" x14ac:dyDescent="0.2">
      <c r="B1359" s="88">
        <f t="shared" si="212"/>
        <v>640</v>
      </c>
      <c r="C1359" s="4"/>
      <c r="D1359" s="4"/>
      <c r="E1359" s="4"/>
      <c r="F1359" s="30" t="s">
        <v>55</v>
      </c>
      <c r="G1359" s="4">
        <v>637</v>
      </c>
      <c r="H1359" s="4" t="s">
        <v>134</v>
      </c>
      <c r="I1359" s="23">
        <v>85116</v>
      </c>
      <c r="J1359" s="23"/>
      <c r="K1359" s="220">
        <f t="shared" si="210"/>
        <v>85116</v>
      </c>
      <c r="L1359" s="259"/>
      <c r="M1359" s="227"/>
      <c r="N1359" s="23"/>
      <c r="O1359" s="220">
        <f t="shared" si="211"/>
        <v>0</v>
      </c>
      <c r="P1359" s="259"/>
      <c r="Q1359" s="308">
        <f t="shared" si="217"/>
        <v>85116</v>
      </c>
      <c r="R1359" s="92">
        <f t="shared" si="215"/>
        <v>0</v>
      </c>
      <c r="S1359" s="92">
        <f t="shared" si="216"/>
        <v>85116</v>
      </c>
    </row>
    <row r="1360" spans="2:19" ht="15" x14ac:dyDescent="0.25">
      <c r="B1360" s="88">
        <f t="shared" si="212"/>
        <v>641</v>
      </c>
      <c r="C1360" s="13"/>
      <c r="D1360" s="13"/>
      <c r="E1360" s="13">
        <v>9</v>
      </c>
      <c r="F1360" s="32"/>
      <c r="G1360" s="13"/>
      <c r="H1360" s="13" t="s">
        <v>8</v>
      </c>
      <c r="I1360" s="42">
        <f>I1361+I1362+I1363+I1368+I1369+I1370</f>
        <v>159296</v>
      </c>
      <c r="J1360" s="42">
        <f>J1361+J1362+J1363+J1368+J1369+J1370</f>
        <v>0</v>
      </c>
      <c r="K1360" s="255">
        <f t="shared" si="210"/>
        <v>159296</v>
      </c>
      <c r="L1360" s="259"/>
      <c r="M1360" s="317">
        <f>M1375</f>
        <v>2666</v>
      </c>
      <c r="N1360" s="42">
        <f t="shared" ref="N1360" si="218">N1375</f>
        <v>0</v>
      </c>
      <c r="O1360" s="255">
        <f t="shared" si="211"/>
        <v>2666</v>
      </c>
      <c r="P1360" s="259"/>
      <c r="Q1360" s="312">
        <f t="shared" si="217"/>
        <v>161962</v>
      </c>
      <c r="R1360" s="99">
        <f t="shared" si="215"/>
        <v>0</v>
      </c>
      <c r="S1360" s="99">
        <f t="shared" si="216"/>
        <v>161962</v>
      </c>
    </row>
    <row r="1361" spans="2:19" x14ac:dyDescent="0.2">
      <c r="B1361" s="88">
        <f t="shared" si="212"/>
        <v>642</v>
      </c>
      <c r="C1361" s="10"/>
      <c r="D1361" s="10"/>
      <c r="E1361" s="10"/>
      <c r="F1361" s="29" t="s">
        <v>87</v>
      </c>
      <c r="G1361" s="10">
        <v>610</v>
      </c>
      <c r="H1361" s="10" t="s">
        <v>143</v>
      </c>
      <c r="I1361" s="27">
        <f>22533+1733</f>
        <v>24266</v>
      </c>
      <c r="J1361" s="27"/>
      <c r="K1361" s="250">
        <f t="shared" si="210"/>
        <v>24266</v>
      </c>
      <c r="L1361" s="259"/>
      <c r="M1361" s="315"/>
      <c r="N1361" s="27"/>
      <c r="O1361" s="250">
        <f t="shared" si="211"/>
        <v>0</v>
      </c>
      <c r="P1361" s="259"/>
      <c r="Q1361" s="309">
        <f t="shared" si="217"/>
        <v>24266</v>
      </c>
      <c r="R1361" s="91">
        <f t="shared" si="215"/>
        <v>0</v>
      </c>
      <c r="S1361" s="91">
        <f t="shared" si="216"/>
        <v>24266</v>
      </c>
    </row>
    <row r="1362" spans="2:19" x14ac:dyDescent="0.2">
      <c r="B1362" s="88">
        <f t="shared" si="212"/>
        <v>643</v>
      </c>
      <c r="C1362" s="10"/>
      <c r="D1362" s="10"/>
      <c r="E1362" s="10"/>
      <c r="F1362" s="29" t="s">
        <v>87</v>
      </c>
      <c r="G1362" s="10">
        <v>620</v>
      </c>
      <c r="H1362" s="10" t="s">
        <v>136</v>
      </c>
      <c r="I1362" s="27">
        <f>8094+608</f>
        <v>8702</v>
      </c>
      <c r="J1362" s="27"/>
      <c r="K1362" s="250">
        <f t="shared" si="210"/>
        <v>8702</v>
      </c>
      <c r="L1362" s="259"/>
      <c r="M1362" s="315"/>
      <c r="N1362" s="27"/>
      <c r="O1362" s="250">
        <f t="shared" si="211"/>
        <v>0</v>
      </c>
      <c r="P1362" s="259"/>
      <c r="Q1362" s="309">
        <f t="shared" si="217"/>
        <v>8702</v>
      </c>
      <c r="R1362" s="91">
        <f t="shared" si="215"/>
        <v>0</v>
      </c>
      <c r="S1362" s="91">
        <f t="shared" si="216"/>
        <v>8702</v>
      </c>
    </row>
    <row r="1363" spans="2:19" x14ac:dyDescent="0.2">
      <c r="B1363" s="88">
        <f t="shared" si="212"/>
        <v>644</v>
      </c>
      <c r="C1363" s="10"/>
      <c r="D1363" s="10"/>
      <c r="E1363" s="10"/>
      <c r="F1363" s="29" t="s">
        <v>87</v>
      </c>
      <c r="G1363" s="10">
        <v>630</v>
      </c>
      <c r="H1363" s="10" t="s">
        <v>133</v>
      </c>
      <c r="I1363" s="27">
        <f>SUM(I1364:I1367)</f>
        <v>46430</v>
      </c>
      <c r="J1363" s="27">
        <f>SUM(J1364:J1367)</f>
        <v>0</v>
      </c>
      <c r="K1363" s="250">
        <f t="shared" si="210"/>
        <v>46430</v>
      </c>
      <c r="L1363" s="259"/>
      <c r="M1363" s="315"/>
      <c r="N1363" s="27"/>
      <c r="O1363" s="250">
        <f t="shared" si="211"/>
        <v>0</v>
      </c>
      <c r="P1363" s="259"/>
      <c r="Q1363" s="309">
        <f t="shared" si="217"/>
        <v>46430</v>
      </c>
      <c r="R1363" s="91">
        <f t="shared" si="215"/>
        <v>0</v>
      </c>
      <c r="S1363" s="91">
        <f t="shared" si="216"/>
        <v>46430</v>
      </c>
    </row>
    <row r="1364" spans="2:19" x14ac:dyDescent="0.2">
      <c r="B1364" s="88">
        <f t="shared" si="212"/>
        <v>645</v>
      </c>
      <c r="C1364" s="4"/>
      <c r="D1364" s="4"/>
      <c r="E1364" s="4"/>
      <c r="F1364" s="30" t="s">
        <v>87</v>
      </c>
      <c r="G1364" s="4">
        <v>632</v>
      </c>
      <c r="H1364" s="4" t="s">
        <v>146</v>
      </c>
      <c r="I1364" s="23">
        <v>9130</v>
      </c>
      <c r="J1364" s="23"/>
      <c r="K1364" s="220">
        <f t="shared" si="210"/>
        <v>9130</v>
      </c>
      <c r="L1364" s="259"/>
      <c r="M1364" s="227"/>
      <c r="N1364" s="23"/>
      <c r="O1364" s="220">
        <f t="shared" si="211"/>
        <v>0</v>
      </c>
      <c r="P1364" s="259"/>
      <c r="Q1364" s="308">
        <f t="shared" si="217"/>
        <v>9130</v>
      </c>
      <c r="R1364" s="92">
        <f t="shared" si="215"/>
        <v>0</v>
      </c>
      <c r="S1364" s="92">
        <f t="shared" si="216"/>
        <v>9130</v>
      </c>
    </row>
    <row r="1365" spans="2:19" x14ac:dyDescent="0.2">
      <c r="B1365" s="88">
        <f t="shared" si="212"/>
        <v>646</v>
      </c>
      <c r="C1365" s="4"/>
      <c r="D1365" s="4"/>
      <c r="E1365" s="4"/>
      <c r="F1365" s="30" t="s">
        <v>87</v>
      </c>
      <c r="G1365" s="4">
        <v>633</v>
      </c>
      <c r="H1365" s="4" t="s">
        <v>137</v>
      </c>
      <c r="I1365" s="23">
        <f>33800-250</f>
        <v>33550</v>
      </c>
      <c r="J1365" s="23"/>
      <c r="K1365" s="220">
        <f t="shared" si="210"/>
        <v>33550</v>
      </c>
      <c r="L1365" s="259"/>
      <c r="M1365" s="227"/>
      <c r="N1365" s="23"/>
      <c r="O1365" s="220">
        <f t="shared" si="211"/>
        <v>0</v>
      </c>
      <c r="P1365" s="259"/>
      <c r="Q1365" s="308">
        <f t="shared" si="217"/>
        <v>33550</v>
      </c>
      <c r="R1365" s="92">
        <f t="shared" si="215"/>
        <v>0</v>
      </c>
      <c r="S1365" s="92">
        <f t="shared" si="216"/>
        <v>33550</v>
      </c>
    </row>
    <row r="1366" spans="2:19" x14ac:dyDescent="0.2">
      <c r="B1366" s="88">
        <f t="shared" si="212"/>
        <v>647</v>
      </c>
      <c r="C1366" s="4"/>
      <c r="D1366" s="4"/>
      <c r="E1366" s="4"/>
      <c r="F1366" s="30" t="s">
        <v>87</v>
      </c>
      <c r="G1366" s="4">
        <v>635</v>
      </c>
      <c r="H1366" s="4" t="s">
        <v>145</v>
      </c>
      <c r="I1366" s="23">
        <v>1700</v>
      </c>
      <c r="J1366" s="23"/>
      <c r="K1366" s="220">
        <f t="shared" si="210"/>
        <v>1700</v>
      </c>
      <c r="L1366" s="259"/>
      <c r="M1366" s="227"/>
      <c r="N1366" s="23"/>
      <c r="O1366" s="220">
        <f t="shared" si="211"/>
        <v>0</v>
      </c>
      <c r="P1366" s="259"/>
      <c r="Q1366" s="308">
        <f t="shared" si="217"/>
        <v>1700</v>
      </c>
      <c r="R1366" s="92">
        <f t="shared" si="215"/>
        <v>0</v>
      </c>
      <c r="S1366" s="92">
        <f t="shared" si="216"/>
        <v>1700</v>
      </c>
    </row>
    <row r="1367" spans="2:19" x14ac:dyDescent="0.2">
      <c r="B1367" s="88">
        <f t="shared" si="212"/>
        <v>648</v>
      </c>
      <c r="C1367" s="4"/>
      <c r="D1367" s="4"/>
      <c r="E1367" s="4"/>
      <c r="F1367" s="30" t="s">
        <v>87</v>
      </c>
      <c r="G1367" s="4">
        <v>637</v>
      </c>
      <c r="H1367" s="4" t="s">
        <v>134</v>
      </c>
      <c r="I1367" s="23">
        <v>2050</v>
      </c>
      <c r="J1367" s="23"/>
      <c r="K1367" s="220">
        <f t="shared" si="210"/>
        <v>2050</v>
      </c>
      <c r="L1367" s="259"/>
      <c r="M1367" s="227"/>
      <c r="N1367" s="23"/>
      <c r="O1367" s="220">
        <f t="shared" si="211"/>
        <v>0</v>
      </c>
      <c r="P1367" s="259"/>
      <c r="Q1367" s="308">
        <f t="shared" si="217"/>
        <v>2050</v>
      </c>
      <c r="R1367" s="92">
        <f t="shared" si="215"/>
        <v>0</v>
      </c>
      <c r="S1367" s="92">
        <f t="shared" si="216"/>
        <v>2050</v>
      </c>
    </row>
    <row r="1368" spans="2:19" x14ac:dyDescent="0.2">
      <c r="B1368" s="88">
        <f t="shared" si="212"/>
        <v>649</v>
      </c>
      <c r="C1368" s="10"/>
      <c r="D1368" s="10"/>
      <c r="E1368" s="10"/>
      <c r="F1368" s="29" t="s">
        <v>55</v>
      </c>
      <c r="G1368" s="10">
        <v>610</v>
      </c>
      <c r="H1368" s="10" t="s">
        <v>143</v>
      </c>
      <c r="I1368" s="27">
        <f>22533+1733</f>
        <v>24266</v>
      </c>
      <c r="J1368" s="27"/>
      <c r="K1368" s="250">
        <f t="shared" si="210"/>
        <v>24266</v>
      </c>
      <c r="L1368" s="259"/>
      <c r="M1368" s="315"/>
      <c r="N1368" s="27"/>
      <c r="O1368" s="250">
        <f t="shared" si="211"/>
        <v>0</v>
      </c>
      <c r="P1368" s="259"/>
      <c r="Q1368" s="309">
        <f t="shared" si="217"/>
        <v>24266</v>
      </c>
      <c r="R1368" s="91">
        <f t="shared" si="215"/>
        <v>0</v>
      </c>
      <c r="S1368" s="91">
        <f t="shared" si="216"/>
        <v>24266</v>
      </c>
    </row>
    <row r="1369" spans="2:19" x14ac:dyDescent="0.2">
      <c r="B1369" s="88">
        <f t="shared" si="212"/>
        <v>650</v>
      </c>
      <c r="C1369" s="10"/>
      <c r="D1369" s="10"/>
      <c r="E1369" s="10"/>
      <c r="F1369" s="29" t="s">
        <v>55</v>
      </c>
      <c r="G1369" s="10">
        <v>620</v>
      </c>
      <c r="H1369" s="10" t="s">
        <v>136</v>
      </c>
      <c r="I1369" s="27">
        <f>8094+608</f>
        <v>8702</v>
      </c>
      <c r="J1369" s="27"/>
      <c r="K1369" s="250">
        <f t="shared" si="210"/>
        <v>8702</v>
      </c>
      <c r="L1369" s="259"/>
      <c r="M1369" s="315"/>
      <c r="N1369" s="27"/>
      <c r="O1369" s="250">
        <f t="shared" si="211"/>
        <v>0</v>
      </c>
      <c r="P1369" s="259"/>
      <c r="Q1369" s="309">
        <f t="shared" si="217"/>
        <v>8702</v>
      </c>
      <c r="R1369" s="91">
        <f t="shared" si="215"/>
        <v>0</v>
      </c>
      <c r="S1369" s="91">
        <f t="shared" si="216"/>
        <v>8702</v>
      </c>
    </row>
    <row r="1370" spans="2:19" x14ac:dyDescent="0.2">
      <c r="B1370" s="88">
        <f t="shared" si="212"/>
        <v>651</v>
      </c>
      <c r="C1370" s="10"/>
      <c r="D1370" s="10"/>
      <c r="E1370" s="10"/>
      <c r="F1370" s="29" t="s">
        <v>55</v>
      </c>
      <c r="G1370" s="10">
        <v>630</v>
      </c>
      <c r="H1370" s="10" t="s">
        <v>133</v>
      </c>
      <c r="I1370" s="27">
        <f>SUM(I1371:I1374)</f>
        <v>46930</v>
      </c>
      <c r="J1370" s="27">
        <f>SUM(J1371:J1374)</f>
        <v>0</v>
      </c>
      <c r="K1370" s="250">
        <f t="shared" si="210"/>
        <v>46930</v>
      </c>
      <c r="L1370" s="259"/>
      <c r="M1370" s="315"/>
      <c r="N1370" s="27"/>
      <c r="O1370" s="250">
        <f t="shared" si="211"/>
        <v>0</v>
      </c>
      <c r="P1370" s="259"/>
      <c r="Q1370" s="309">
        <f t="shared" si="217"/>
        <v>46930</v>
      </c>
      <c r="R1370" s="91">
        <f t="shared" si="215"/>
        <v>0</v>
      </c>
      <c r="S1370" s="91">
        <f t="shared" si="216"/>
        <v>46930</v>
      </c>
    </row>
    <row r="1371" spans="2:19" x14ac:dyDescent="0.2">
      <c r="B1371" s="88">
        <f t="shared" si="212"/>
        <v>652</v>
      </c>
      <c r="C1371" s="4"/>
      <c r="D1371" s="4"/>
      <c r="E1371" s="4"/>
      <c r="F1371" s="30" t="s">
        <v>55</v>
      </c>
      <c r="G1371" s="4">
        <v>632</v>
      </c>
      <c r="H1371" s="4" t="s">
        <v>146</v>
      </c>
      <c r="I1371" s="23">
        <v>9130</v>
      </c>
      <c r="J1371" s="23"/>
      <c r="K1371" s="220">
        <f t="shared" si="210"/>
        <v>9130</v>
      </c>
      <c r="L1371" s="259"/>
      <c r="M1371" s="227"/>
      <c r="N1371" s="23"/>
      <c r="O1371" s="220">
        <f t="shared" si="211"/>
        <v>0</v>
      </c>
      <c r="P1371" s="259"/>
      <c r="Q1371" s="308">
        <f t="shared" si="217"/>
        <v>9130</v>
      </c>
      <c r="R1371" s="92">
        <f t="shared" si="215"/>
        <v>0</v>
      </c>
      <c r="S1371" s="92">
        <f t="shared" si="216"/>
        <v>9130</v>
      </c>
    </row>
    <row r="1372" spans="2:19" x14ac:dyDescent="0.2">
      <c r="B1372" s="88">
        <f t="shared" si="212"/>
        <v>653</v>
      </c>
      <c r="C1372" s="4"/>
      <c r="D1372" s="4"/>
      <c r="E1372" s="4"/>
      <c r="F1372" s="30" t="s">
        <v>55</v>
      </c>
      <c r="G1372" s="4">
        <v>633</v>
      </c>
      <c r="H1372" s="4" t="s">
        <v>137</v>
      </c>
      <c r="I1372" s="23">
        <f>33800-250</f>
        <v>33550</v>
      </c>
      <c r="J1372" s="23"/>
      <c r="K1372" s="220">
        <f t="shared" si="210"/>
        <v>33550</v>
      </c>
      <c r="L1372" s="259"/>
      <c r="M1372" s="227"/>
      <c r="N1372" s="23"/>
      <c r="O1372" s="220">
        <f t="shared" si="211"/>
        <v>0</v>
      </c>
      <c r="P1372" s="259"/>
      <c r="Q1372" s="308">
        <f t="shared" si="217"/>
        <v>33550</v>
      </c>
      <c r="R1372" s="92">
        <f t="shared" si="215"/>
        <v>0</v>
      </c>
      <c r="S1372" s="92">
        <f t="shared" si="216"/>
        <v>33550</v>
      </c>
    </row>
    <row r="1373" spans="2:19" x14ac:dyDescent="0.2">
      <c r="B1373" s="88">
        <f t="shared" si="212"/>
        <v>654</v>
      </c>
      <c r="C1373" s="4"/>
      <c r="D1373" s="4"/>
      <c r="E1373" s="4"/>
      <c r="F1373" s="30" t="s">
        <v>55</v>
      </c>
      <c r="G1373" s="4">
        <v>635</v>
      </c>
      <c r="H1373" s="4" t="s">
        <v>145</v>
      </c>
      <c r="I1373" s="23">
        <v>1700</v>
      </c>
      <c r="J1373" s="23"/>
      <c r="K1373" s="220">
        <f t="shared" si="210"/>
        <v>1700</v>
      </c>
      <c r="L1373" s="259"/>
      <c r="M1373" s="227"/>
      <c r="N1373" s="23"/>
      <c r="O1373" s="220">
        <f t="shared" si="211"/>
        <v>0</v>
      </c>
      <c r="P1373" s="259"/>
      <c r="Q1373" s="308">
        <f t="shared" si="217"/>
        <v>1700</v>
      </c>
      <c r="R1373" s="92">
        <f t="shared" si="215"/>
        <v>0</v>
      </c>
      <c r="S1373" s="92">
        <f t="shared" si="216"/>
        <v>1700</v>
      </c>
    </row>
    <row r="1374" spans="2:19" x14ac:dyDescent="0.2">
      <c r="B1374" s="88">
        <f t="shared" si="212"/>
        <v>655</v>
      </c>
      <c r="C1374" s="4"/>
      <c r="D1374" s="4"/>
      <c r="E1374" s="4"/>
      <c r="F1374" s="30" t="s">
        <v>55</v>
      </c>
      <c r="G1374" s="4">
        <v>637</v>
      </c>
      <c r="H1374" s="4" t="s">
        <v>134</v>
      </c>
      <c r="I1374" s="23">
        <f>2050+500</f>
        <v>2550</v>
      </c>
      <c r="J1374" s="23"/>
      <c r="K1374" s="220">
        <f t="shared" si="210"/>
        <v>2550</v>
      </c>
      <c r="L1374" s="259"/>
      <c r="M1374" s="227"/>
      <c r="N1374" s="23"/>
      <c r="O1374" s="220">
        <f t="shared" si="211"/>
        <v>0</v>
      </c>
      <c r="P1374" s="259"/>
      <c r="Q1374" s="308">
        <f t="shared" si="217"/>
        <v>2550</v>
      </c>
      <c r="R1374" s="92">
        <f t="shared" si="215"/>
        <v>0</v>
      </c>
      <c r="S1374" s="92">
        <f t="shared" si="216"/>
        <v>2550</v>
      </c>
    </row>
    <row r="1375" spans="2:19" x14ac:dyDescent="0.2">
      <c r="B1375" s="88">
        <f t="shared" si="212"/>
        <v>656</v>
      </c>
      <c r="C1375" s="4"/>
      <c r="D1375" s="4"/>
      <c r="E1375" s="4"/>
      <c r="F1375" s="194" t="s">
        <v>87</v>
      </c>
      <c r="G1375" s="195">
        <v>710</v>
      </c>
      <c r="H1375" s="10" t="s">
        <v>188</v>
      </c>
      <c r="I1375" s="23"/>
      <c r="J1375" s="23"/>
      <c r="K1375" s="220">
        <f t="shared" si="210"/>
        <v>0</v>
      </c>
      <c r="L1375" s="259"/>
      <c r="M1375" s="226">
        <f>M1376</f>
        <v>2666</v>
      </c>
      <c r="N1375" s="22">
        <f t="shared" ref="N1375:N1376" si="219">N1376</f>
        <v>0</v>
      </c>
      <c r="O1375" s="219">
        <f t="shared" si="211"/>
        <v>2666</v>
      </c>
      <c r="P1375" s="259"/>
      <c r="Q1375" s="373">
        <f t="shared" si="217"/>
        <v>2666</v>
      </c>
      <c r="R1375" s="118">
        <f t="shared" si="215"/>
        <v>0</v>
      </c>
      <c r="S1375" s="118">
        <f t="shared" si="216"/>
        <v>2666</v>
      </c>
    </row>
    <row r="1376" spans="2:19" x14ac:dyDescent="0.2">
      <c r="B1376" s="88">
        <f t="shared" si="212"/>
        <v>657</v>
      </c>
      <c r="C1376" s="4"/>
      <c r="D1376" s="4"/>
      <c r="E1376" s="4"/>
      <c r="F1376" s="196" t="s">
        <v>87</v>
      </c>
      <c r="G1376" s="197">
        <v>713</v>
      </c>
      <c r="H1376" s="4" t="s">
        <v>235</v>
      </c>
      <c r="I1376" s="23"/>
      <c r="J1376" s="23"/>
      <c r="K1376" s="220">
        <f t="shared" ref="K1376:K1439" si="220">I1376+J1376</f>
        <v>0</v>
      </c>
      <c r="L1376" s="259"/>
      <c r="M1376" s="227">
        <f>M1377</f>
        <v>2666</v>
      </c>
      <c r="N1376" s="23">
        <f t="shared" si="219"/>
        <v>0</v>
      </c>
      <c r="O1376" s="220">
        <f t="shared" ref="O1376:O1439" si="221">M1376+N1376</f>
        <v>2666</v>
      </c>
      <c r="P1376" s="259"/>
      <c r="Q1376" s="308">
        <f t="shared" si="217"/>
        <v>2666</v>
      </c>
      <c r="R1376" s="92">
        <f t="shared" si="215"/>
        <v>0</v>
      </c>
      <c r="S1376" s="92">
        <f t="shared" si="216"/>
        <v>2666</v>
      </c>
    </row>
    <row r="1377" spans="2:19" x14ac:dyDescent="0.2">
      <c r="B1377" s="88">
        <f t="shared" ref="B1377:B1440" si="222">B1376+1</f>
        <v>658</v>
      </c>
      <c r="C1377" s="4"/>
      <c r="D1377" s="4"/>
      <c r="E1377" s="4"/>
      <c r="F1377" s="196"/>
      <c r="G1377" s="197"/>
      <c r="H1377" s="5" t="s">
        <v>533</v>
      </c>
      <c r="I1377" s="23"/>
      <c r="J1377" s="23"/>
      <c r="K1377" s="220">
        <f t="shared" si="220"/>
        <v>0</v>
      </c>
      <c r="L1377" s="259"/>
      <c r="M1377" s="228">
        <f>1700+966</f>
        <v>2666</v>
      </c>
      <c r="N1377" s="198"/>
      <c r="O1377" s="369">
        <f t="shared" si="221"/>
        <v>2666</v>
      </c>
      <c r="P1377" s="259"/>
      <c r="Q1377" s="374">
        <f t="shared" si="217"/>
        <v>2666</v>
      </c>
      <c r="R1377" s="199">
        <f t="shared" si="215"/>
        <v>0</v>
      </c>
      <c r="S1377" s="199">
        <f t="shared" si="216"/>
        <v>2666</v>
      </c>
    </row>
    <row r="1378" spans="2:19" ht="15" x14ac:dyDescent="0.25">
      <c r="B1378" s="88">
        <f t="shared" si="222"/>
        <v>659</v>
      </c>
      <c r="C1378" s="13"/>
      <c r="D1378" s="13"/>
      <c r="E1378" s="13">
        <v>10</v>
      </c>
      <c r="F1378" s="32"/>
      <c r="G1378" s="13"/>
      <c r="H1378" s="13" t="s">
        <v>2</v>
      </c>
      <c r="I1378" s="42">
        <f>I1379+I1380+I1381+I1386+I1387+I1388+I1389+I1394</f>
        <v>255990</v>
      </c>
      <c r="J1378" s="42">
        <f>J1379+J1380+J1381+J1386+J1387+J1388+J1389+J1394</f>
        <v>0</v>
      </c>
      <c r="K1378" s="255">
        <f t="shared" si="220"/>
        <v>255990</v>
      </c>
      <c r="L1378" s="259"/>
      <c r="M1378" s="317">
        <v>0</v>
      </c>
      <c r="N1378" s="42">
        <v>0</v>
      </c>
      <c r="O1378" s="255">
        <f t="shared" si="221"/>
        <v>0</v>
      </c>
      <c r="P1378" s="259"/>
      <c r="Q1378" s="312">
        <f t="shared" si="217"/>
        <v>255990</v>
      </c>
      <c r="R1378" s="99">
        <f t="shared" si="215"/>
        <v>0</v>
      </c>
      <c r="S1378" s="99">
        <f t="shared" si="216"/>
        <v>255990</v>
      </c>
    </row>
    <row r="1379" spans="2:19" x14ac:dyDescent="0.2">
      <c r="B1379" s="88">
        <f t="shared" si="222"/>
        <v>660</v>
      </c>
      <c r="C1379" s="10"/>
      <c r="D1379" s="10"/>
      <c r="E1379" s="10"/>
      <c r="F1379" s="29" t="s">
        <v>87</v>
      </c>
      <c r="G1379" s="10">
        <v>610</v>
      </c>
      <c r="H1379" s="10" t="s">
        <v>143</v>
      </c>
      <c r="I1379" s="27">
        <f>32490+5616-4810</f>
        <v>33296</v>
      </c>
      <c r="J1379" s="27"/>
      <c r="K1379" s="250">
        <f t="shared" si="220"/>
        <v>33296</v>
      </c>
      <c r="L1379" s="259"/>
      <c r="M1379" s="315"/>
      <c r="N1379" s="27"/>
      <c r="O1379" s="250">
        <f t="shared" si="221"/>
        <v>0</v>
      </c>
      <c r="P1379" s="259"/>
      <c r="Q1379" s="309">
        <f t="shared" si="217"/>
        <v>33296</v>
      </c>
      <c r="R1379" s="91">
        <f t="shared" si="215"/>
        <v>0</v>
      </c>
      <c r="S1379" s="91">
        <f t="shared" si="216"/>
        <v>33296</v>
      </c>
    </row>
    <row r="1380" spans="2:19" x14ac:dyDescent="0.2">
      <c r="B1380" s="88">
        <f t="shared" si="222"/>
        <v>661</v>
      </c>
      <c r="C1380" s="10"/>
      <c r="D1380" s="10"/>
      <c r="E1380" s="10"/>
      <c r="F1380" s="29" t="s">
        <v>87</v>
      </c>
      <c r="G1380" s="10">
        <v>620</v>
      </c>
      <c r="H1380" s="10" t="s">
        <v>136</v>
      </c>
      <c r="I1380" s="27">
        <f>11356+1946-1690</f>
        <v>11612</v>
      </c>
      <c r="J1380" s="27"/>
      <c r="K1380" s="250">
        <f t="shared" si="220"/>
        <v>11612</v>
      </c>
      <c r="L1380" s="259"/>
      <c r="M1380" s="315"/>
      <c r="N1380" s="27"/>
      <c r="O1380" s="250">
        <f t="shared" si="221"/>
        <v>0</v>
      </c>
      <c r="P1380" s="259"/>
      <c r="Q1380" s="309">
        <f t="shared" si="217"/>
        <v>11612</v>
      </c>
      <c r="R1380" s="91">
        <f t="shared" si="215"/>
        <v>0</v>
      </c>
      <c r="S1380" s="91">
        <f t="shared" si="216"/>
        <v>11612</v>
      </c>
    </row>
    <row r="1381" spans="2:19" x14ac:dyDescent="0.2">
      <c r="B1381" s="88">
        <f t="shared" si="222"/>
        <v>662</v>
      </c>
      <c r="C1381" s="10"/>
      <c r="D1381" s="10"/>
      <c r="E1381" s="10"/>
      <c r="F1381" s="29" t="s">
        <v>87</v>
      </c>
      <c r="G1381" s="10">
        <v>630</v>
      </c>
      <c r="H1381" s="10" t="s">
        <v>133</v>
      </c>
      <c r="I1381" s="27">
        <f>SUM(I1382:I1385)</f>
        <v>65790</v>
      </c>
      <c r="J1381" s="27">
        <f>SUM(J1382:J1385)</f>
        <v>0</v>
      </c>
      <c r="K1381" s="250">
        <f t="shared" si="220"/>
        <v>65790</v>
      </c>
      <c r="L1381" s="259"/>
      <c r="M1381" s="315"/>
      <c r="N1381" s="27"/>
      <c r="O1381" s="250">
        <f t="shared" si="221"/>
        <v>0</v>
      </c>
      <c r="P1381" s="259"/>
      <c r="Q1381" s="309">
        <f t="shared" si="217"/>
        <v>65790</v>
      </c>
      <c r="R1381" s="91">
        <f t="shared" si="215"/>
        <v>0</v>
      </c>
      <c r="S1381" s="91">
        <f t="shared" si="216"/>
        <v>65790</v>
      </c>
    </row>
    <row r="1382" spans="2:19" x14ac:dyDescent="0.2">
      <c r="B1382" s="88">
        <f t="shared" si="222"/>
        <v>663</v>
      </c>
      <c r="C1382" s="4"/>
      <c r="D1382" s="4"/>
      <c r="E1382" s="4"/>
      <c r="F1382" s="30" t="s">
        <v>87</v>
      </c>
      <c r="G1382" s="4">
        <v>632</v>
      </c>
      <c r="H1382" s="4" t="s">
        <v>146</v>
      </c>
      <c r="I1382" s="23">
        <f>16050-5000</f>
        <v>11050</v>
      </c>
      <c r="J1382" s="23"/>
      <c r="K1382" s="220">
        <f t="shared" si="220"/>
        <v>11050</v>
      </c>
      <c r="L1382" s="259"/>
      <c r="M1382" s="227"/>
      <c r="N1382" s="23"/>
      <c r="O1382" s="220">
        <f t="shared" si="221"/>
        <v>0</v>
      </c>
      <c r="P1382" s="259"/>
      <c r="Q1382" s="308">
        <f t="shared" si="217"/>
        <v>11050</v>
      </c>
      <c r="R1382" s="92">
        <f t="shared" si="215"/>
        <v>0</v>
      </c>
      <c r="S1382" s="92">
        <f t="shared" si="216"/>
        <v>11050</v>
      </c>
    </row>
    <row r="1383" spans="2:19" x14ac:dyDescent="0.2">
      <c r="B1383" s="88">
        <f t="shared" si="222"/>
        <v>664</v>
      </c>
      <c r="C1383" s="4"/>
      <c r="D1383" s="4"/>
      <c r="E1383" s="4"/>
      <c r="F1383" s="30" t="s">
        <v>87</v>
      </c>
      <c r="G1383" s="4">
        <v>633</v>
      </c>
      <c r="H1383" s="4" t="s">
        <v>137</v>
      </c>
      <c r="I1383" s="24">
        <v>43000</v>
      </c>
      <c r="J1383" s="24"/>
      <c r="K1383" s="257">
        <f t="shared" si="220"/>
        <v>43000</v>
      </c>
      <c r="L1383" s="259"/>
      <c r="M1383" s="227"/>
      <c r="N1383" s="23"/>
      <c r="O1383" s="220">
        <f t="shared" si="221"/>
        <v>0</v>
      </c>
      <c r="P1383" s="259"/>
      <c r="Q1383" s="308">
        <f t="shared" si="217"/>
        <v>43000</v>
      </c>
      <c r="R1383" s="92">
        <f t="shared" si="215"/>
        <v>0</v>
      </c>
      <c r="S1383" s="92">
        <f t="shared" si="216"/>
        <v>43000</v>
      </c>
    </row>
    <row r="1384" spans="2:19" x14ac:dyDescent="0.2">
      <c r="B1384" s="88">
        <f t="shared" si="222"/>
        <v>665</v>
      </c>
      <c r="C1384" s="4"/>
      <c r="D1384" s="4"/>
      <c r="E1384" s="4"/>
      <c r="F1384" s="30" t="s">
        <v>87</v>
      </c>
      <c r="G1384" s="4">
        <v>635</v>
      </c>
      <c r="H1384" s="4" t="s">
        <v>145</v>
      </c>
      <c r="I1384" s="23">
        <f>3620+2500</f>
        <v>6120</v>
      </c>
      <c r="J1384" s="23"/>
      <c r="K1384" s="220">
        <f t="shared" si="220"/>
        <v>6120</v>
      </c>
      <c r="L1384" s="259"/>
      <c r="M1384" s="227"/>
      <c r="N1384" s="23"/>
      <c r="O1384" s="220">
        <f t="shared" si="221"/>
        <v>0</v>
      </c>
      <c r="P1384" s="259"/>
      <c r="Q1384" s="308">
        <f t="shared" si="217"/>
        <v>6120</v>
      </c>
      <c r="R1384" s="92">
        <f t="shared" si="215"/>
        <v>0</v>
      </c>
      <c r="S1384" s="92">
        <f t="shared" si="216"/>
        <v>6120</v>
      </c>
    </row>
    <row r="1385" spans="2:19" x14ac:dyDescent="0.2">
      <c r="B1385" s="88">
        <f t="shared" si="222"/>
        <v>666</v>
      </c>
      <c r="C1385" s="4"/>
      <c r="D1385" s="4"/>
      <c r="E1385" s="4"/>
      <c r="F1385" s="30" t="s">
        <v>87</v>
      </c>
      <c r="G1385" s="4">
        <v>637</v>
      </c>
      <c r="H1385" s="4" t="s">
        <v>134</v>
      </c>
      <c r="I1385" s="23">
        <v>5620</v>
      </c>
      <c r="J1385" s="23"/>
      <c r="K1385" s="220">
        <f t="shared" si="220"/>
        <v>5620</v>
      </c>
      <c r="L1385" s="259"/>
      <c r="M1385" s="227"/>
      <c r="N1385" s="23"/>
      <c r="O1385" s="220">
        <f t="shared" si="221"/>
        <v>0</v>
      </c>
      <c r="P1385" s="259"/>
      <c r="Q1385" s="308">
        <f t="shared" si="217"/>
        <v>5620</v>
      </c>
      <c r="R1385" s="92">
        <f t="shared" si="215"/>
        <v>0</v>
      </c>
      <c r="S1385" s="92">
        <f t="shared" si="216"/>
        <v>5620</v>
      </c>
    </row>
    <row r="1386" spans="2:19" x14ac:dyDescent="0.2">
      <c r="B1386" s="88">
        <f t="shared" si="222"/>
        <v>667</v>
      </c>
      <c r="C1386" s="10"/>
      <c r="D1386" s="10"/>
      <c r="E1386" s="10"/>
      <c r="F1386" s="29" t="s">
        <v>87</v>
      </c>
      <c r="G1386" s="10">
        <v>640</v>
      </c>
      <c r="H1386" s="10" t="s">
        <v>141</v>
      </c>
      <c r="I1386" s="27">
        <v>250</v>
      </c>
      <c r="J1386" s="27"/>
      <c r="K1386" s="250">
        <f t="shared" si="220"/>
        <v>250</v>
      </c>
      <c r="L1386" s="259"/>
      <c r="M1386" s="315"/>
      <c r="N1386" s="27"/>
      <c r="O1386" s="250">
        <f t="shared" si="221"/>
        <v>0</v>
      </c>
      <c r="P1386" s="259"/>
      <c r="Q1386" s="309">
        <f t="shared" si="217"/>
        <v>250</v>
      </c>
      <c r="R1386" s="91">
        <f t="shared" si="215"/>
        <v>0</v>
      </c>
      <c r="S1386" s="91">
        <f t="shared" si="216"/>
        <v>250</v>
      </c>
    </row>
    <row r="1387" spans="2:19" x14ac:dyDescent="0.2">
      <c r="B1387" s="88">
        <f t="shared" si="222"/>
        <v>668</v>
      </c>
      <c r="C1387" s="10"/>
      <c r="D1387" s="10"/>
      <c r="E1387" s="10"/>
      <c r="F1387" s="29" t="s">
        <v>55</v>
      </c>
      <c r="G1387" s="10">
        <v>610</v>
      </c>
      <c r="H1387" s="10" t="s">
        <v>143</v>
      </c>
      <c r="I1387" s="27">
        <f>26550+4212</f>
        <v>30762</v>
      </c>
      <c r="J1387" s="27"/>
      <c r="K1387" s="250">
        <f t="shared" si="220"/>
        <v>30762</v>
      </c>
      <c r="L1387" s="259"/>
      <c r="M1387" s="315"/>
      <c r="N1387" s="27"/>
      <c r="O1387" s="250">
        <f t="shared" si="221"/>
        <v>0</v>
      </c>
      <c r="P1387" s="259"/>
      <c r="Q1387" s="309">
        <f t="shared" si="217"/>
        <v>30762</v>
      </c>
      <c r="R1387" s="91">
        <f t="shared" si="215"/>
        <v>0</v>
      </c>
      <c r="S1387" s="91">
        <f t="shared" si="216"/>
        <v>30762</v>
      </c>
    </row>
    <row r="1388" spans="2:19" x14ac:dyDescent="0.2">
      <c r="B1388" s="88">
        <f t="shared" si="222"/>
        <v>669</v>
      </c>
      <c r="C1388" s="10"/>
      <c r="D1388" s="10"/>
      <c r="E1388" s="10"/>
      <c r="F1388" s="29" t="s">
        <v>55</v>
      </c>
      <c r="G1388" s="10">
        <v>620</v>
      </c>
      <c r="H1388" s="10" t="s">
        <v>136</v>
      </c>
      <c r="I1388" s="27">
        <f>9280+1460</f>
        <v>10740</v>
      </c>
      <c r="J1388" s="27"/>
      <c r="K1388" s="250">
        <f t="shared" si="220"/>
        <v>10740</v>
      </c>
      <c r="L1388" s="259"/>
      <c r="M1388" s="315"/>
      <c r="N1388" s="27"/>
      <c r="O1388" s="250">
        <f t="shared" si="221"/>
        <v>0</v>
      </c>
      <c r="P1388" s="259"/>
      <c r="Q1388" s="309">
        <f t="shared" si="217"/>
        <v>10740</v>
      </c>
      <c r="R1388" s="91">
        <f t="shared" si="215"/>
        <v>0</v>
      </c>
      <c r="S1388" s="91">
        <f t="shared" si="216"/>
        <v>10740</v>
      </c>
    </row>
    <row r="1389" spans="2:19" x14ac:dyDescent="0.2">
      <c r="B1389" s="88">
        <f t="shared" si="222"/>
        <v>670</v>
      </c>
      <c r="C1389" s="10"/>
      <c r="D1389" s="10"/>
      <c r="E1389" s="10"/>
      <c r="F1389" s="29" t="s">
        <v>55</v>
      </c>
      <c r="G1389" s="10">
        <v>630</v>
      </c>
      <c r="H1389" s="10" t="s">
        <v>133</v>
      </c>
      <c r="I1389" s="27">
        <f>SUM(I1390:I1393)</f>
        <v>103290</v>
      </c>
      <c r="J1389" s="27">
        <f>SUM(J1390:J1393)</f>
        <v>0</v>
      </c>
      <c r="K1389" s="250">
        <f t="shared" si="220"/>
        <v>103290</v>
      </c>
      <c r="L1389" s="259"/>
      <c r="M1389" s="315"/>
      <c r="N1389" s="27"/>
      <c r="O1389" s="250">
        <f t="shared" si="221"/>
        <v>0</v>
      </c>
      <c r="P1389" s="259"/>
      <c r="Q1389" s="309">
        <f t="shared" si="217"/>
        <v>103290</v>
      </c>
      <c r="R1389" s="91">
        <f t="shared" si="215"/>
        <v>0</v>
      </c>
      <c r="S1389" s="91">
        <f t="shared" si="216"/>
        <v>103290</v>
      </c>
    </row>
    <row r="1390" spans="2:19" x14ac:dyDescent="0.2">
      <c r="B1390" s="88">
        <f t="shared" si="222"/>
        <v>671</v>
      </c>
      <c r="C1390" s="4"/>
      <c r="D1390" s="4"/>
      <c r="E1390" s="4"/>
      <c r="F1390" s="30" t="s">
        <v>55</v>
      </c>
      <c r="G1390" s="4">
        <v>632</v>
      </c>
      <c r="H1390" s="4" t="s">
        <v>146</v>
      </c>
      <c r="I1390" s="23">
        <f>16050-5000</f>
        <v>11050</v>
      </c>
      <c r="J1390" s="23"/>
      <c r="K1390" s="220">
        <f t="shared" si="220"/>
        <v>11050</v>
      </c>
      <c r="L1390" s="259"/>
      <c r="M1390" s="227"/>
      <c r="N1390" s="23"/>
      <c r="O1390" s="220">
        <f t="shared" si="221"/>
        <v>0</v>
      </c>
      <c r="P1390" s="259"/>
      <c r="Q1390" s="308">
        <f t="shared" si="217"/>
        <v>11050</v>
      </c>
      <c r="R1390" s="92">
        <f t="shared" si="215"/>
        <v>0</v>
      </c>
      <c r="S1390" s="92">
        <f t="shared" si="216"/>
        <v>11050</v>
      </c>
    </row>
    <row r="1391" spans="2:19" x14ac:dyDescent="0.2">
      <c r="B1391" s="88">
        <f t="shared" si="222"/>
        <v>672</v>
      </c>
      <c r="C1391" s="4"/>
      <c r="D1391" s="4"/>
      <c r="E1391" s="4"/>
      <c r="F1391" s="30" t="s">
        <v>55</v>
      </c>
      <c r="G1391" s="4">
        <v>633</v>
      </c>
      <c r="H1391" s="4" t="s">
        <v>137</v>
      </c>
      <c r="I1391" s="24">
        <v>43000</v>
      </c>
      <c r="J1391" s="24"/>
      <c r="K1391" s="257">
        <f t="shared" si="220"/>
        <v>43000</v>
      </c>
      <c r="L1391" s="259"/>
      <c r="M1391" s="227"/>
      <c r="N1391" s="23"/>
      <c r="O1391" s="220">
        <f t="shared" si="221"/>
        <v>0</v>
      </c>
      <c r="P1391" s="259"/>
      <c r="Q1391" s="308">
        <f t="shared" si="217"/>
        <v>43000</v>
      </c>
      <c r="R1391" s="92">
        <f t="shared" si="215"/>
        <v>0</v>
      </c>
      <c r="S1391" s="92">
        <f t="shared" si="216"/>
        <v>43000</v>
      </c>
    </row>
    <row r="1392" spans="2:19" x14ac:dyDescent="0.2">
      <c r="B1392" s="88">
        <f t="shared" si="222"/>
        <v>673</v>
      </c>
      <c r="C1392" s="4"/>
      <c r="D1392" s="4"/>
      <c r="E1392" s="4"/>
      <c r="F1392" s="30" t="s">
        <v>55</v>
      </c>
      <c r="G1392" s="4">
        <v>635</v>
      </c>
      <c r="H1392" s="4" t="s">
        <v>145</v>
      </c>
      <c r="I1392" s="23">
        <f>3620+30000+10000</f>
        <v>43620</v>
      </c>
      <c r="J1392" s="23"/>
      <c r="K1392" s="220">
        <f t="shared" si="220"/>
        <v>43620</v>
      </c>
      <c r="L1392" s="259"/>
      <c r="M1392" s="227"/>
      <c r="N1392" s="23"/>
      <c r="O1392" s="220">
        <f t="shared" si="221"/>
        <v>0</v>
      </c>
      <c r="P1392" s="259"/>
      <c r="Q1392" s="308">
        <f t="shared" si="217"/>
        <v>43620</v>
      </c>
      <c r="R1392" s="92">
        <f t="shared" si="215"/>
        <v>0</v>
      </c>
      <c r="S1392" s="92">
        <f t="shared" si="216"/>
        <v>43620</v>
      </c>
    </row>
    <row r="1393" spans="2:19" x14ac:dyDescent="0.2">
      <c r="B1393" s="88">
        <f t="shared" si="222"/>
        <v>674</v>
      </c>
      <c r="C1393" s="4"/>
      <c r="D1393" s="4"/>
      <c r="E1393" s="4"/>
      <c r="F1393" s="30" t="s">
        <v>55</v>
      </c>
      <c r="G1393" s="4">
        <v>637</v>
      </c>
      <c r="H1393" s="4" t="s">
        <v>134</v>
      </c>
      <c r="I1393" s="23">
        <v>5620</v>
      </c>
      <c r="J1393" s="23"/>
      <c r="K1393" s="220">
        <f t="shared" si="220"/>
        <v>5620</v>
      </c>
      <c r="L1393" s="259"/>
      <c r="M1393" s="227"/>
      <c r="N1393" s="23"/>
      <c r="O1393" s="220">
        <f t="shared" si="221"/>
        <v>0</v>
      </c>
      <c r="P1393" s="259"/>
      <c r="Q1393" s="308">
        <f t="shared" si="217"/>
        <v>5620</v>
      </c>
      <c r="R1393" s="92">
        <f t="shared" ref="R1393:R1459" si="223">J1393+N1393</f>
        <v>0</v>
      </c>
      <c r="S1393" s="92">
        <f t="shared" ref="S1393:S1459" si="224">K1393+O1393</f>
        <v>5620</v>
      </c>
    </row>
    <row r="1394" spans="2:19" x14ac:dyDescent="0.2">
      <c r="B1394" s="88">
        <f t="shared" si="222"/>
        <v>675</v>
      </c>
      <c r="C1394" s="10"/>
      <c r="D1394" s="10"/>
      <c r="E1394" s="10"/>
      <c r="F1394" s="29" t="s">
        <v>55</v>
      </c>
      <c r="G1394" s="10">
        <v>640</v>
      </c>
      <c r="H1394" s="10" t="s">
        <v>141</v>
      </c>
      <c r="I1394" s="27">
        <v>250</v>
      </c>
      <c r="J1394" s="27"/>
      <c r="K1394" s="250">
        <f t="shared" si="220"/>
        <v>250</v>
      </c>
      <c r="L1394" s="259"/>
      <c r="M1394" s="315"/>
      <c r="N1394" s="27"/>
      <c r="O1394" s="250">
        <f t="shared" si="221"/>
        <v>0</v>
      </c>
      <c r="P1394" s="259"/>
      <c r="Q1394" s="309">
        <f t="shared" si="217"/>
        <v>250</v>
      </c>
      <c r="R1394" s="91">
        <f t="shared" si="223"/>
        <v>0</v>
      </c>
      <c r="S1394" s="91">
        <f t="shared" si="224"/>
        <v>250</v>
      </c>
    </row>
    <row r="1395" spans="2:19" ht="15" x14ac:dyDescent="0.25">
      <c r="B1395" s="88">
        <f t="shared" si="222"/>
        <v>676</v>
      </c>
      <c r="C1395" s="13"/>
      <c r="D1395" s="13"/>
      <c r="E1395" s="13">
        <v>11</v>
      </c>
      <c r="F1395" s="32"/>
      <c r="G1395" s="13"/>
      <c r="H1395" s="13" t="s">
        <v>11</v>
      </c>
      <c r="I1395" s="42">
        <f>I1396+I1397+I1398+I1404+I1405+I1406+I1407+I1413</f>
        <v>247362</v>
      </c>
      <c r="J1395" s="42">
        <f>J1396+J1397+J1398+J1404+J1405+J1406+J1407+J1413</f>
        <v>0</v>
      </c>
      <c r="K1395" s="255">
        <f t="shared" si="220"/>
        <v>247362</v>
      </c>
      <c r="L1395" s="259"/>
      <c r="M1395" s="317">
        <v>0</v>
      </c>
      <c r="N1395" s="42">
        <v>0</v>
      </c>
      <c r="O1395" s="255">
        <f t="shared" si="221"/>
        <v>0</v>
      </c>
      <c r="P1395" s="259"/>
      <c r="Q1395" s="312">
        <f t="shared" si="217"/>
        <v>247362</v>
      </c>
      <c r="R1395" s="99">
        <f t="shared" si="223"/>
        <v>0</v>
      </c>
      <c r="S1395" s="99">
        <f t="shared" si="224"/>
        <v>247362</v>
      </c>
    </row>
    <row r="1396" spans="2:19" x14ac:dyDescent="0.2">
      <c r="B1396" s="88">
        <f t="shared" si="222"/>
        <v>677</v>
      </c>
      <c r="C1396" s="10"/>
      <c r="D1396" s="10"/>
      <c r="E1396" s="10"/>
      <c r="F1396" s="29" t="s">
        <v>87</v>
      </c>
      <c r="G1396" s="10">
        <v>610</v>
      </c>
      <c r="H1396" s="10" t="s">
        <v>143</v>
      </c>
      <c r="I1396" s="27">
        <f>28090+3578</f>
        <v>31668</v>
      </c>
      <c r="J1396" s="27"/>
      <c r="K1396" s="250">
        <f t="shared" si="220"/>
        <v>31668</v>
      </c>
      <c r="L1396" s="259"/>
      <c r="M1396" s="315"/>
      <c r="N1396" s="27"/>
      <c r="O1396" s="250">
        <f t="shared" si="221"/>
        <v>0</v>
      </c>
      <c r="P1396" s="259"/>
      <c r="Q1396" s="309">
        <f t="shared" si="217"/>
        <v>31668</v>
      </c>
      <c r="R1396" s="91">
        <f t="shared" si="223"/>
        <v>0</v>
      </c>
      <c r="S1396" s="91">
        <f t="shared" si="224"/>
        <v>31668</v>
      </c>
    </row>
    <row r="1397" spans="2:19" x14ac:dyDescent="0.2">
      <c r="B1397" s="88">
        <f t="shared" si="222"/>
        <v>678</v>
      </c>
      <c r="C1397" s="10"/>
      <c r="D1397" s="10"/>
      <c r="E1397" s="10"/>
      <c r="F1397" s="29" t="s">
        <v>87</v>
      </c>
      <c r="G1397" s="10">
        <v>620</v>
      </c>
      <c r="H1397" s="10" t="s">
        <v>136</v>
      </c>
      <c r="I1397" s="27">
        <f>9832+1252</f>
        <v>11084</v>
      </c>
      <c r="J1397" s="27"/>
      <c r="K1397" s="250">
        <f t="shared" si="220"/>
        <v>11084</v>
      </c>
      <c r="L1397" s="259"/>
      <c r="M1397" s="315"/>
      <c r="N1397" s="27"/>
      <c r="O1397" s="250">
        <f t="shared" si="221"/>
        <v>0</v>
      </c>
      <c r="P1397" s="259"/>
      <c r="Q1397" s="309">
        <f t="shared" si="217"/>
        <v>11084</v>
      </c>
      <c r="R1397" s="91">
        <f t="shared" si="223"/>
        <v>0</v>
      </c>
      <c r="S1397" s="91">
        <f t="shared" si="224"/>
        <v>11084</v>
      </c>
    </row>
    <row r="1398" spans="2:19" x14ac:dyDescent="0.2">
      <c r="B1398" s="88">
        <f t="shared" si="222"/>
        <v>679</v>
      </c>
      <c r="C1398" s="10"/>
      <c r="D1398" s="10"/>
      <c r="E1398" s="10"/>
      <c r="F1398" s="29" t="s">
        <v>87</v>
      </c>
      <c r="G1398" s="10">
        <v>630</v>
      </c>
      <c r="H1398" s="10" t="s">
        <v>133</v>
      </c>
      <c r="I1398" s="27">
        <f>SUM(I1399:I1403)</f>
        <v>52850</v>
      </c>
      <c r="J1398" s="27">
        <f>SUM(J1399:J1403)</f>
        <v>0</v>
      </c>
      <c r="K1398" s="250">
        <f t="shared" si="220"/>
        <v>52850</v>
      </c>
      <c r="L1398" s="259"/>
      <c r="M1398" s="315"/>
      <c r="N1398" s="27"/>
      <c r="O1398" s="250">
        <f t="shared" si="221"/>
        <v>0</v>
      </c>
      <c r="P1398" s="259"/>
      <c r="Q1398" s="309">
        <f t="shared" si="217"/>
        <v>52850</v>
      </c>
      <c r="R1398" s="91">
        <f t="shared" si="223"/>
        <v>0</v>
      </c>
      <c r="S1398" s="91">
        <f t="shared" si="224"/>
        <v>52850</v>
      </c>
    </row>
    <row r="1399" spans="2:19" x14ac:dyDescent="0.2">
      <c r="B1399" s="88">
        <f t="shared" si="222"/>
        <v>680</v>
      </c>
      <c r="C1399" s="4"/>
      <c r="D1399" s="4"/>
      <c r="E1399" s="4"/>
      <c r="F1399" s="30" t="s">
        <v>87</v>
      </c>
      <c r="G1399" s="4">
        <v>631</v>
      </c>
      <c r="H1399" s="4" t="s">
        <v>139</v>
      </c>
      <c r="I1399" s="23">
        <v>5</v>
      </c>
      <c r="J1399" s="23"/>
      <c r="K1399" s="220">
        <f t="shared" si="220"/>
        <v>5</v>
      </c>
      <c r="L1399" s="259"/>
      <c r="M1399" s="227"/>
      <c r="N1399" s="23"/>
      <c r="O1399" s="220">
        <f t="shared" si="221"/>
        <v>0</v>
      </c>
      <c r="P1399" s="259"/>
      <c r="Q1399" s="308">
        <f t="shared" si="217"/>
        <v>5</v>
      </c>
      <c r="R1399" s="92">
        <f t="shared" si="223"/>
        <v>0</v>
      </c>
      <c r="S1399" s="92">
        <f t="shared" si="224"/>
        <v>5</v>
      </c>
    </row>
    <row r="1400" spans="2:19" x14ac:dyDescent="0.2">
      <c r="B1400" s="88">
        <f t="shared" si="222"/>
        <v>681</v>
      </c>
      <c r="C1400" s="4"/>
      <c r="D1400" s="4"/>
      <c r="E1400" s="4"/>
      <c r="F1400" s="30" t="s">
        <v>87</v>
      </c>
      <c r="G1400" s="4">
        <v>632</v>
      </c>
      <c r="H1400" s="4" t="s">
        <v>146</v>
      </c>
      <c r="I1400" s="23">
        <v>735</v>
      </c>
      <c r="J1400" s="23"/>
      <c r="K1400" s="220">
        <f t="shared" si="220"/>
        <v>735</v>
      </c>
      <c r="L1400" s="259"/>
      <c r="M1400" s="227"/>
      <c r="N1400" s="23"/>
      <c r="O1400" s="220">
        <f t="shared" si="221"/>
        <v>0</v>
      </c>
      <c r="P1400" s="259"/>
      <c r="Q1400" s="308">
        <f t="shared" si="217"/>
        <v>735</v>
      </c>
      <c r="R1400" s="92">
        <f t="shared" si="223"/>
        <v>0</v>
      </c>
      <c r="S1400" s="92">
        <f t="shared" si="224"/>
        <v>735</v>
      </c>
    </row>
    <row r="1401" spans="2:19" x14ac:dyDescent="0.2">
      <c r="B1401" s="88">
        <f t="shared" si="222"/>
        <v>682</v>
      </c>
      <c r="C1401" s="4"/>
      <c r="D1401" s="4"/>
      <c r="E1401" s="4"/>
      <c r="F1401" s="30" t="s">
        <v>87</v>
      </c>
      <c r="G1401" s="4">
        <v>633</v>
      </c>
      <c r="H1401" s="4" t="s">
        <v>137</v>
      </c>
      <c r="I1401" s="23">
        <v>48510</v>
      </c>
      <c r="J1401" s="23"/>
      <c r="K1401" s="220">
        <f t="shared" si="220"/>
        <v>48510</v>
      </c>
      <c r="L1401" s="259"/>
      <c r="M1401" s="227"/>
      <c r="N1401" s="23"/>
      <c r="O1401" s="220">
        <f t="shared" si="221"/>
        <v>0</v>
      </c>
      <c r="P1401" s="259"/>
      <c r="Q1401" s="308">
        <f t="shared" ref="Q1401:Q1467" si="225">I1401+M1401</f>
        <v>48510</v>
      </c>
      <c r="R1401" s="92">
        <f t="shared" si="223"/>
        <v>0</v>
      </c>
      <c r="S1401" s="92">
        <f t="shared" si="224"/>
        <v>48510</v>
      </c>
    </row>
    <row r="1402" spans="2:19" x14ac:dyDescent="0.2">
      <c r="B1402" s="88">
        <f t="shared" si="222"/>
        <v>683</v>
      </c>
      <c r="C1402" s="4"/>
      <c r="D1402" s="4"/>
      <c r="E1402" s="4"/>
      <c r="F1402" s="30" t="s">
        <v>87</v>
      </c>
      <c r="G1402" s="4">
        <v>635</v>
      </c>
      <c r="H1402" s="4" t="s">
        <v>145</v>
      </c>
      <c r="I1402" s="23">
        <v>820</v>
      </c>
      <c r="J1402" s="23"/>
      <c r="K1402" s="220">
        <f t="shared" si="220"/>
        <v>820</v>
      </c>
      <c r="L1402" s="259"/>
      <c r="M1402" s="227"/>
      <c r="N1402" s="23"/>
      <c r="O1402" s="220">
        <f t="shared" si="221"/>
        <v>0</v>
      </c>
      <c r="P1402" s="259"/>
      <c r="Q1402" s="308">
        <f t="shared" si="225"/>
        <v>820</v>
      </c>
      <c r="R1402" s="92">
        <f t="shared" si="223"/>
        <v>0</v>
      </c>
      <c r="S1402" s="92">
        <f t="shared" si="224"/>
        <v>820</v>
      </c>
    </row>
    <row r="1403" spans="2:19" x14ac:dyDescent="0.2">
      <c r="B1403" s="88">
        <f t="shared" si="222"/>
        <v>684</v>
      </c>
      <c r="C1403" s="4"/>
      <c r="D1403" s="4"/>
      <c r="E1403" s="4"/>
      <c r="F1403" s="30" t="s">
        <v>87</v>
      </c>
      <c r="G1403" s="4">
        <v>637</v>
      </c>
      <c r="H1403" s="4" t="s">
        <v>134</v>
      </c>
      <c r="I1403" s="23">
        <v>2780</v>
      </c>
      <c r="J1403" s="23"/>
      <c r="K1403" s="220">
        <f t="shared" si="220"/>
        <v>2780</v>
      </c>
      <c r="L1403" s="259"/>
      <c r="M1403" s="227"/>
      <c r="N1403" s="23"/>
      <c r="O1403" s="220">
        <f t="shared" si="221"/>
        <v>0</v>
      </c>
      <c r="P1403" s="259"/>
      <c r="Q1403" s="308">
        <f t="shared" si="225"/>
        <v>2780</v>
      </c>
      <c r="R1403" s="92">
        <f t="shared" si="223"/>
        <v>0</v>
      </c>
      <c r="S1403" s="92">
        <f t="shared" si="224"/>
        <v>2780</v>
      </c>
    </row>
    <row r="1404" spans="2:19" x14ac:dyDescent="0.2">
      <c r="B1404" s="88">
        <f t="shared" si="222"/>
        <v>685</v>
      </c>
      <c r="C1404" s="10"/>
      <c r="D1404" s="10"/>
      <c r="E1404" s="10"/>
      <c r="F1404" s="29" t="s">
        <v>87</v>
      </c>
      <c r="G1404" s="10">
        <v>640</v>
      </c>
      <c r="H1404" s="10" t="s">
        <v>141</v>
      </c>
      <c r="I1404" s="27">
        <v>150</v>
      </c>
      <c r="J1404" s="27"/>
      <c r="K1404" s="250">
        <f t="shared" si="220"/>
        <v>150</v>
      </c>
      <c r="L1404" s="259"/>
      <c r="M1404" s="315"/>
      <c r="N1404" s="27"/>
      <c r="O1404" s="250">
        <f t="shared" si="221"/>
        <v>0</v>
      </c>
      <c r="P1404" s="259"/>
      <c r="Q1404" s="309">
        <f t="shared" si="225"/>
        <v>150</v>
      </c>
      <c r="R1404" s="91">
        <f t="shared" si="223"/>
        <v>0</v>
      </c>
      <c r="S1404" s="91">
        <f t="shared" si="224"/>
        <v>150</v>
      </c>
    </row>
    <row r="1405" spans="2:19" x14ac:dyDescent="0.2">
      <c r="B1405" s="88">
        <f t="shared" si="222"/>
        <v>686</v>
      </c>
      <c r="C1405" s="10"/>
      <c r="D1405" s="10"/>
      <c r="E1405" s="10"/>
      <c r="F1405" s="29" t="s">
        <v>55</v>
      </c>
      <c r="G1405" s="10">
        <v>610</v>
      </c>
      <c r="H1405" s="10" t="s">
        <v>143</v>
      </c>
      <c r="I1405" s="27">
        <f>48046+5368</f>
        <v>53414</v>
      </c>
      <c r="J1405" s="27"/>
      <c r="K1405" s="250">
        <f t="shared" si="220"/>
        <v>53414</v>
      </c>
      <c r="L1405" s="259"/>
      <c r="M1405" s="315"/>
      <c r="N1405" s="27"/>
      <c r="O1405" s="250">
        <f t="shared" si="221"/>
        <v>0</v>
      </c>
      <c r="P1405" s="259"/>
      <c r="Q1405" s="309">
        <f t="shared" si="225"/>
        <v>53414</v>
      </c>
      <c r="R1405" s="91">
        <f t="shared" si="223"/>
        <v>0</v>
      </c>
      <c r="S1405" s="91">
        <f t="shared" si="224"/>
        <v>53414</v>
      </c>
    </row>
    <row r="1406" spans="2:19" x14ac:dyDescent="0.2">
      <c r="B1406" s="88">
        <f t="shared" si="222"/>
        <v>687</v>
      </c>
      <c r="C1406" s="10"/>
      <c r="D1406" s="10"/>
      <c r="E1406" s="10"/>
      <c r="F1406" s="29" t="s">
        <v>55</v>
      </c>
      <c r="G1406" s="10">
        <v>620</v>
      </c>
      <c r="H1406" s="10" t="s">
        <v>136</v>
      </c>
      <c r="I1406" s="27">
        <f>16817+1879</f>
        <v>18696</v>
      </c>
      <c r="J1406" s="27"/>
      <c r="K1406" s="250">
        <f t="shared" si="220"/>
        <v>18696</v>
      </c>
      <c r="L1406" s="259"/>
      <c r="M1406" s="315"/>
      <c r="N1406" s="27"/>
      <c r="O1406" s="250">
        <f t="shared" si="221"/>
        <v>0</v>
      </c>
      <c r="P1406" s="259"/>
      <c r="Q1406" s="309">
        <f t="shared" si="225"/>
        <v>18696</v>
      </c>
      <c r="R1406" s="91">
        <f t="shared" si="223"/>
        <v>0</v>
      </c>
      <c r="S1406" s="91">
        <f t="shared" si="224"/>
        <v>18696</v>
      </c>
    </row>
    <row r="1407" spans="2:19" x14ac:dyDescent="0.2">
      <c r="B1407" s="88">
        <f t="shared" si="222"/>
        <v>688</v>
      </c>
      <c r="C1407" s="10"/>
      <c r="D1407" s="10"/>
      <c r="E1407" s="10"/>
      <c r="F1407" s="29" t="s">
        <v>55</v>
      </c>
      <c r="G1407" s="10">
        <v>630</v>
      </c>
      <c r="H1407" s="10" t="s">
        <v>133</v>
      </c>
      <c r="I1407" s="27">
        <f>SUM(I1408:I1412)</f>
        <v>79350</v>
      </c>
      <c r="J1407" s="27">
        <f>SUM(J1408:J1412)</f>
        <v>0</v>
      </c>
      <c r="K1407" s="250">
        <f t="shared" si="220"/>
        <v>79350</v>
      </c>
      <c r="L1407" s="259"/>
      <c r="M1407" s="315"/>
      <c r="N1407" s="27"/>
      <c r="O1407" s="250">
        <f t="shared" si="221"/>
        <v>0</v>
      </c>
      <c r="P1407" s="259"/>
      <c r="Q1407" s="309">
        <f t="shared" si="225"/>
        <v>79350</v>
      </c>
      <c r="R1407" s="91">
        <f t="shared" si="223"/>
        <v>0</v>
      </c>
      <c r="S1407" s="91">
        <f t="shared" si="224"/>
        <v>79350</v>
      </c>
    </row>
    <row r="1408" spans="2:19" x14ac:dyDescent="0.2">
      <c r="B1408" s="88">
        <f t="shared" si="222"/>
        <v>689</v>
      </c>
      <c r="C1408" s="4"/>
      <c r="D1408" s="4"/>
      <c r="E1408" s="4"/>
      <c r="F1408" s="30" t="s">
        <v>55</v>
      </c>
      <c r="G1408" s="4">
        <v>631</v>
      </c>
      <c r="H1408" s="4" t="s">
        <v>139</v>
      </c>
      <c r="I1408" s="23">
        <v>8</v>
      </c>
      <c r="J1408" s="23"/>
      <c r="K1408" s="220">
        <f t="shared" si="220"/>
        <v>8</v>
      </c>
      <c r="L1408" s="259"/>
      <c r="M1408" s="227"/>
      <c r="N1408" s="23"/>
      <c r="O1408" s="220">
        <f t="shared" si="221"/>
        <v>0</v>
      </c>
      <c r="P1408" s="259"/>
      <c r="Q1408" s="308">
        <f t="shared" si="225"/>
        <v>8</v>
      </c>
      <c r="R1408" s="92">
        <f t="shared" si="223"/>
        <v>0</v>
      </c>
      <c r="S1408" s="92">
        <f t="shared" si="224"/>
        <v>8</v>
      </c>
    </row>
    <row r="1409" spans="2:19" x14ac:dyDescent="0.2">
      <c r="B1409" s="88">
        <f t="shared" si="222"/>
        <v>690</v>
      </c>
      <c r="C1409" s="4"/>
      <c r="D1409" s="4"/>
      <c r="E1409" s="4"/>
      <c r="F1409" s="30" t="s">
        <v>55</v>
      </c>
      <c r="G1409" s="4">
        <v>632</v>
      </c>
      <c r="H1409" s="4" t="s">
        <v>146</v>
      </c>
      <c r="I1409" s="23">
        <v>1103</v>
      </c>
      <c r="J1409" s="23"/>
      <c r="K1409" s="220">
        <f t="shared" si="220"/>
        <v>1103</v>
      </c>
      <c r="L1409" s="259"/>
      <c r="M1409" s="227"/>
      <c r="N1409" s="23"/>
      <c r="O1409" s="220">
        <f t="shared" si="221"/>
        <v>0</v>
      </c>
      <c r="P1409" s="259"/>
      <c r="Q1409" s="308">
        <f t="shared" si="225"/>
        <v>1103</v>
      </c>
      <c r="R1409" s="92">
        <f t="shared" si="223"/>
        <v>0</v>
      </c>
      <c r="S1409" s="92">
        <f t="shared" si="224"/>
        <v>1103</v>
      </c>
    </row>
    <row r="1410" spans="2:19" x14ac:dyDescent="0.2">
      <c r="B1410" s="88">
        <f t="shared" si="222"/>
        <v>691</v>
      </c>
      <c r="C1410" s="4"/>
      <c r="D1410" s="4"/>
      <c r="E1410" s="4"/>
      <c r="F1410" s="30" t="s">
        <v>55</v>
      </c>
      <c r="G1410" s="4">
        <v>633</v>
      </c>
      <c r="H1410" s="4" t="s">
        <v>137</v>
      </c>
      <c r="I1410" s="23">
        <v>72839</v>
      </c>
      <c r="J1410" s="23"/>
      <c r="K1410" s="220">
        <f t="shared" si="220"/>
        <v>72839</v>
      </c>
      <c r="L1410" s="259"/>
      <c r="M1410" s="227"/>
      <c r="N1410" s="23"/>
      <c r="O1410" s="220">
        <f t="shared" si="221"/>
        <v>0</v>
      </c>
      <c r="P1410" s="259"/>
      <c r="Q1410" s="308">
        <f t="shared" si="225"/>
        <v>72839</v>
      </c>
      <c r="R1410" s="92">
        <f t="shared" si="223"/>
        <v>0</v>
      </c>
      <c r="S1410" s="92">
        <f t="shared" si="224"/>
        <v>72839</v>
      </c>
    </row>
    <row r="1411" spans="2:19" x14ac:dyDescent="0.2">
      <c r="B1411" s="88">
        <f t="shared" si="222"/>
        <v>692</v>
      </c>
      <c r="C1411" s="4"/>
      <c r="D1411" s="4"/>
      <c r="E1411" s="4"/>
      <c r="F1411" s="30" t="s">
        <v>55</v>
      </c>
      <c r="G1411" s="4">
        <v>635</v>
      </c>
      <c r="H1411" s="4" t="s">
        <v>145</v>
      </c>
      <c r="I1411" s="23">
        <v>1230</v>
      </c>
      <c r="J1411" s="23"/>
      <c r="K1411" s="220">
        <f t="shared" si="220"/>
        <v>1230</v>
      </c>
      <c r="L1411" s="259"/>
      <c r="M1411" s="227"/>
      <c r="N1411" s="23"/>
      <c r="O1411" s="220">
        <f t="shared" si="221"/>
        <v>0</v>
      </c>
      <c r="P1411" s="259"/>
      <c r="Q1411" s="308">
        <f t="shared" si="225"/>
        <v>1230</v>
      </c>
      <c r="R1411" s="92">
        <f t="shared" si="223"/>
        <v>0</v>
      </c>
      <c r="S1411" s="92">
        <f t="shared" si="224"/>
        <v>1230</v>
      </c>
    </row>
    <row r="1412" spans="2:19" x14ac:dyDescent="0.2">
      <c r="B1412" s="88">
        <f t="shared" si="222"/>
        <v>693</v>
      </c>
      <c r="C1412" s="4"/>
      <c r="D1412" s="4"/>
      <c r="E1412" s="4"/>
      <c r="F1412" s="30" t="s">
        <v>55</v>
      </c>
      <c r="G1412" s="4">
        <v>637</v>
      </c>
      <c r="H1412" s="4" t="s">
        <v>134</v>
      </c>
      <c r="I1412" s="23">
        <v>4170</v>
      </c>
      <c r="J1412" s="23"/>
      <c r="K1412" s="220">
        <f t="shared" si="220"/>
        <v>4170</v>
      </c>
      <c r="L1412" s="259"/>
      <c r="M1412" s="227"/>
      <c r="N1412" s="23"/>
      <c r="O1412" s="220">
        <f t="shared" si="221"/>
        <v>0</v>
      </c>
      <c r="P1412" s="259"/>
      <c r="Q1412" s="308">
        <f t="shared" si="225"/>
        <v>4170</v>
      </c>
      <c r="R1412" s="92">
        <f t="shared" si="223"/>
        <v>0</v>
      </c>
      <c r="S1412" s="92">
        <f t="shared" si="224"/>
        <v>4170</v>
      </c>
    </row>
    <row r="1413" spans="2:19" x14ac:dyDescent="0.2">
      <c r="B1413" s="88">
        <f t="shared" si="222"/>
        <v>694</v>
      </c>
      <c r="C1413" s="10"/>
      <c r="D1413" s="10"/>
      <c r="E1413" s="10"/>
      <c r="F1413" s="29" t="s">
        <v>55</v>
      </c>
      <c r="G1413" s="10">
        <v>640</v>
      </c>
      <c r="H1413" s="10" t="s">
        <v>141</v>
      </c>
      <c r="I1413" s="27">
        <v>150</v>
      </c>
      <c r="J1413" s="27"/>
      <c r="K1413" s="250">
        <f t="shared" si="220"/>
        <v>150</v>
      </c>
      <c r="L1413" s="259"/>
      <c r="M1413" s="315"/>
      <c r="N1413" s="27"/>
      <c r="O1413" s="250">
        <f t="shared" si="221"/>
        <v>0</v>
      </c>
      <c r="P1413" s="259"/>
      <c r="Q1413" s="309">
        <f t="shared" si="225"/>
        <v>150</v>
      </c>
      <c r="R1413" s="91">
        <f t="shared" si="223"/>
        <v>0</v>
      </c>
      <c r="S1413" s="91">
        <f t="shared" si="224"/>
        <v>150</v>
      </c>
    </row>
    <row r="1414" spans="2:19" ht="15" x14ac:dyDescent="0.25">
      <c r="B1414" s="88">
        <f t="shared" si="222"/>
        <v>695</v>
      </c>
      <c r="C1414" s="13"/>
      <c r="D1414" s="13"/>
      <c r="E1414" s="13">
        <v>12</v>
      </c>
      <c r="F1414" s="32"/>
      <c r="G1414" s="13"/>
      <c r="H1414" s="13" t="s">
        <v>9</v>
      </c>
      <c r="I1414" s="42">
        <f>I1415+I1416+I1417+I1422+I1423+I1424+I1425+I1431</f>
        <v>272550</v>
      </c>
      <c r="J1414" s="42">
        <f>J1415+J1416+J1417+J1422+J1423+J1424+J1425+J1431</f>
        <v>0</v>
      </c>
      <c r="K1414" s="255">
        <f t="shared" si="220"/>
        <v>272550</v>
      </c>
      <c r="L1414" s="259"/>
      <c r="M1414" s="317">
        <f>M1432</f>
        <v>7900</v>
      </c>
      <c r="N1414" s="42">
        <f t="shared" ref="N1414" si="226">N1432</f>
        <v>0</v>
      </c>
      <c r="O1414" s="255">
        <f t="shared" si="221"/>
        <v>7900</v>
      </c>
      <c r="P1414" s="259"/>
      <c r="Q1414" s="312">
        <f t="shared" si="225"/>
        <v>280450</v>
      </c>
      <c r="R1414" s="99">
        <f t="shared" si="223"/>
        <v>0</v>
      </c>
      <c r="S1414" s="99">
        <f t="shared" si="224"/>
        <v>280450</v>
      </c>
    </row>
    <row r="1415" spans="2:19" x14ac:dyDescent="0.2">
      <c r="B1415" s="88">
        <f t="shared" si="222"/>
        <v>696</v>
      </c>
      <c r="C1415" s="10"/>
      <c r="D1415" s="10"/>
      <c r="E1415" s="10"/>
      <c r="F1415" s="29" t="s">
        <v>87</v>
      </c>
      <c r="G1415" s="10">
        <v>610</v>
      </c>
      <c r="H1415" s="10" t="s">
        <v>143</v>
      </c>
      <c r="I1415" s="27">
        <v>36000</v>
      </c>
      <c r="J1415" s="27"/>
      <c r="K1415" s="250">
        <f t="shared" si="220"/>
        <v>36000</v>
      </c>
      <c r="L1415" s="259"/>
      <c r="M1415" s="315"/>
      <c r="N1415" s="27"/>
      <c r="O1415" s="250">
        <f t="shared" si="221"/>
        <v>0</v>
      </c>
      <c r="P1415" s="259"/>
      <c r="Q1415" s="309">
        <f t="shared" si="225"/>
        <v>36000</v>
      </c>
      <c r="R1415" s="91">
        <f t="shared" si="223"/>
        <v>0</v>
      </c>
      <c r="S1415" s="91">
        <f t="shared" si="224"/>
        <v>36000</v>
      </c>
    </row>
    <row r="1416" spans="2:19" x14ac:dyDescent="0.2">
      <c r="B1416" s="88">
        <f t="shared" si="222"/>
        <v>697</v>
      </c>
      <c r="C1416" s="10"/>
      <c r="D1416" s="10"/>
      <c r="E1416" s="10"/>
      <c r="F1416" s="29" t="s">
        <v>87</v>
      </c>
      <c r="G1416" s="10">
        <v>620</v>
      </c>
      <c r="H1416" s="10" t="s">
        <v>136</v>
      </c>
      <c r="I1416" s="27">
        <v>13000</v>
      </c>
      <c r="J1416" s="27"/>
      <c r="K1416" s="250">
        <f t="shared" si="220"/>
        <v>13000</v>
      </c>
      <c r="L1416" s="259"/>
      <c r="M1416" s="315"/>
      <c r="N1416" s="27"/>
      <c r="O1416" s="250">
        <f t="shared" si="221"/>
        <v>0</v>
      </c>
      <c r="P1416" s="259"/>
      <c r="Q1416" s="309">
        <f t="shared" si="225"/>
        <v>13000</v>
      </c>
      <c r="R1416" s="91">
        <f t="shared" si="223"/>
        <v>0</v>
      </c>
      <c r="S1416" s="91">
        <f t="shared" si="224"/>
        <v>13000</v>
      </c>
    </row>
    <row r="1417" spans="2:19" x14ac:dyDescent="0.2">
      <c r="B1417" s="88">
        <f t="shared" si="222"/>
        <v>698</v>
      </c>
      <c r="C1417" s="10"/>
      <c r="D1417" s="10"/>
      <c r="E1417" s="10"/>
      <c r="F1417" s="29" t="s">
        <v>87</v>
      </c>
      <c r="G1417" s="10">
        <v>630</v>
      </c>
      <c r="H1417" s="10" t="s">
        <v>133</v>
      </c>
      <c r="I1417" s="27">
        <f>SUM(I1418:I1421)</f>
        <v>77680</v>
      </c>
      <c r="J1417" s="27">
        <f>SUM(J1418:J1421)</f>
        <v>0</v>
      </c>
      <c r="K1417" s="250">
        <f t="shared" si="220"/>
        <v>77680</v>
      </c>
      <c r="L1417" s="259"/>
      <c r="M1417" s="315"/>
      <c r="N1417" s="27"/>
      <c r="O1417" s="250">
        <f t="shared" si="221"/>
        <v>0</v>
      </c>
      <c r="P1417" s="259"/>
      <c r="Q1417" s="309">
        <f t="shared" si="225"/>
        <v>77680</v>
      </c>
      <c r="R1417" s="91">
        <f t="shared" si="223"/>
        <v>0</v>
      </c>
      <c r="S1417" s="91">
        <f t="shared" si="224"/>
        <v>77680</v>
      </c>
    </row>
    <row r="1418" spans="2:19" x14ac:dyDescent="0.2">
      <c r="B1418" s="88">
        <f t="shared" si="222"/>
        <v>699</v>
      </c>
      <c r="C1418" s="4"/>
      <c r="D1418" s="4"/>
      <c r="E1418" s="4"/>
      <c r="F1418" s="30" t="s">
        <v>87</v>
      </c>
      <c r="G1418" s="4">
        <v>632</v>
      </c>
      <c r="H1418" s="4" t="s">
        <v>146</v>
      </c>
      <c r="I1418" s="23">
        <v>6700</v>
      </c>
      <c r="J1418" s="23"/>
      <c r="K1418" s="220">
        <f t="shared" si="220"/>
        <v>6700</v>
      </c>
      <c r="L1418" s="259"/>
      <c r="M1418" s="227"/>
      <c r="N1418" s="23"/>
      <c r="O1418" s="220">
        <f t="shared" si="221"/>
        <v>0</v>
      </c>
      <c r="P1418" s="259"/>
      <c r="Q1418" s="308">
        <f t="shared" si="225"/>
        <v>6700</v>
      </c>
      <c r="R1418" s="92">
        <f t="shared" si="223"/>
        <v>0</v>
      </c>
      <c r="S1418" s="92">
        <f t="shared" si="224"/>
        <v>6700</v>
      </c>
    </row>
    <row r="1419" spans="2:19" x14ac:dyDescent="0.2">
      <c r="B1419" s="88">
        <f t="shared" si="222"/>
        <v>700</v>
      </c>
      <c r="C1419" s="4"/>
      <c r="D1419" s="4"/>
      <c r="E1419" s="4"/>
      <c r="F1419" s="30" t="s">
        <v>87</v>
      </c>
      <c r="G1419" s="4">
        <v>633</v>
      </c>
      <c r="H1419" s="4" t="s">
        <v>137</v>
      </c>
      <c r="I1419" s="23">
        <v>68270</v>
      </c>
      <c r="J1419" s="23"/>
      <c r="K1419" s="220">
        <f t="shared" si="220"/>
        <v>68270</v>
      </c>
      <c r="L1419" s="259"/>
      <c r="M1419" s="227"/>
      <c r="N1419" s="23"/>
      <c r="O1419" s="220">
        <f t="shared" si="221"/>
        <v>0</v>
      </c>
      <c r="P1419" s="259"/>
      <c r="Q1419" s="308">
        <f t="shared" si="225"/>
        <v>68270</v>
      </c>
      <c r="R1419" s="92">
        <f t="shared" si="223"/>
        <v>0</v>
      </c>
      <c r="S1419" s="92">
        <f t="shared" si="224"/>
        <v>68270</v>
      </c>
    </row>
    <row r="1420" spans="2:19" x14ac:dyDescent="0.2">
      <c r="B1420" s="88">
        <f t="shared" si="222"/>
        <v>701</v>
      </c>
      <c r="C1420" s="4"/>
      <c r="D1420" s="4"/>
      <c r="E1420" s="4"/>
      <c r="F1420" s="30" t="s">
        <v>87</v>
      </c>
      <c r="G1420" s="4">
        <v>635</v>
      </c>
      <c r="H1420" s="4" t="s">
        <v>145</v>
      </c>
      <c r="I1420" s="23">
        <v>1750</v>
      </c>
      <c r="J1420" s="23"/>
      <c r="K1420" s="220">
        <f t="shared" si="220"/>
        <v>1750</v>
      </c>
      <c r="L1420" s="259"/>
      <c r="M1420" s="227"/>
      <c r="N1420" s="23"/>
      <c r="O1420" s="220">
        <f t="shared" si="221"/>
        <v>0</v>
      </c>
      <c r="P1420" s="259"/>
      <c r="Q1420" s="308">
        <f t="shared" si="225"/>
        <v>1750</v>
      </c>
      <c r="R1420" s="92">
        <f t="shared" si="223"/>
        <v>0</v>
      </c>
      <c r="S1420" s="92">
        <f t="shared" si="224"/>
        <v>1750</v>
      </c>
    </row>
    <row r="1421" spans="2:19" x14ac:dyDescent="0.2">
      <c r="B1421" s="88">
        <f t="shared" si="222"/>
        <v>702</v>
      </c>
      <c r="C1421" s="4"/>
      <c r="D1421" s="4"/>
      <c r="E1421" s="4"/>
      <c r="F1421" s="30" t="s">
        <v>87</v>
      </c>
      <c r="G1421" s="4">
        <v>637</v>
      </c>
      <c r="H1421" s="4" t="s">
        <v>134</v>
      </c>
      <c r="I1421" s="23">
        <v>960</v>
      </c>
      <c r="J1421" s="23"/>
      <c r="K1421" s="220">
        <f t="shared" si="220"/>
        <v>960</v>
      </c>
      <c r="L1421" s="259"/>
      <c r="M1421" s="227"/>
      <c r="N1421" s="23"/>
      <c r="O1421" s="220">
        <f t="shared" si="221"/>
        <v>0</v>
      </c>
      <c r="P1421" s="259"/>
      <c r="Q1421" s="308">
        <f t="shared" si="225"/>
        <v>960</v>
      </c>
      <c r="R1421" s="92">
        <f t="shared" si="223"/>
        <v>0</v>
      </c>
      <c r="S1421" s="92">
        <f t="shared" si="224"/>
        <v>960</v>
      </c>
    </row>
    <row r="1422" spans="2:19" x14ac:dyDescent="0.2">
      <c r="B1422" s="88">
        <f t="shared" si="222"/>
        <v>703</v>
      </c>
      <c r="C1422" s="10"/>
      <c r="D1422" s="10"/>
      <c r="E1422" s="10"/>
      <c r="F1422" s="29" t="s">
        <v>87</v>
      </c>
      <c r="G1422" s="10">
        <v>640</v>
      </c>
      <c r="H1422" s="10" t="s">
        <v>141</v>
      </c>
      <c r="I1422" s="27">
        <v>200</v>
      </c>
      <c r="J1422" s="27"/>
      <c r="K1422" s="250">
        <f t="shared" si="220"/>
        <v>200</v>
      </c>
      <c r="L1422" s="259"/>
      <c r="M1422" s="315"/>
      <c r="N1422" s="27"/>
      <c r="O1422" s="250">
        <f t="shared" si="221"/>
        <v>0</v>
      </c>
      <c r="P1422" s="259"/>
      <c r="Q1422" s="309">
        <f t="shared" si="225"/>
        <v>200</v>
      </c>
      <c r="R1422" s="91">
        <f t="shared" si="223"/>
        <v>0</v>
      </c>
      <c r="S1422" s="91">
        <f t="shared" si="224"/>
        <v>200</v>
      </c>
    </row>
    <row r="1423" spans="2:19" x14ac:dyDescent="0.2">
      <c r="B1423" s="88">
        <f t="shared" si="222"/>
        <v>704</v>
      </c>
      <c r="C1423" s="10"/>
      <c r="D1423" s="10"/>
      <c r="E1423" s="10"/>
      <c r="F1423" s="29" t="s">
        <v>55</v>
      </c>
      <c r="G1423" s="10">
        <v>610</v>
      </c>
      <c r="H1423" s="10" t="s">
        <v>143</v>
      </c>
      <c r="I1423" s="27">
        <v>37700</v>
      </c>
      <c r="J1423" s="27"/>
      <c r="K1423" s="250">
        <f t="shared" si="220"/>
        <v>37700</v>
      </c>
      <c r="L1423" s="259"/>
      <c r="M1423" s="315"/>
      <c r="N1423" s="27"/>
      <c r="O1423" s="250">
        <f t="shared" si="221"/>
        <v>0</v>
      </c>
      <c r="P1423" s="259"/>
      <c r="Q1423" s="309">
        <f t="shared" si="225"/>
        <v>37700</v>
      </c>
      <c r="R1423" s="91">
        <f t="shared" si="223"/>
        <v>0</v>
      </c>
      <c r="S1423" s="91">
        <f t="shared" si="224"/>
        <v>37700</v>
      </c>
    </row>
    <row r="1424" spans="2:19" x14ac:dyDescent="0.2">
      <c r="B1424" s="88">
        <f t="shared" si="222"/>
        <v>705</v>
      </c>
      <c r="C1424" s="10"/>
      <c r="D1424" s="10"/>
      <c r="E1424" s="10"/>
      <c r="F1424" s="29" t="s">
        <v>55</v>
      </c>
      <c r="G1424" s="10">
        <v>620</v>
      </c>
      <c r="H1424" s="10" t="s">
        <v>136</v>
      </c>
      <c r="I1424" s="27">
        <v>14000</v>
      </c>
      <c r="J1424" s="27"/>
      <c r="K1424" s="250">
        <f t="shared" si="220"/>
        <v>14000</v>
      </c>
      <c r="L1424" s="259"/>
      <c r="M1424" s="315"/>
      <c r="N1424" s="27"/>
      <c r="O1424" s="250">
        <f t="shared" si="221"/>
        <v>0</v>
      </c>
      <c r="P1424" s="259"/>
      <c r="Q1424" s="309">
        <f t="shared" si="225"/>
        <v>14000</v>
      </c>
      <c r="R1424" s="91">
        <f t="shared" si="223"/>
        <v>0</v>
      </c>
      <c r="S1424" s="91">
        <f t="shared" si="224"/>
        <v>14000</v>
      </c>
    </row>
    <row r="1425" spans="2:19" x14ac:dyDescent="0.2">
      <c r="B1425" s="88">
        <f t="shared" si="222"/>
        <v>706</v>
      </c>
      <c r="C1425" s="10"/>
      <c r="D1425" s="10"/>
      <c r="E1425" s="10"/>
      <c r="F1425" s="29" t="s">
        <v>55</v>
      </c>
      <c r="G1425" s="10">
        <v>630</v>
      </c>
      <c r="H1425" s="10" t="s">
        <v>133</v>
      </c>
      <c r="I1425" s="27">
        <f>SUM(I1426:I1430)</f>
        <v>93750</v>
      </c>
      <c r="J1425" s="27">
        <f>SUM(J1426:J1430)</f>
        <v>0</v>
      </c>
      <c r="K1425" s="250">
        <f t="shared" si="220"/>
        <v>93750</v>
      </c>
      <c r="L1425" s="259"/>
      <c r="M1425" s="315"/>
      <c r="N1425" s="27"/>
      <c r="O1425" s="250">
        <f t="shared" si="221"/>
        <v>0</v>
      </c>
      <c r="P1425" s="259"/>
      <c r="Q1425" s="309">
        <f t="shared" si="225"/>
        <v>93750</v>
      </c>
      <c r="R1425" s="91">
        <f t="shared" si="223"/>
        <v>0</v>
      </c>
      <c r="S1425" s="91">
        <f t="shared" si="224"/>
        <v>93750</v>
      </c>
    </row>
    <row r="1426" spans="2:19" x14ac:dyDescent="0.2">
      <c r="B1426" s="88">
        <f t="shared" si="222"/>
        <v>707</v>
      </c>
      <c r="C1426" s="4"/>
      <c r="D1426" s="4"/>
      <c r="E1426" s="4"/>
      <c r="F1426" s="30" t="s">
        <v>55</v>
      </c>
      <c r="G1426" s="4">
        <v>631</v>
      </c>
      <c r="H1426" s="4" t="s">
        <v>139</v>
      </c>
      <c r="I1426" s="23">
        <v>50</v>
      </c>
      <c r="J1426" s="23"/>
      <c r="K1426" s="220">
        <f t="shared" si="220"/>
        <v>50</v>
      </c>
      <c r="L1426" s="259"/>
      <c r="M1426" s="227"/>
      <c r="N1426" s="23"/>
      <c r="O1426" s="220">
        <f t="shared" si="221"/>
        <v>0</v>
      </c>
      <c r="P1426" s="259"/>
      <c r="Q1426" s="308">
        <f t="shared" si="225"/>
        <v>50</v>
      </c>
      <c r="R1426" s="92">
        <f t="shared" si="223"/>
        <v>0</v>
      </c>
      <c r="S1426" s="92">
        <f t="shared" si="224"/>
        <v>50</v>
      </c>
    </row>
    <row r="1427" spans="2:19" x14ac:dyDescent="0.2">
      <c r="B1427" s="88">
        <f t="shared" si="222"/>
        <v>708</v>
      </c>
      <c r="C1427" s="4"/>
      <c r="D1427" s="4"/>
      <c r="E1427" s="4"/>
      <c r="F1427" s="30" t="s">
        <v>55</v>
      </c>
      <c r="G1427" s="4">
        <v>632</v>
      </c>
      <c r="H1427" s="4" t="s">
        <v>146</v>
      </c>
      <c r="I1427" s="23">
        <v>8300</v>
      </c>
      <c r="J1427" s="23"/>
      <c r="K1427" s="220">
        <f t="shared" si="220"/>
        <v>8300</v>
      </c>
      <c r="L1427" s="259"/>
      <c r="M1427" s="227"/>
      <c r="N1427" s="23"/>
      <c r="O1427" s="220">
        <f t="shared" si="221"/>
        <v>0</v>
      </c>
      <c r="P1427" s="259"/>
      <c r="Q1427" s="308">
        <f t="shared" si="225"/>
        <v>8300</v>
      </c>
      <c r="R1427" s="92">
        <f t="shared" si="223"/>
        <v>0</v>
      </c>
      <c r="S1427" s="92">
        <f t="shared" si="224"/>
        <v>8300</v>
      </c>
    </row>
    <row r="1428" spans="2:19" x14ac:dyDescent="0.2">
      <c r="B1428" s="88">
        <f t="shared" si="222"/>
        <v>709</v>
      </c>
      <c r="C1428" s="4"/>
      <c r="D1428" s="4"/>
      <c r="E1428" s="4"/>
      <c r="F1428" s="30" t="s">
        <v>55</v>
      </c>
      <c r="G1428" s="4">
        <v>633</v>
      </c>
      <c r="H1428" s="4" t="s">
        <v>137</v>
      </c>
      <c r="I1428" s="23">
        <v>82050</v>
      </c>
      <c r="J1428" s="23"/>
      <c r="K1428" s="220">
        <f t="shared" si="220"/>
        <v>82050</v>
      </c>
      <c r="L1428" s="259"/>
      <c r="M1428" s="227"/>
      <c r="N1428" s="23"/>
      <c r="O1428" s="220">
        <f t="shared" si="221"/>
        <v>0</v>
      </c>
      <c r="P1428" s="259"/>
      <c r="Q1428" s="308">
        <f t="shared" si="225"/>
        <v>82050</v>
      </c>
      <c r="R1428" s="92">
        <f t="shared" si="223"/>
        <v>0</v>
      </c>
      <c r="S1428" s="92">
        <f t="shared" si="224"/>
        <v>82050</v>
      </c>
    </row>
    <row r="1429" spans="2:19" x14ac:dyDescent="0.2">
      <c r="B1429" s="88">
        <f t="shared" si="222"/>
        <v>710</v>
      </c>
      <c r="C1429" s="4"/>
      <c r="D1429" s="4"/>
      <c r="E1429" s="4"/>
      <c r="F1429" s="30" t="s">
        <v>55</v>
      </c>
      <c r="G1429" s="4">
        <v>635</v>
      </c>
      <c r="H1429" s="4" t="s">
        <v>145</v>
      </c>
      <c r="I1429" s="23">
        <v>2150</v>
      </c>
      <c r="J1429" s="23"/>
      <c r="K1429" s="220">
        <f t="shared" si="220"/>
        <v>2150</v>
      </c>
      <c r="L1429" s="259"/>
      <c r="M1429" s="227"/>
      <c r="N1429" s="23"/>
      <c r="O1429" s="220">
        <f t="shared" si="221"/>
        <v>0</v>
      </c>
      <c r="P1429" s="259"/>
      <c r="Q1429" s="308">
        <f t="shared" si="225"/>
        <v>2150</v>
      </c>
      <c r="R1429" s="92">
        <f t="shared" si="223"/>
        <v>0</v>
      </c>
      <c r="S1429" s="92">
        <f t="shared" si="224"/>
        <v>2150</v>
      </c>
    </row>
    <row r="1430" spans="2:19" x14ac:dyDescent="0.2">
      <c r="B1430" s="88">
        <f t="shared" si="222"/>
        <v>711</v>
      </c>
      <c r="C1430" s="4"/>
      <c r="D1430" s="4"/>
      <c r="E1430" s="4"/>
      <c r="F1430" s="30" t="s">
        <v>55</v>
      </c>
      <c r="G1430" s="4">
        <v>637</v>
      </c>
      <c r="H1430" s="4" t="s">
        <v>134</v>
      </c>
      <c r="I1430" s="23">
        <v>1200</v>
      </c>
      <c r="J1430" s="23"/>
      <c r="K1430" s="220">
        <f t="shared" si="220"/>
        <v>1200</v>
      </c>
      <c r="L1430" s="259"/>
      <c r="M1430" s="227"/>
      <c r="N1430" s="23"/>
      <c r="O1430" s="220">
        <f t="shared" si="221"/>
        <v>0</v>
      </c>
      <c r="P1430" s="259"/>
      <c r="Q1430" s="308">
        <f t="shared" si="225"/>
        <v>1200</v>
      </c>
      <c r="R1430" s="92">
        <f t="shared" si="223"/>
        <v>0</v>
      </c>
      <c r="S1430" s="92">
        <f t="shared" si="224"/>
        <v>1200</v>
      </c>
    </row>
    <row r="1431" spans="2:19" x14ac:dyDescent="0.2">
      <c r="B1431" s="88">
        <f t="shared" si="222"/>
        <v>712</v>
      </c>
      <c r="C1431" s="10"/>
      <c r="D1431" s="10"/>
      <c r="E1431" s="10"/>
      <c r="F1431" s="29" t="s">
        <v>55</v>
      </c>
      <c r="G1431" s="10">
        <v>640</v>
      </c>
      <c r="H1431" s="10" t="s">
        <v>141</v>
      </c>
      <c r="I1431" s="27">
        <v>220</v>
      </c>
      <c r="J1431" s="27"/>
      <c r="K1431" s="250">
        <f t="shared" si="220"/>
        <v>220</v>
      </c>
      <c r="L1431" s="259"/>
      <c r="M1431" s="315"/>
      <c r="N1431" s="27"/>
      <c r="O1431" s="250">
        <f t="shared" si="221"/>
        <v>0</v>
      </c>
      <c r="P1431" s="259"/>
      <c r="Q1431" s="309">
        <f t="shared" si="225"/>
        <v>220</v>
      </c>
      <c r="R1431" s="91">
        <f t="shared" si="223"/>
        <v>0</v>
      </c>
      <c r="S1431" s="91">
        <f t="shared" si="224"/>
        <v>220</v>
      </c>
    </row>
    <row r="1432" spans="2:19" x14ac:dyDescent="0.2">
      <c r="B1432" s="88">
        <f t="shared" si="222"/>
        <v>713</v>
      </c>
      <c r="C1432" s="10"/>
      <c r="D1432" s="10"/>
      <c r="E1432" s="10"/>
      <c r="F1432" s="194" t="s">
        <v>87</v>
      </c>
      <c r="G1432" s="195">
        <v>710</v>
      </c>
      <c r="H1432" s="10" t="s">
        <v>188</v>
      </c>
      <c r="I1432" s="27"/>
      <c r="J1432" s="27"/>
      <c r="K1432" s="250">
        <f t="shared" si="220"/>
        <v>0</v>
      </c>
      <c r="L1432" s="259"/>
      <c r="M1432" s="226">
        <f>M1433</f>
        <v>7900</v>
      </c>
      <c r="N1432" s="22">
        <f t="shared" ref="N1432:N1433" si="227">N1433</f>
        <v>0</v>
      </c>
      <c r="O1432" s="219">
        <f t="shared" si="221"/>
        <v>7900</v>
      </c>
      <c r="P1432" s="259"/>
      <c r="Q1432" s="226">
        <f t="shared" si="225"/>
        <v>7900</v>
      </c>
      <c r="R1432" s="226">
        <f t="shared" si="223"/>
        <v>0</v>
      </c>
      <c r="S1432" s="226">
        <f t="shared" si="224"/>
        <v>7900</v>
      </c>
    </row>
    <row r="1433" spans="2:19" x14ac:dyDescent="0.2">
      <c r="B1433" s="88">
        <f t="shared" si="222"/>
        <v>714</v>
      </c>
      <c r="C1433" s="10"/>
      <c r="D1433" s="10"/>
      <c r="E1433" s="10"/>
      <c r="F1433" s="196" t="s">
        <v>87</v>
      </c>
      <c r="G1433" s="197">
        <v>713</v>
      </c>
      <c r="H1433" s="4" t="s">
        <v>235</v>
      </c>
      <c r="I1433" s="27"/>
      <c r="J1433" s="27"/>
      <c r="K1433" s="250">
        <f t="shared" si="220"/>
        <v>0</v>
      </c>
      <c r="L1433" s="259"/>
      <c r="M1433" s="227">
        <f>M1434</f>
        <v>7900</v>
      </c>
      <c r="N1433" s="23">
        <f t="shared" si="227"/>
        <v>0</v>
      </c>
      <c r="O1433" s="220">
        <f t="shared" si="221"/>
        <v>7900</v>
      </c>
      <c r="P1433" s="259"/>
      <c r="Q1433" s="227">
        <f t="shared" si="225"/>
        <v>7900</v>
      </c>
      <c r="R1433" s="227">
        <f t="shared" si="223"/>
        <v>0</v>
      </c>
      <c r="S1433" s="227">
        <f t="shared" si="224"/>
        <v>7900</v>
      </c>
    </row>
    <row r="1434" spans="2:19" x14ac:dyDescent="0.2">
      <c r="B1434" s="88">
        <f t="shared" si="222"/>
        <v>715</v>
      </c>
      <c r="C1434" s="10"/>
      <c r="D1434" s="10"/>
      <c r="E1434" s="10"/>
      <c r="F1434" s="196"/>
      <c r="G1434" s="197"/>
      <c r="H1434" s="5" t="s">
        <v>596</v>
      </c>
      <c r="I1434" s="27"/>
      <c r="J1434" s="27"/>
      <c r="K1434" s="250">
        <f t="shared" si="220"/>
        <v>0</v>
      </c>
      <c r="L1434" s="259"/>
      <c r="M1434" s="228">
        <v>7900</v>
      </c>
      <c r="N1434" s="198"/>
      <c r="O1434" s="369">
        <f t="shared" si="221"/>
        <v>7900</v>
      </c>
      <c r="P1434" s="259"/>
      <c r="Q1434" s="228">
        <f t="shared" si="225"/>
        <v>7900</v>
      </c>
      <c r="R1434" s="228">
        <f t="shared" si="223"/>
        <v>0</v>
      </c>
      <c r="S1434" s="228">
        <f t="shared" si="224"/>
        <v>7900</v>
      </c>
    </row>
    <row r="1435" spans="2:19" ht="15" x14ac:dyDescent="0.25">
      <c r="B1435" s="88">
        <f t="shared" si="222"/>
        <v>716</v>
      </c>
      <c r="C1435" s="13"/>
      <c r="D1435" s="13"/>
      <c r="E1435" s="13">
        <v>13</v>
      </c>
      <c r="F1435" s="32"/>
      <c r="G1435" s="13"/>
      <c r="H1435" s="13" t="s">
        <v>19</v>
      </c>
      <c r="I1435" s="42">
        <f>I1436+I1437+I1438+I1442+I1443+I1444+I1445+I1451</f>
        <v>151848</v>
      </c>
      <c r="J1435" s="42">
        <f>J1436+J1437+J1438+J1442+J1443+J1444+J1445+J1451</f>
        <v>0</v>
      </c>
      <c r="K1435" s="255">
        <f t="shared" si="220"/>
        <v>151848</v>
      </c>
      <c r="L1435" s="259"/>
      <c r="M1435" s="317">
        <v>0</v>
      </c>
      <c r="N1435" s="42">
        <v>0</v>
      </c>
      <c r="O1435" s="255">
        <f t="shared" si="221"/>
        <v>0</v>
      </c>
      <c r="P1435" s="259"/>
      <c r="Q1435" s="312">
        <f t="shared" si="225"/>
        <v>151848</v>
      </c>
      <c r="R1435" s="99">
        <f t="shared" si="223"/>
        <v>0</v>
      </c>
      <c r="S1435" s="99">
        <f t="shared" si="224"/>
        <v>151848</v>
      </c>
    </row>
    <row r="1436" spans="2:19" x14ac:dyDescent="0.2">
      <c r="B1436" s="88">
        <f t="shared" si="222"/>
        <v>717</v>
      </c>
      <c r="C1436" s="10"/>
      <c r="D1436" s="10"/>
      <c r="E1436" s="10"/>
      <c r="F1436" s="29" t="s">
        <v>87</v>
      </c>
      <c r="G1436" s="10">
        <v>610</v>
      </c>
      <c r="H1436" s="10" t="s">
        <v>143</v>
      </c>
      <c r="I1436" s="27">
        <v>24710</v>
      </c>
      <c r="J1436" s="27"/>
      <c r="K1436" s="250">
        <f t="shared" si="220"/>
        <v>24710</v>
      </c>
      <c r="L1436" s="259"/>
      <c r="M1436" s="315"/>
      <c r="N1436" s="27"/>
      <c r="O1436" s="250">
        <f t="shared" si="221"/>
        <v>0</v>
      </c>
      <c r="P1436" s="259"/>
      <c r="Q1436" s="309">
        <f t="shared" si="225"/>
        <v>24710</v>
      </c>
      <c r="R1436" s="91">
        <f t="shared" si="223"/>
        <v>0</v>
      </c>
      <c r="S1436" s="91">
        <f t="shared" si="224"/>
        <v>24710</v>
      </c>
    </row>
    <row r="1437" spans="2:19" x14ac:dyDescent="0.2">
      <c r="B1437" s="88">
        <f t="shared" si="222"/>
        <v>718</v>
      </c>
      <c r="C1437" s="10"/>
      <c r="D1437" s="10"/>
      <c r="E1437" s="10"/>
      <c r="F1437" s="29" t="s">
        <v>87</v>
      </c>
      <c r="G1437" s="10">
        <v>620</v>
      </c>
      <c r="H1437" s="10" t="s">
        <v>136</v>
      </c>
      <c r="I1437" s="27">
        <v>8636</v>
      </c>
      <c r="J1437" s="27"/>
      <c r="K1437" s="250">
        <f t="shared" si="220"/>
        <v>8636</v>
      </c>
      <c r="L1437" s="259"/>
      <c r="M1437" s="315"/>
      <c r="N1437" s="27"/>
      <c r="O1437" s="250">
        <f t="shared" si="221"/>
        <v>0</v>
      </c>
      <c r="P1437" s="259"/>
      <c r="Q1437" s="309">
        <f t="shared" si="225"/>
        <v>8636</v>
      </c>
      <c r="R1437" s="91">
        <f t="shared" si="223"/>
        <v>0</v>
      </c>
      <c r="S1437" s="91">
        <f t="shared" si="224"/>
        <v>8636</v>
      </c>
    </row>
    <row r="1438" spans="2:19" x14ac:dyDescent="0.2">
      <c r="B1438" s="88">
        <f t="shared" si="222"/>
        <v>719</v>
      </c>
      <c r="C1438" s="10"/>
      <c r="D1438" s="10"/>
      <c r="E1438" s="10"/>
      <c r="F1438" s="29" t="s">
        <v>87</v>
      </c>
      <c r="G1438" s="10">
        <v>630</v>
      </c>
      <c r="H1438" s="10" t="s">
        <v>133</v>
      </c>
      <c r="I1438" s="27">
        <f>SUM(I1439:I1441)</f>
        <v>9114</v>
      </c>
      <c r="J1438" s="27">
        <f>SUM(J1439:J1441)</f>
        <v>0</v>
      </c>
      <c r="K1438" s="250">
        <f t="shared" si="220"/>
        <v>9114</v>
      </c>
      <c r="L1438" s="259"/>
      <c r="M1438" s="315"/>
      <c r="N1438" s="27"/>
      <c r="O1438" s="250">
        <f t="shared" si="221"/>
        <v>0</v>
      </c>
      <c r="P1438" s="259"/>
      <c r="Q1438" s="309">
        <f t="shared" si="225"/>
        <v>9114</v>
      </c>
      <c r="R1438" s="91">
        <f t="shared" si="223"/>
        <v>0</v>
      </c>
      <c r="S1438" s="91">
        <f t="shared" si="224"/>
        <v>9114</v>
      </c>
    </row>
    <row r="1439" spans="2:19" x14ac:dyDescent="0.2">
      <c r="B1439" s="88">
        <f t="shared" si="222"/>
        <v>720</v>
      </c>
      <c r="C1439" s="4"/>
      <c r="D1439" s="4"/>
      <c r="E1439" s="4"/>
      <c r="F1439" s="30" t="s">
        <v>87</v>
      </c>
      <c r="G1439" s="4">
        <v>632</v>
      </c>
      <c r="H1439" s="4" t="s">
        <v>146</v>
      </c>
      <c r="I1439" s="23">
        <v>3322</v>
      </c>
      <c r="J1439" s="23"/>
      <c r="K1439" s="220">
        <f t="shared" si="220"/>
        <v>3322</v>
      </c>
      <c r="L1439" s="259"/>
      <c r="M1439" s="227"/>
      <c r="N1439" s="23"/>
      <c r="O1439" s="220">
        <f t="shared" si="221"/>
        <v>0</v>
      </c>
      <c r="P1439" s="259"/>
      <c r="Q1439" s="308">
        <f t="shared" si="225"/>
        <v>3322</v>
      </c>
      <c r="R1439" s="92">
        <f t="shared" si="223"/>
        <v>0</v>
      </c>
      <c r="S1439" s="92">
        <f t="shared" si="224"/>
        <v>3322</v>
      </c>
    </row>
    <row r="1440" spans="2:19" x14ac:dyDescent="0.2">
      <c r="B1440" s="88">
        <f t="shared" si="222"/>
        <v>721</v>
      </c>
      <c r="C1440" s="4"/>
      <c r="D1440" s="4"/>
      <c r="E1440" s="4"/>
      <c r="F1440" s="30" t="s">
        <v>87</v>
      </c>
      <c r="G1440" s="4">
        <v>633</v>
      </c>
      <c r="H1440" s="4" t="s">
        <v>137</v>
      </c>
      <c r="I1440" s="23">
        <v>4212</v>
      </c>
      <c r="J1440" s="23"/>
      <c r="K1440" s="220">
        <f t="shared" ref="K1440:K1481" si="228">I1440+J1440</f>
        <v>4212</v>
      </c>
      <c r="L1440" s="259"/>
      <c r="M1440" s="227"/>
      <c r="N1440" s="23"/>
      <c r="O1440" s="220">
        <f t="shared" ref="O1440:O1481" si="229">M1440+N1440</f>
        <v>0</v>
      </c>
      <c r="P1440" s="259"/>
      <c r="Q1440" s="308">
        <f t="shared" si="225"/>
        <v>4212</v>
      </c>
      <c r="R1440" s="92">
        <f t="shared" si="223"/>
        <v>0</v>
      </c>
      <c r="S1440" s="92">
        <f t="shared" si="224"/>
        <v>4212</v>
      </c>
    </row>
    <row r="1441" spans="2:19" x14ac:dyDescent="0.2">
      <c r="B1441" s="88">
        <f t="shared" ref="B1441:B1477" si="230">B1440+1</f>
        <v>722</v>
      </c>
      <c r="C1441" s="4"/>
      <c r="D1441" s="4"/>
      <c r="E1441" s="4"/>
      <c r="F1441" s="30" t="s">
        <v>87</v>
      </c>
      <c r="G1441" s="4">
        <v>637</v>
      </c>
      <c r="H1441" s="4" t="s">
        <v>134</v>
      </c>
      <c r="I1441" s="23">
        <v>1580</v>
      </c>
      <c r="J1441" s="23"/>
      <c r="K1441" s="220">
        <f t="shared" si="228"/>
        <v>1580</v>
      </c>
      <c r="L1441" s="259"/>
      <c r="M1441" s="227"/>
      <c r="N1441" s="23"/>
      <c r="O1441" s="220">
        <f t="shared" si="229"/>
        <v>0</v>
      </c>
      <c r="P1441" s="259"/>
      <c r="Q1441" s="308">
        <f t="shared" si="225"/>
        <v>1580</v>
      </c>
      <c r="R1441" s="92">
        <f t="shared" si="223"/>
        <v>0</v>
      </c>
      <c r="S1441" s="92">
        <f t="shared" si="224"/>
        <v>1580</v>
      </c>
    </row>
    <row r="1442" spans="2:19" x14ac:dyDescent="0.2">
      <c r="B1442" s="88">
        <f t="shared" si="230"/>
        <v>723</v>
      </c>
      <c r="C1442" s="10"/>
      <c r="D1442" s="10"/>
      <c r="E1442" s="10"/>
      <c r="F1442" s="29" t="s">
        <v>87</v>
      </c>
      <c r="G1442" s="10">
        <v>640</v>
      </c>
      <c r="H1442" s="10" t="s">
        <v>141</v>
      </c>
      <c r="I1442" s="27">
        <v>20</v>
      </c>
      <c r="J1442" s="27"/>
      <c r="K1442" s="250">
        <f t="shared" si="228"/>
        <v>20</v>
      </c>
      <c r="L1442" s="259"/>
      <c r="M1442" s="315"/>
      <c r="N1442" s="27"/>
      <c r="O1442" s="250">
        <f t="shared" si="229"/>
        <v>0</v>
      </c>
      <c r="P1442" s="259"/>
      <c r="Q1442" s="309">
        <f t="shared" si="225"/>
        <v>20</v>
      </c>
      <c r="R1442" s="91">
        <f t="shared" si="223"/>
        <v>0</v>
      </c>
      <c r="S1442" s="91">
        <f t="shared" si="224"/>
        <v>20</v>
      </c>
    </row>
    <row r="1443" spans="2:19" x14ac:dyDescent="0.2">
      <c r="B1443" s="88">
        <f t="shared" si="230"/>
        <v>724</v>
      </c>
      <c r="C1443" s="10"/>
      <c r="D1443" s="10"/>
      <c r="E1443" s="10"/>
      <c r="F1443" s="29" t="s">
        <v>55</v>
      </c>
      <c r="G1443" s="10">
        <v>610</v>
      </c>
      <c r="H1443" s="10" t="s">
        <v>143</v>
      </c>
      <c r="I1443" s="27">
        <v>27629</v>
      </c>
      <c r="J1443" s="27"/>
      <c r="K1443" s="250">
        <f t="shared" si="228"/>
        <v>27629</v>
      </c>
      <c r="L1443" s="259"/>
      <c r="M1443" s="315"/>
      <c r="N1443" s="27"/>
      <c r="O1443" s="250">
        <f t="shared" si="229"/>
        <v>0</v>
      </c>
      <c r="P1443" s="259"/>
      <c r="Q1443" s="309">
        <f t="shared" si="225"/>
        <v>27629</v>
      </c>
      <c r="R1443" s="91">
        <f t="shared" si="223"/>
        <v>0</v>
      </c>
      <c r="S1443" s="91">
        <f t="shared" si="224"/>
        <v>27629</v>
      </c>
    </row>
    <row r="1444" spans="2:19" x14ac:dyDescent="0.2">
      <c r="B1444" s="88">
        <f t="shared" si="230"/>
        <v>725</v>
      </c>
      <c r="C1444" s="10"/>
      <c r="D1444" s="10"/>
      <c r="E1444" s="10"/>
      <c r="F1444" s="29" t="s">
        <v>55</v>
      </c>
      <c r="G1444" s="10">
        <v>620</v>
      </c>
      <c r="H1444" s="10" t="s">
        <v>136</v>
      </c>
      <c r="I1444" s="27">
        <v>9656</v>
      </c>
      <c r="J1444" s="27"/>
      <c r="K1444" s="250">
        <f t="shared" si="228"/>
        <v>9656</v>
      </c>
      <c r="L1444" s="259"/>
      <c r="M1444" s="315"/>
      <c r="N1444" s="27"/>
      <c r="O1444" s="250">
        <f t="shared" si="229"/>
        <v>0</v>
      </c>
      <c r="P1444" s="259"/>
      <c r="Q1444" s="309">
        <f t="shared" si="225"/>
        <v>9656</v>
      </c>
      <c r="R1444" s="91">
        <f t="shared" si="223"/>
        <v>0</v>
      </c>
      <c r="S1444" s="91">
        <f t="shared" si="224"/>
        <v>9656</v>
      </c>
    </row>
    <row r="1445" spans="2:19" x14ac:dyDescent="0.2">
      <c r="B1445" s="88">
        <f t="shared" si="230"/>
        <v>726</v>
      </c>
      <c r="C1445" s="10"/>
      <c r="D1445" s="10"/>
      <c r="E1445" s="10"/>
      <c r="F1445" s="29" t="s">
        <v>55</v>
      </c>
      <c r="G1445" s="10">
        <v>630</v>
      </c>
      <c r="H1445" s="10" t="s">
        <v>133</v>
      </c>
      <c r="I1445" s="27">
        <f>SUM(I1446:I1450)</f>
        <v>72053</v>
      </c>
      <c r="J1445" s="27">
        <f>SUM(J1446:J1450)</f>
        <v>0</v>
      </c>
      <c r="K1445" s="250">
        <f t="shared" si="228"/>
        <v>72053</v>
      </c>
      <c r="L1445" s="259"/>
      <c r="M1445" s="315"/>
      <c r="N1445" s="27"/>
      <c r="O1445" s="250">
        <f t="shared" si="229"/>
        <v>0</v>
      </c>
      <c r="P1445" s="259"/>
      <c r="Q1445" s="309">
        <f t="shared" si="225"/>
        <v>72053</v>
      </c>
      <c r="R1445" s="91">
        <f t="shared" si="223"/>
        <v>0</v>
      </c>
      <c r="S1445" s="91">
        <f t="shared" si="224"/>
        <v>72053</v>
      </c>
    </row>
    <row r="1446" spans="2:19" x14ac:dyDescent="0.2">
      <c r="B1446" s="88">
        <f t="shared" si="230"/>
        <v>727</v>
      </c>
      <c r="C1446" s="4"/>
      <c r="D1446" s="4"/>
      <c r="E1446" s="4"/>
      <c r="F1446" s="30" t="s">
        <v>55</v>
      </c>
      <c r="G1446" s="4">
        <v>631</v>
      </c>
      <c r="H1446" s="4" t="s">
        <v>139</v>
      </c>
      <c r="I1446" s="23">
        <v>25</v>
      </c>
      <c r="J1446" s="23"/>
      <c r="K1446" s="220">
        <f t="shared" si="228"/>
        <v>25</v>
      </c>
      <c r="L1446" s="259"/>
      <c r="M1446" s="227"/>
      <c r="N1446" s="23"/>
      <c r="O1446" s="220">
        <f t="shared" si="229"/>
        <v>0</v>
      </c>
      <c r="P1446" s="259"/>
      <c r="Q1446" s="308">
        <f t="shared" si="225"/>
        <v>25</v>
      </c>
      <c r="R1446" s="92">
        <f t="shared" si="223"/>
        <v>0</v>
      </c>
      <c r="S1446" s="92">
        <f t="shared" si="224"/>
        <v>25</v>
      </c>
    </row>
    <row r="1447" spans="2:19" x14ac:dyDescent="0.2">
      <c r="B1447" s="88">
        <f t="shared" si="230"/>
        <v>728</v>
      </c>
      <c r="C1447" s="4"/>
      <c r="D1447" s="4"/>
      <c r="E1447" s="4"/>
      <c r="F1447" s="30" t="s">
        <v>55</v>
      </c>
      <c r="G1447" s="4">
        <v>632</v>
      </c>
      <c r="H1447" s="4" t="s">
        <v>146</v>
      </c>
      <c r="I1447" s="23">
        <v>3100</v>
      </c>
      <c r="J1447" s="23"/>
      <c r="K1447" s="220">
        <f t="shared" si="228"/>
        <v>3100</v>
      </c>
      <c r="L1447" s="259"/>
      <c r="M1447" s="227"/>
      <c r="N1447" s="23"/>
      <c r="O1447" s="220">
        <f t="shared" si="229"/>
        <v>0</v>
      </c>
      <c r="P1447" s="259"/>
      <c r="Q1447" s="308">
        <f t="shared" si="225"/>
        <v>3100</v>
      </c>
      <c r="R1447" s="92">
        <f t="shared" si="223"/>
        <v>0</v>
      </c>
      <c r="S1447" s="92">
        <f t="shared" si="224"/>
        <v>3100</v>
      </c>
    </row>
    <row r="1448" spans="2:19" x14ac:dyDescent="0.2">
      <c r="B1448" s="88">
        <f t="shared" si="230"/>
        <v>729</v>
      </c>
      <c r="C1448" s="4"/>
      <c r="D1448" s="4"/>
      <c r="E1448" s="4"/>
      <c r="F1448" s="30" t="s">
        <v>55</v>
      </c>
      <c r="G1448" s="4">
        <v>633</v>
      </c>
      <c r="H1448" s="4" t="s">
        <v>137</v>
      </c>
      <c r="I1448" s="23">
        <f>62865+163</f>
        <v>63028</v>
      </c>
      <c r="J1448" s="23"/>
      <c r="K1448" s="220">
        <f t="shared" si="228"/>
        <v>63028</v>
      </c>
      <c r="L1448" s="259"/>
      <c r="M1448" s="227"/>
      <c r="N1448" s="23"/>
      <c r="O1448" s="220">
        <f t="shared" si="229"/>
        <v>0</v>
      </c>
      <c r="P1448" s="259"/>
      <c r="Q1448" s="308">
        <f t="shared" si="225"/>
        <v>63028</v>
      </c>
      <c r="R1448" s="92">
        <f t="shared" si="223"/>
        <v>0</v>
      </c>
      <c r="S1448" s="92">
        <f t="shared" si="224"/>
        <v>63028</v>
      </c>
    </row>
    <row r="1449" spans="2:19" x14ac:dyDescent="0.2">
      <c r="B1449" s="88">
        <f t="shared" si="230"/>
        <v>730</v>
      </c>
      <c r="C1449" s="4"/>
      <c r="D1449" s="4"/>
      <c r="E1449" s="4"/>
      <c r="F1449" s="30" t="s">
        <v>55</v>
      </c>
      <c r="G1449" s="4">
        <v>635</v>
      </c>
      <c r="H1449" s="4" t="s">
        <v>145</v>
      </c>
      <c r="I1449" s="23">
        <v>3600</v>
      </c>
      <c r="J1449" s="23"/>
      <c r="K1449" s="220">
        <f t="shared" si="228"/>
        <v>3600</v>
      </c>
      <c r="L1449" s="259"/>
      <c r="M1449" s="227"/>
      <c r="N1449" s="23"/>
      <c r="O1449" s="220">
        <f t="shared" si="229"/>
        <v>0</v>
      </c>
      <c r="P1449" s="259"/>
      <c r="Q1449" s="308">
        <f t="shared" si="225"/>
        <v>3600</v>
      </c>
      <c r="R1449" s="92">
        <f t="shared" si="223"/>
        <v>0</v>
      </c>
      <c r="S1449" s="92">
        <f t="shared" si="224"/>
        <v>3600</v>
      </c>
    </row>
    <row r="1450" spans="2:19" x14ac:dyDescent="0.2">
      <c r="B1450" s="88">
        <f t="shared" si="230"/>
        <v>731</v>
      </c>
      <c r="C1450" s="4"/>
      <c r="D1450" s="4"/>
      <c r="E1450" s="4"/>
      <c r="F1450" s="30" t="s">
        <v>55</v>
      </c>
      <c r="G1450" s="4">
        <v>637</v>
      </c>
      <c r="H1450" s="4" t="s">
        <v>134</v>
      </c>
      <c r="I1450" s="23">
        <v>2300</v>
      </c>
      <c r="J1450" s="23"/>
      <c r="K1450" s="220">
        <f t="shared" si="228"/>
        <v>2300</v>
      </c>
      <c r="L1450" s="259"/>
      <c r="M1450" s="227"/>
      <c r="N1450" s="23"/>
      <c r="O1450" s="220">
        <f t="shared" si="229"/>
        <v>0</v>
      </c>
      <c r="P1450" s="259"/>
      <c r="Q1450" s="308">
        <f t="shared" si="225"/>
        <v>2300</v>
      </c>
      <c r="R1450" s="92">
        <f t="shared" si="223"/>
        <v>0</v>
      </c>
      <c r="S1450" s="92">
        <f t="shared" si="224"/>
        <v>2300</v>
      </c>
    </row>
    <row r="1451" spans="2:19" x14ac:dyDescent="0.2">
      <c r="B1451" s="88">
        <f t="shared" si="230"/>
        <v>732</v>
      </c>
      <c r="C1451" s="10"/>
      <c r="D1451" s="10"/>
      <c r="E1451" s="10"/>
      <c r="F1451" s="29" t="s">
        <v>55</v>
      </c>
      <c r="G1451" s="10">
        <v>640</v>
      </c>
      <c r="H1451" s="10" t="s">
        <v>141</v>
      </c>
      <c r="I1451" s="27">
        <v>30</v>
      </c>
      <c r="J1451" s="27"/>
      <c r="K1451" s="250">
        <f t="shared" si="228"/>
        <v>30</v>
      </c>
      <c r="L1451" s="259"/>
      <c r="M1451" s="315"/>
      <c r="N1451" s="27"/>
      <c r="O1451" s="250">
        <f t="shared" si="229"/>
        <v>0</v>
      </c>
      <c r="P1451" s="259"/>
      <c r="Q1451" s="309">
        <f t="shared" si="225"/>
        <v>30</v>
      </c>
      <c r="R1451" s="91">
        <f t="shared" si="223"/>
        <v>0</v>
      </c>
      <c r="S1451" s="91">
        <f t="shared" si="224"/>
        <v>30</v>
      </c>
    </row>
    <row r="1452" spans="2:19" ht="15" x14ac:dyDescent="0.2">
      <c r="B1452" s="88">
        <f t="shared" si="230"/>
        <v>733</v>
      </c>
      <c r="C1452" s="242">
        <v>5</v>
      </c>
      <c r="D1452" s="511" t="s">
        <v>132</v>
      </c>
      <c r="E1452" s="509"/>
      <c r="F1452" s="509"/>
      <c r="G1452" s="509"/>
      <c r="H1452" s="510"/>
      <c r="I1452" s="40">
        <f>I1453+I1458+I1460+I1471</f>
        <v>247040</v>
      </c>
      <c r="J1452" s="40">
        <f>J1453+J1458+J1460+J1471</f>
        <v>1774</v>
      </c>
      <c r="K1452" s="248">
        <f t="shared" si="228"/>
        <v>248814</v>
      </c>
      <c r="L1452" s="259"/>
      <c r="M1452" s="318">
        <v>0</v>
      </c>
      <c r="N1452" s="40">
        <v>0</v>
      </c>
      <c r="O1452" s="248">
        <f t="shared" si="229"/>
        <v>0</v>
      </c>
      <c r="P1452" s="259"/>
      <c r="Q1452" s="313">
        <f t="shared" si="225"/>
        <v>247040</v>
      </c>
      <c r="R1452" s="89">
        <f t="shared" si="223"/>
        <v>1774</v>
      </c>
      <c r="S1452" s="89">
        <f t="shared" si="224"/>
        <v>248814</v>
      </c>
    </row>
    <row r="1453" spans="2:19" x14ac:dyDescent="0.2">
      <c r="B1453" s="88">
        <f t="shared" si="230"/>
        <v>734</v>
      </c>
      <c r="C1453" s="9"/>
      <c r="D1453" s="9"/>
      <c r="E1453" s="9"/>
      <c r="F1453" s="33"/>
      <c r="G1453" s="9"/>
      <c r="H1453" s="9" t="s">
        <v>140</v>
      </c>
      <c r="I1453" s="45">
        <f>I1454+I1455+I1456</f>
        <v>3200</v>
      </c>
      <c r="J1453" s="45">
        <f>J1454+J1455+J1456</f>
        <v>0</v>
      </c>
      <c r="K1453" s="359">
        <f t="shared" si="228"/>
        <v>3200</v>
      </c>
      <c r="L1453" s="259"/>
      <c r="M1453" s="362">
        <v>0</v>
      </c>
      <c r="N1453" s="45">
        <v>0</v>
      </c>
      <c r="O1453" s="359">
        <f t="shared" si="229"/>
        <v>0</v>
      </c>
      <c r="P1453" s="259"/>
      <c r="Q1453" s="372">
        <f t="shared" si="225"/>
        <v>3200</v>
      </c>
      <c r="R1453" s="105">
        <f t="shared" si="223"/>
        <v>0</v>
      </c>
      <c r="S1453" s="105">
        <f t="shared" si="224"/>
        <v>3200</v>
      </c>
    </row>
    <row r="1454" spans="2:19" x14ac:dyDescent="0.2">
      <c r="B1454" s="88">
        <f t="shared" si="230"/>
        <v>735</v>
      </c>
      <c r="C1454" s="10"/>
      <c r="D1454" s="10"/>
      <c r="E1454" s="10"/>
      <c r="F1454" s="29" t="s">
        <v>56</v>
      </c>
      <c r="G1454" s="10">
        <v>610</v>
      </c>
      <c r="H1454" s="10" t="s">
        <v>143</v>
      </c>
      <c r="I1454" s="27">
        <f>600-600</f>
        <v>0</v>
      </c>
      <c r="J1454" s="27">
        <f>600-600</f>
        <v>0</v>
      </c>
      <c r="K1454" s="250">
        <f t="shared" si="228"/>
        <v>0</v>
      </c>
      <c r="L1454" s="259"/>
      <c r="M1454" s="315"/>
      <c r="N1454" s="27"/>
      <c r="O1454" s="250">
        <f t="shared" si="229"/>
        <v>0</v>
      </c>
      <c r="P1454" s="259"/>
      <c r="Q1454" s="309">
        <f t="shared" si="225"/>
        <v>0</v>
      </c>
      <c r="R1454" s="91">
        <f t="shared" si="223"/>
        <v>0</v>
      </c>
      <c r="S1454" s="91">
        <f t="shared" si="224"/>
        <v>0</v>
      </c>
    </row>
    <row r="1455" spans="2:19" x14ac:dyDescent="0.2">
      <c r="B1455" s="88">
        <f t="shared" si="230"/>
        <v>736</v>
      </c>
      <c r="C1455" s="10"/>
      <c r="D1455" s="10"/>
      <c r="E1455" s="10"/>
      <c r="F1455" s="29" t="s">
        <v>56</v>
      </c>
      <c r="G1455" s="10">
        <v>620</v>
      </c>
      <c r="H1455" s="10" t="s">
        <v>136</v>
      </c>
      <c r="I1455" s="27">
        <f>120-120</f>
        <v>0</v>
      </c>
      <c r="J1455" s="27">
        <f>120-120</f>
        <v>0</v>
      </c>
      <c r="K1455" s="250">
        <f t="shared" si="228"/>
        <v>0</v>
      </c>
      <c r="L1455" s="259"/>
      <c r="M1455" s="315"/>
      <c r="N1455" s="27"/>
      <c r="O1455" s="250">
        <f t="shared" si="229"/>
        <v>0</v>
      </c>
      <c r="P1455" s="259"/>
      <c r="Q1455" s="309">
        <f t="shared" si="225"/>
        <v>0</v>
      </c>
      <c r="R1455" s="91">
        <f t="shared" si="223"/>
        <v>0</v>
      </c>
      <c r="S1455" s="91">
        <f t="shared" si="224"/>
        <v>0</v>
      </c>
    </row>
    <row r="1456" spans="2:19" x14ac:dyDescent="0.2">
      <c r="B1456" s="88">
        <f t="shared" si="230"/>
        <v>737</v>
      </c>
      <c r="C1456" s="10"/>
      <c r="D1456" s="10"/>
      <c r="E1456" s="10"/>
      <c r="F1456" s="29" t="s">
        <v>56</v>
      </c>
      <c r="G1456" s="10">
        <v>630</v>
      </c>
      <c r="H1456" s="10" t="s">
        <v>133</v>
      </c>
      <c r="I1456" s="27">
        <f>I1457</f>
        <v>3200</v>
      </c>
      <c r="J1456" s="27">
        <f>J1457</f>
        <v>0</v>
      </c>
      <c r="K1456" s="250">
        <f t="shared" si="228"/>
        <v>3200</v>
      </c>
      <c r="L1456" s="259"/>
      <c r="M1456" s="315"/>
      <c r="N1456" s="27"/>
      <c r="O1456" s="250">
        <f t="shared" si="229"/>
        <v>0</v>
      </c>
      <c r="P1456" s="259"/>
      <c r="Q1456" s="309">
        <f t="shared" si="225"/>
        <v>3200</v>
      </c>
      <c r="R1456" s="91">
        <f t="shared" si="223"/>
        <v>0</v>
      </c>
      <c r="S1456" s="91">
        <f t="shared" si="224"/>
        <v>3200</v>
      </c>
    </row>
    <row r="1457" spans="2:19" x14ac:dyDescent="0.2">
      <c r="B1457" s="88">
        <f t="shared" si="230"/>
        <v>738</v>
      </c>
      <c r="C1457" s="4"/>
      <c r="D1457" s="4"/>
      <c r="E1457" s="4"/>
      <c r="F1457" s="30" t="s">
        <v>56</v>
      </c>
      <c r="G1457" s="4">
        <v>633</v>
      </c>
      <c r="H1457" s="4" t="s">
        <v>137</v>
      </c>
      <c r="I1457" s="23">
        <v>3200</v>
      </c>
      <c r="J1457" s="23"/>
      <c r="K1457" s="220">
        <f t="shared" si="228"/>
        <v>3200</v>
      </c>
      <c r="L1457" s="259"/>
      <c r="M1457" s="227"/>
      <c r="N1457" s="23"/>
      <c r="O1457" s="220">
        <f t="shared" si="229"/>
        <v>0</v>
      </c>
      <c r="P1457" s="259"/>
      <c r="Q1457" s="308">
        <f t="shared" si="225"/>
        <v>3200</v>
      </c>
      <c r="R1457" s="92">
        <f t="shared" si="223"/>
        <v>0</v>
      </c>
      <c r="S1457" s="92">
        <f t="shared" si="224"/>
        <v>3200</v>
      </c>
    </row>
    <row r="1458" spans="2:19" x14ac:dyDescent="0.2">
      <c r="B1458" s="88">
        <f t="shared" si="230"/>
        <v>739</v>
      </c>
      <c r="C1458" s="9"/>
      <c r="D1458" s="9"/>
      <c r="E1458" s="9"/>
      <c r="F1458" s="33"/>
      <c r="G1458" s="9"/>
      <c r="H1458" s="9" t="s">
        <v>304</v>
      </c>
      <c r="I1458" s="45">
        <f>I1459</f>
        <v>10000</v>
      </c>
      <c r="J1458" s="45">
        <f>J1459</f>
        <v>0</v>
      </c>
      <c r="K1458" s="359">
        <f t="shared" si="228"/>
        <v>10000</v>
      </c>
      <c r="L1458" s="259"/>
      <c r="M1458" s="362">
        <v>0</v>
      </c>
      <c r="N1458" s="45">
        <v>0</v>
      </c>
      <c r="O1458" s="359">
        <f t="shared" si="229"/>
        <v>0</v>
      </c>
      <c r="P1458" s="259"/>
      <c r="Q1458" s="372">
        <f t="shared" si="225"/>
        <v>10000</v>
      </c>
      <c r="R1458" s="105">
        <f t="shared" si="223"/>
        <v>0</v>
      </c>
      <c r="S1458" s="105">
        <f t="shared" si="224"/>
        <v>10000</v>
      </c>
    </row>
    <row r="1459" spans="2:19" x14ac:dyDescent="0.2">
      <c r="B1459" s="88">
        <f t="shared" si="230"/>
        <v>740</v>
      </c>
      <c r="C1459" s="3"/>
      <c r="D1459" s="3"/>
      <c r="E1459" s="3"/>
      <c r="F1459" s="34" t="s">
        <v>56</v>
      </c>
      <c r="G1459" s="3">
        <v>640</v>
      </c>
      <c r="H1459" s="3" t="s">
        <v>141</v>
      </c>
      <c r="I1459" s="22">
        <v>10000</v>
      </c>
      <c r="J1459" s="22"/>
      <c r="K1459" s="219">
        <f t="shared" si="228"/>
        <v>10000</v>
      </c>
      <c r="L1459" s="259"/>
      <c r="M1459" s="226"/>
      <c r="N1459" s="22"/>
      <c r="O1459" s="219">
        <f t="shared" si="229"/>
        <v>0</v>
      </c>
      <c r="P1459" s="259"/>
      <c r="Q1459" s="373">
        <f t="shared" si="225"/>
        <v>10000</v>
      </c>
      <c r="R1459" s="118">
        <f t="shared" si="223"/>
        <v>0</v>
      </c>
      <c r="S1459" s="118">
        <f t="shared" si="224"/>
        <v>10000</v>
      </c>
    </row>
    <row r="1460" spans="2:19" x14ac:dyDescent="0.2">
      <c r="B1460" s="88">
        <f t="shared" si="230"/>
        <v>741</v>
      </c>
      <c r="C1460" s="9"/>
      <c r="D1460" s="9"/>
      <c r="E1460" s="9"/>
      <c r="F1460" s="33"/>
      <c r="G1460" s="9"/>
      <c r="H1460" s="9" t="s">
        <v>135</v>
      </c>
      <c r="I1460" s="45">
        <f>I1461+I1462+I1463+I1470</f>
        <v>46760</v>
      </c>
      <c r="J1460" s="45">
        <f>J1461+J1462+J1463+J1470</f>
        <v>1774</v>
      </c>
      <c r="K1460" s="359">
        <f t="shared" si="228"/>
        <v>48534</v>
      </c>
      <c r="L1460" s="259"/>
      <c r="M1460" s="362">
        <v>0</v>
      </c>
      <c r="N1460" s="45">
        <v>0</v>
      </c>
      <c r="O1460" s="359">
        <f t="shared" si="229"/>
        <v>0</v>
      </c>
      <c r="P1460" s="259"/>
      <c r="Q1460" s="372">
        <f t="shared" si="225"/>
        <v>46760</v>
      </c>
      <c r="R1460" s="105">
        <f t="shared" ref="R1460:R1481" si="231">J1460+N1460</f>
        <v>1774</v>
      </c>
      <c r="S1460" s="105">
        <f t="shared" ref="S1460:S1481" si="232">K1460+O1460</f>
        <v>48534</v>
      </c>
    </row>
    <row r="1461" spans="2:19" x14ac:dyDescent="0.2">
      <c r="B1461" s="88">
        <f t="shared" si="230"/>
        <v>742</v>
      </c>
      <c r="C1461" s="10"/>
      <c r="D1461" s="10"/>
      <c r="E1461" s="10"/>
      <c r="F1461" s="29" t="s">
        <v>56</v>
      </c>
      <c r="G1461" s="10">
        <v>610</v>
      </c>
      <c r="H1461" s="10" t="s">
        <v>143</v>
      </c>
      <c r="I1461" s="27">
        <v>26800</v>
      </c>
      <c r="J1461" s="27">
        <v>1154</v>
      </c>
      <c r="K1461" s="250">
        <f t="shared" si="228"/>
        <v>27954</v>
      </c>
      <c r="L1461" s="259"/>
      <c r="M1461" s="315"/>
      <c r="N1461" s="27"/>
      <c r="O1461" s="250">
        <f t="shared" si="229"/>
        <v>0</v>
      </c>
      <c r="P1461" s="259"/>
      <c r="Q1461" s="309">
        <f t="shared" si="225"/>
        <v>26800</v>
      </c>
      <c r="R1461" s="91">
        <f t="shared" si="231"/>
        <v>1154</v>
      </c>
      <c r="S1461" s="91">
        <f t="shared" si="232"/>
        <v>27954</v>
      </c>
    </row>
    <row r="1462" spans="2:19" x14ac:dyDescent="0.2">
      <c r="B1462" s="88">
        <f t="shared" si="230"/>
        <v>743</v>
      </c>
      <c r="C1462" s="10"/>
      <c r="D1462" s="10"/>
      <c r="E1462" s="10"/>
      <c r="F1462" s="29" t="s">
        <v>56</v>
      </c>
      <c r="G1462" s="10">
        <v>620</v>
      </c>
      <c r="H1462" s="10" t="s">
        <v>136</v>
      </c>
      <c r="I1462" s="27">
        <v>11070</v>
      </c>
      <c r="J1462" s="27">
        <v>620</v>
      </c>
      <c r="K1462" s="250">
        <f t="shared" si="228"/>
        <v>11690</v>
      </c>
      <c r="L1462" s="259"/>
      <c r="M1462" s="315"/>
      <c r="N1462" s="27"/>
      <c r="O1462" s="250">
        <f t="shared" si="229"/>
        <v>0</v>
      </c>
      <c r="P1462" s="259"/>
      <c r="Q1462" s="309">
        <f t="shared" si="225"/>
        <v>11070</v>
      </c>
      <c r="R1462" s="91">
        <f t="shared" si="231"/>
        <v>620</v>
      </c>
      <c r="S1462" s="91">
        <f t="shared" si="232"/>
        <v>11690</v>
      </c>
    </row>
    <row r="1463" spans="2:19" x14ac:dyDescent="0.2">
      <c r="B1463" s="88">
        <f t="shared" si="230"/>
        <v>744</v>
      </c>
      <c r="C1463" s="10"/>
      <c r="D1463" s="10"/>
      <c r="E1463" s="10"/>
      <c r="F1463" s="29" t="s">
        <v>56</v>
      </c>
      <c r="G1463" s="10">
        <v>630</v>
      </c>
      <c r="H1463" s="10" t="s">
        <v>133</v>
      </c>
      <c r="I1463" s="27">
        <f>SUM(I1464:I1469)</f>
        <v>6560</v>
      </c>
      <c r="J1463" s="27">
        <f>SUM(J1464:J1469)</f>
        <v>2330</v>
      </c>
      <c r="K1463" s="250">
        <f t="shared" si="228"/>
        <v>8890</v>
      </c>
      <c r="L1463" s="259"/>
      <c r="M1463" s="315"/>
      <c r="N1463" s="27"/>
      <c r="O1463" s="250">
        <f t="shared" si="229"/>
        <v>0</v>
      </c>
      <c r="P1463" s="259"/>
      <c r="Q1463" s="309">
        <f t="shared" si="225"/>
        <v>6560</v>
      </c>
      <c r="R1463" s="91">
        <f t="shared" si="231"/>
        <v>2330</v>
      </c>
      <c r="S1463" s="91">
        <f t="shared" si="232"/>
        <v>8890</v>
      </c>
    </row>
    <row r="1464" spans="2:19" x14ac:dyDescent="0.2">
      <c r="B1464" s="88">
        <f t="shared" si="230"/>
        <v>745</v>
      </c>
      <c r="C1464" s="4"/>
      <c r="D1464" s="4"/>
      <c r="E1464" s="4"/>
      <c r="F1464" s="30" t="s">
        <v>56</v>
      </c>
      <c r="G1464" s="4">
        <v>631</v>
      </c>
      <c r="H1464" s="4" t="s">
        <v>139</v>
      </c>
      <c r="I1464" s="23">
        <v>50</v>
      </c>
      <c r="J1464" s="23"/>
      <c r="K1464" s="220">
        <f t="shared" si="228"/>
        <v>50</v>
      </c>
      <c r="L1464" s="259"/>
      <c r="M1464" s="227"/>
      <c r="N1464" s="23"/>
      <c r="O1464" s="220">
        <f t="shared" si="229"/>
        <v>0</v>
      </c>
      <c r="P1464" s="259"/>
      <c r="Q1464" s="308">
        <f t="shared" si="225"/>
        <v>50</v>
      </c>
      <c r="R1464" s="92">
        <f t="shared" si="231"/>
        <v>0</v>
      </c>
      <c r="S1464" s="92">
        <f t="shared" si="232"/>
        <v>50</v>
      </c>
    </row>
    <row r="1465" spans="2:19" x14ac:dyDescent="0.2">
      <c r="B1465" s="88">
        <f t="shared" si="230"/>
        <v>746</v>
      </c>
      <c r="C1465" s="4"/>
      <c r="D1465" s="4"/>
      <c r="E1465" s="4"/>
      <c r="F1465" s="30" t="s">
        <v>56</v>
      </c>
      <c r="G1465" s="4">
        <v>632</v>
      </c>
      <c r="H1465" s="4" t="s">
        <v>146</v>
      </c>
      <c r="I1465" s="23">
        <f>252-36</f>
        <v>216</v>
      </c>
      <c r="J1465" s="23"/>
      <c r="K1465" s="220">
        <f t="shared" si="228"/>
        <v>216</v>
      </c>
      <c r="L1465" s="259"/>
      <c r="M1465" s="227"/>
      <c r="N1465" s="23"/>
      <c r="O1465" s="220">
        <f t="shared" si="229"/>
        <v>0</v>
      </c>
      <c r="P1465" s="259"/>
      <c r="Q1465" s="308">
        <f t="shared" si="225"/>
        <v>216</v>
      </c>
      <c r="R1465" s="92">
        <f t="shared" si="231"/>
        <v>0</v>
      </c>
      <c r="S1465" s="92">
        <f t="shared" si="232"/>
        <v>216</v>
      </c>
    </row>
    <row r="1466" spans="2:19" x14ac:dyDescent="0.2">
      <c r="B1466" s="88">
        <f t="shared" si="230"/>
        <v>747</v>
      </c>
      <c r="C1466" s="4"/>
      <c r="D1466" s="4"/>
      <c r="E1466" s="4"/>
      <c r="F1466" s="30" t="s">
        <v>56</v>
      </c>
      <c r="G1466" s="4">
        <v>633</v>
      </c>
      <c r="H1466" s="4" t="s">
        <v>137</v>
      </c>
      <c r="I1466" s="23">
        <v>360</v>
      </c>
      <c r="J1466" s="23">
        <v>2330</v>
      </c>
      <c r="K1466" s="220">
        <f t="shared" si="228"/>
        <v>2690</v>
      </c>
      <c r="L1466" s="259"/>
      <c r="M1466" s="227"/>
      <c r="N1466" s="23"/>
      <c r="O1466" s="220">
        <f t="shared" si="229"/>
        <v>0</v>
      </c>
      <c r="P1466" s="259"/>
      <c r="Q1466" s="308">
        <f t="shared" si="225"/>
        <v>360</v>
      </c>
      <c r="R1466" s="92">
        <f t="shared" si="231"/>
        <v>2330</v>
      </c>
      <c r="S1466" s="92">
        <f t="shared" si="232"/>
        <v>2690</v>
      </c>
    </row>
    <row r="1467" spans="2:19" x14ac:dyDescent="0.2">
      <c r="B1467" s="88">
        <f t="shared" si="230"/>
        <v>748</v>
      </c>
      <c r="C1467" s="4"/>
      <c r="D1467" s="4"/>
      <c r="E1467" s="4"/>
      <c r="F1467" s="30" t="s">
        <v>56</v>
      </c>
      <c r="G1467" s="4">
        <v>637</v>
      </c>
      <c r="H1467" s="4" t="s">
        <v>134</v>
      </c>
      <c r="I1467" s="23">
        <v>1650</v>
      </c>
      <c r="J1467" s="23"/>
      <c r="K1467" s="220">
        <f t="shared" si="228"/>
        <v>1650</v>
      </c>
      <c r="L1467" s="259"/>
      <c r="M1467" s="227"/>
      <c r="N1467" s="23"/>
      <c r="O1467" s="220">
        <f t="shared" si="229"/>
        <v>0</v>
      </c>
      <c r="P1467" s="259"/>
      <c r="Q1467" s="308">
        <f t="shared" si="225"/>
        <v>1650</v>
      </c>
      <c r="R1467" s="92">
        <f t="shared" si="231"/>
        <v>0</v>
      </c>
      <c r="S1467" s="92">
        <f t="shared" si="232"/>
        <v>1650</v>
      </c>
    </row>
    <row r="1468" spans="2:19" x14ac:dyDescent="0.2">
      <c r="B1468" s="88">
        <f t="shared" si="230"/>
        <v>749</v>
      </c>
      <c r="C1468" s="4"/>
      <c r="D1468" s="4"/>
      <c r="E1468" s="4"/>
      <c r="F1468" s="30" t="s">
        <v>56</v>
      </c>
      <c r="G1468" s="4">
        <v>630</v>
      </c>
      <c r="H1468" s="4" t="s">
        <v>594</v>
      </c>
      <c r="I1468" s="23">
        <v>4186</v>
      </c>
      <c r="J1468" s="23"/>
      <c r="K1468" s="220">
        <f t="shared" si="228"/>
        <v>4186</v>
      </c>
      <c r="L1468" s="259"/>
      <c r="M1468" s="227"/>
      <c r="N1468" s="23"/>
      <c r="O1468" s="220">
        <f t="shared" si="229"/>
        <v>0</v>
      </c>
      <c r="P1468" s="259"/>
      <c r="Q1468" s="308">
        <f t="shared" ref="Q1468:Q1481" si="233">I1468+M1468</f>
        <v>4186</v>
      </c>
      <c r="R1468" s="92">
        <f t="shared" si="231"/>
        <v>0</v>
      </c>
      <c r="S1468" s="92">
        <f t="shared" si="232"/>
        <v>4186</v>
      </c>
    </row>
    <row r="1469" spans="2:19" x14ac:dyDescent="0.2">
      <c r="B1469" s="88">
        <f t="shared" si="230"/>
        <v>750</v>
      </c>
      <c r="C1469" s="4"/>
      <c r="D1469" s="4"/>
      <c r="E1469" s="4"/>
      <c r="F1469" s="30" t="s">
        <v>56</v>
      </c>
      <c r="G1469" s="4">
        <v>637</v>
      </c>
      <c r="H1469" s="4" t="s">
        <v>597</v>
      </c>
      <c r="I1469" s="23">
        <v>98</v>
      </c>
      <c r="J1469" s="23"/>
      <c r="K1469" s="220">
        <f t="shared" si="228"/>
        <v>98</v>
      </c>
      <c r="L1469" s="259"/>
      <c r="M1469" s="227"/>
      <c r="N1469" s="23"/>
      <c r="O1469" s="220">
        <f t="shared" si="229"/>
        <v>0</v>
      </c>
      <c r="P1469" s="259"/>
      <c r="Q1469" s="308">
        <f t="shared" si="233"/>
        <v>98</v>
      </c>
      <c r="R1469" s="92">
        <f t="shared" si="231"/>
        <v>0</v>
      </c>
      <c r="S1469" s="92">
        <f t="shared" si="232"/>
        <v>98</v>
      </c>
    </row>
    <row r="1470" spans="2:19" x14ac:dyDescent="0.2">
      <c r="B1470" s="88">
        <f t="shared" si="230"/>
        <v>751</v>
      </c>
      <c r="C1470" s="10"/>
      <c r="D1470" s="10"/>
      <c r="E1470" s="10"/>
      <c r="F1470" s="29" t="s">
        <v>56</v>
      </c>
      <c r="G1470" s="10">
        <v>640</v>
      </c>
      <c r="H1470" s="10" t="s">
        <v>141</v>
      </c>
      <c r="I1470" s="27">
        <v>2330</v>
      </c>
      <c r="J1470" s="27">
        <v>-2330</v>
      </c>
      <c r="K1470" s="250">
        <f t="shared" si="228"/>
        <v>0</v>
      </c>
      <c r="L1470" s="259"/>
      <c r="M1470" s="315"/>
      <c r="N1470" s="27"/>
      <c r="O1470" s="250">
        <f t="shared" si="229"/>
        <v>0</v>
      </c>
      <c r="P1470" s="259"/>
      <c r="Q1470" s="309">
        <f t="shared" si="233"/>
        <v>2330</v>
      </c>
      <c r="R1470" s="91">
        <f t="shared" si="231"/>
        <v>-2330</v>
      </c>
      <c r="S1470" s="91">
        <f t="shared" si="232"/>
        <v>0</v>
      </c>
    </row>
    <row r="1471" spans="2:19" ht="15" x14ac:dyDescent="0.25">
      <c r="B1471" s="88">
        <f t="shared" si="230"/>
        <v>752</v>
      </c>
      <c r="C1471" s="13"/>
      <c r="D1471" s="13"/>
      <c r="E1471" s="13">
        <v>4</v>
      </c>
      <c r="F1471" s="32"/>
      <c r="G1471" s="13"/>
      <c r="H1471" s="13" t="s">
        <v>90</v>
      </c>
      <c r="I1471" s="42">
        <f>I1472+I1473+I1474+I1481</f>
        <v>187080</v>
      </c>
      <c r="J1471" s="42">
        <f>J1472+J1473+J1474+J1481</f>
        <v>0</v>
      </c>
      <c r="K1471" s="255">
        <f t="shared" si="228"/>
        <v>187080</v>
      </c>
      <c r="L1471" s="259"/>
      <c r="M1471" s="317">
        <v>0</v>
      </c>
      <c r="N1471" s="42">
        <v>0</v>
      </c>
      <c r="O1471" s="255">
        <f t="shared" si="229"/>
        <v>0</v>
      </c>
      <c r="P1471" s="259"/>
      <c r="Q1471" s="312">
        <f t="shared" si="233"/>
        <v>187080</v>
      </c>
      <c r="R1471" s="99">
        <f t="shared" si="231"/>
        <v>0</v>
      </c>
      <c r="S1471" s="99">
        <f t="shared" si="232"/>
        <v>187080</v>
      </c>
    </row>
    <row r="1472" spans="2:19" x14ac:dyDescent="0.2">
      <c r="B1472" s="88">
        <f t="shared" si="230"/>
        <v>753</v>
      </c>
      <c r="C1472" s="10"/>
      <c r="D1472" s="10"/>
      <c r="E1472" s="10"/>
      <c r="F1472" s="29" t="s">
        <v>80</v>
      </c>
      <c r="G1472" s="10">
        <v>610</v>
      </c>
      <c r="H1472" s="10" t="s">
        <v>143</v>
      </c>
      <c r="I1472" s="27">
        <f>102410-2700</f>
        <v>99710</v>
      </c>
      <c r="J1472" s="27"/>
      <c r="K1472" s="250">
        <f t="shared" si="228"/>
        <v>99710</v>
      </c>
      <c r="L1472" s="259"/>
      <c r="M1472" s="315"/>
      <c r="N1472" s="27"/>
      <c r="O1472" s="250">
        <f t="shared" si="229"/>
        <v>0</v>
      </c>
      <c r="P1472" s="259"/>
      <c r="Q1472" s="309">
        <f t="shared" si="233"/>
        <v>99710</v>
      </c>
      <c r="R1472" s="91">
        <f t="shared" si="231"/>
        <v>0</v>
      </c>
      <c r="S1472" s="91">
        <f t="shared" si="232"/>
        <v>99710</v>
      </c>
    </row>
    <row r="1473" spans="2:19" x14ac:dyDescent="0.2">
      <c r="B1473" s="88">
        <f t="shared" si="230"/>
        <v>754</v>
      </c>
      <c r="C1473" s="10"/>
      <c r="D1473" s="10"/>
      <c r="E1473" s="10"/>
      <c r="F1473" s="29" t="s">
        <v>80</v>
      </c>
      <c r="G1473" s="10">
        <v>620</v>
      </c>
      <c r="H1473" s="10" t="s">
        <v>136</v>
      </c>
      <c r="I1473" s="27">
        <v>41720</v>
      </c>
      <c r="J1473" s="27"/>
      <c r="K1473" s="250">
        <f t="shared" si="228"/>
        <v>41720</v>
      </c>
      <c r="L1473" s="259"/>
      <c r="M1473" s="315"/>
      <c r="N1473" s="27"/>
      <c r="O1473" s="250">
        <f t="shared" si="229"/>
        <v>0</v>
      </c>
      <c r="P1473" s="259"/>
      <c r="Q1473" s="309">
        <f t="shared" si="233"/>
        <v>41720</v>
      </c>
      <c r="R1473" s="91">
        <f t="shared" si="231"/>
        <v>0</v>
      </c>
      <c r="S1473" s="91">
        <f t="shared" si="232"/>
        <v>41720</v>
      </c>
    </row>
    <row r="1474" spans="2:19" x14ac:dyDescent="0.2">
      <c r="B1474" s="88">
        <f t="shared" si="230"/>
        <v>755</v>
      </c>
      <c r="C1474" s="10"/>
      <c r="D1474" s="10"/>
      <c r="E1474" s="10"/>
      <c r="F1474" s="29" t="s">
        <v>80</v>
      </c>
      <c r="G1474" s="10">
        <v>630</v>
      </c>
      <c r="H1474" s="10" t="s">
        <v>133</v>
      </c>
      <c r="I1474" s="27">
        <f>SUM(I1475:I1480)</f>
        <v>41747</v>
      </c>
      <c r="J1474" s="27">
        <f>SUM(J1475:J1480)</f>
        <v>0</v>
      </c>
      <c r="K1474" s="250">
        <f t="shared" si="228"/>
        <v>41747</v>
      </c>
      <c r="L1474" s="259"/>
      <c r="M1474" s="315"/>
      <c r="N1474" s="27"/>
      <c r="O1474" s="250">
        <f t="shared" si="229"/>
        <v>0</v>
      </c>
      <c r="P1474" s="259"/>
      <c r="Q1474" s="309">
        <f t="shared" si="233"/>
        <v>41747</v>
      </c>
      <c r="R1474" s="91">
        <f t="shared" si="231"/>
        <v>0</v>
      </c>
      <c r="S1474" s="91">
        <f t="shared" si="232"/>
        <v>41747</v>
      </c>
    </row>
    <row r="1475" spans="2:19" x14ac:dyDescent="0.2">
      <c r="B1475" s="88">
        <f t="shared" si="230"/>
        <v>756</v>
      </c>
      <c r="C1475" s="4"/>
      <c r="D1475" s="4"/>
      <c r="E1475" s="4"/>
      <c r="F1475" s="30" t="s">
        <v>80</v>
      </c>
      <c r="G1475" s="4">
        <v>631</v>
      </c>
      <c r="H1475" s="4" t="s">
        <v>139</v>
      </c>
      <c r="I1475" s="23">
        <v>50</v>
      </c>
      <c r="J1475" s="23"/>
      <c r="K1475" s="220">
        <f t="shared" si="228"/>
        <v>50</v>
      </c>
      <c r="L1475" s="259"/>
      <c r="M1475" s="227"/>
      <c r="N1475" s="23"/>
      <c r="O1475" s="220">
        <f t="shared" si="229"/>
        <v>0</v>
      </c>
      <c r="P1475" s="259"/>
      <c r="Q1475" s="308">
        <f t="shared" si="233"/>
        <v>50</v>
      </c>
      <c r="R1475" s="92">
        <f t="shared" si="231"/>
        <v>0</v>
      </c>
      <c r="S1475" s="92">
        <f t="shared" si="232"/>
        <v>50</v>
      </c>
    </row>
    <row r="1476" spans="2:19" x14ac:dyDescent="0.2">
      <c r="B1476" s="88">
        <f t="shared" si="230"/>
        <v>757</v>
      </c>
      <c r="C1476" s="4"/>
      <c r="D1476" s="4"/>
      <c r="E1476" s="4"/>
      <c r="F1476" s="30" t="s">
        <v>80</v>
      </c>
      <c r="G1476" s="4">
        <v>632</v>
      </c>
      <c r="H1476" s="4" t="s">
        <v>146</v>
      </c>
      <c r="I1476" s="23">
        <v>1200</v>
      </c>
      <c r="J1476" s="23"/>
      <c r="K1476" s="220">
        <f t="shared" si="228"/>
        <v>1200</v>
      </c>
      <c r="L1476" s="259"/>
      <c r="M1476" s="227"/>
      <c r="N1476" s="23"/>
      <c r="O1476" s="220">
        <f t="shared" si="229"/>
        <v>0</v>
      </c>
      <c r="P1476" s="259"/>
      <c r="Q1476" s="308">
        <f t="shared" si="233"/>
        <v>1200</v>
      </c>
      <c r="R1476" s="92">
        <f t="shared" si="231"/>
        <v>0</v>
      </c>
      <c r="S1476" s="92">
        <f t="shared" si="232"/>
        <v>1200</v>
      </c>
    </row>
    <row r="1477" spans="2:19" x14ac:dyDescent="0.2">
      <c r="B1477" s="88">
        <f t="shared" si="230"/>
        <v>758</v>
      </c>
      <c r="C1477" s="4"/>
      <c r="D1477" s="4"/>
      <c r="E1477" s="4"/>
      <c r="F1477" s="30" t="s">
        <v>80</v>
      </c>
      <c r="G1477" s="4">
        <v>633</v>
      </c>
      <c r="H1477" s="4" t="s">
        <v>137</v>
      </c>
      <c r="I1477" s="23">
        <v>2900</v>
      </c>
      <c r="J1477" s="23"/>
      <c r="K1477" s="220">
        <f t="shared" si="228"/>
        <v>2900</v>
      </c>
      <c r="L1477" s="259"/>
      <c r="M1477" s="227"/>
      <c r="N1477" s="23"/>
      <c r="O1477" s="220">
        <f t="shared" si="229"/>
        <v>0</v>
      </c>
      <c r="P1477" s="259"/>
      <c r="Q1477" s="308">
        <f t="shared" si="233"/>
        <v>2900</v>
      </c>
      <c r="R1477" s="92">
        <f t="shared" si="231"/>
        <v>0</v>
      </c>
      <c r="S1477" s="92">
        <f t="shared" si="232"/>
        <v>2900</v>
      </c>
    </row>
    <row r="1478" spans="2:19" x14ac:dyDescent="0.2">
      <c r="B1478" s="88">
        <f>B1477+1</f>
        <v>759</v>
      </c>
      <c r="C1478" s="4"/>
      <c r="D1478" s="4"/>
      <c r="E1478" s="4"/>
      <c r="F1478" s="30" t="s">
        <v>80</v>
      </c>
      <c r="G1478" s="4">
        <v>634</v>
      </c>
      <c r="H1478" s="4" t="s">
        <v>144</v>
      </c>
      <c r="I1478" s="23">
        <v>4150</v>
      </c>
      <c r="J1478" s="23"/>
      <c r="K1478" s="220">
        <f t="shared" si="228"/>
        <v>4150</v>
      </c>
      <c r="L1478" s="259"/>
      <c r="M1478" s="227"/>
      <c r="N1478" s="23"/>
      <c r="O1478" s="220">
        <f t="shared" si="229"/>
        <v>0</v>
      </c>
      <c r="P1478" s="259"/>
      <c r="Q1478" s="308">
        <f t="shared" si="233"/>
        <v>4150</v>
      </c>
      <c r="R1478" s="92">
        <f t="shared" si="231"/>
        <v>0</v>
      </c>
      <c r="S1478" s="92">
        <f t="shared" si="232"/>
        <v>4150</v>
      </c>
    </row>
    <row r="1479" spans="2:19" x14ac:dyDescent="0.2">
      <c r="B1479" s="88">
        <f>B1478+1</f>
        <v>760</v>
      </c>
      <c r="C1479" s="4"/>
      <c r="D1479" s="4"/>
      <c r="E1479" s="4"/>
      <c r="F1479" s="30" t="s">
        <v>80</v>
      </c>
      <c r="G1479" s="4">
        <v>636</v>
      </c>
      <c r="H1479" s="4" t="s">
        <v>138</v>
      </c>
      <c r="I1479" s="23">
        <v>2780</v>
      </c>
      <c r="J1479" s="23"/>
      <c r="K1479" s="220">
        <f t="shared" si="228"/>
        <v>2780</v>
      </c>
      <c r="L1479" s="259"/>
      <c r="M1479" s="227"/>
      <c r="N1479" s="23"/>
      <c r="O1479" s="220">
        <f t="shared" si="229"/>
        <v>0</v>
      </c>
      <c r="P1479" s="259"/>
      <c r="Q1479" s="308">
        <f t="shared" si="233"/>
        <v>2780</v>
      </c>
      <c r="R1479" s="92">
        <f t="shared" si="231"/>
        <v>0</v>
      </c>
      <c r="S1479" s="92">
        <f t="shared" si="232"/>
        <v>2780</v>
      </c>
    </row>
    <row r="1480" spans="2:19" x14ac:dyDescent="0.2">
      <c r="B1480" s="88">
        <f>B1479+1</f>
        <v>761</v>
      </c>
      <c r="C1480" s="4"/>
      <c r="D1480" s="4"/>
      <c r="E1480" s="4"/>
      <c r="F1480" s="30" t="s">
        <v>80</v>
      </c>
      <c r="G1480" s="4">
        <v>637</v>
      </c>
      <c r="H1480" s="4" t="s">
        <v>134</v>
      </c>
      <c r="I1480" s="23">
        <f>27967+2700</f>
        <v>30667</v>
      </c>
      <c r="J1480" s="23"/>
      <c r="K1480" s="220">
        <f t="shared" si="228"/>
        <v>30667</v>
      </c>
      <c r="L1480" s="259"/>
      <c r="M1480" s="227"/>
      <c r="N1480" s="23"/>
      <c r="O1480" s="220">
        <f t="shared" si="229"/>
        <v>0</v>
      </c>
      <c r="P1480" s="259"/>
      <c r="Q1480" s="308">
        <f t="shared" si="233"/>
        <v>30667</v>
      </c>
      <c r="R1480" s="92">
        <f t="shared" si="231"/>
        <v>0</v>
      </c>
      <c r="S1480" s="92">
        <f t="shared" si="232"/>
        <v>30667</v>
      </c>
    </row>
    <row r="1481" spans="2:19" ht="13.5" thickBot="1" x14ac:dyDescent="0.25">
      <c r="B1481" s="94">
        <f>B1480+1</f>
        <v>762</v>
      </c>
      <c r="C1481" s="119"/>
      <c r="D1481" s="119"/>
      <c r="E1481" s="119"/>
      <c r="F1481" s="120" t="s">
        <v>80</v>
      </c>
      <c r="G1481" s="119">
        <v>640</v>
      </c>
      <c r="H1481" s="119" t="s">
        <v>141</v>
      </c>
      <c r="I1481" s="121">
        <v>3903</v>
      </c>
      <c r="J1481" s="121"/>
      <c r="K1481" s="361">
        <f t="shared" si="228"/>
        <v>3903</v>
      </c>
      <c r="L1481" s="259"/>
      <c r="M1481" s="364"/>
      <c r="N1481" s="121"/>
      <c r="O1481" s="361">
        <f t="shared" si="229"/>
        <v>0</v>
      </c>
      <c r="P1481" s="259"/>
      <c r="Q1481" s="375">
        <f t="shared" si="233"/>
        <v>3903</v>
      </c>
      <c r="R1481" s="302">
        <f t="shared" si="231"/>
        <v>0</v>
      </c>
      <c r="S1481" s="303">
        <f t="shared" si="232"/>
        <v>3903</v>
      </c>
    </row>
    <row r="1482" spans="2:19" x14ac:dyDescent="0.2">
      <c r="M1482" s="273"/>
      <c r="N1482" s="273"/>
      <c r="O1482" s="273"/>
      <c r="Q1482" s="273"/>
    </row>
    <row r="1483" spans="2:19" x14ac:dyDescent="0.2">
      <c r="M1483" s="49"/>
      <c r="N1483" s="49"/>
      <c r="O1483" s="49"/>
      <c r="Q1483" s="49"/>
    </row>
    <row r="1484" spans="2:19" x14ac:dyDescent="0.2">
      <c r="M1484" s="49"/>
      <c r="N1484" s="49"/>
      <c r="O1484" s="49"/>
      <c r="Q1484" s="49"/>
    </row>
    <row r="1485" spans="2:19" x14ac:dyDescent="0.2">
      <c r="M1485" s="49"/>
      <c r="N1485" s="49"/>
      <c r="O1485" s="49"/>
      <c r="Q1485" s="49"/>
    </row>
    <row r="1486" spans="2:19" x14ac:dyDescent="0.2">
      <c r="M1486" s="49"/>
      <c r="N1486" s="49"/>
      <c r="O1486" s="49"/>
      <c r="Q1486" s="49"/>
    </row>
    <row r="1487" spans="2:19" x14ac:dyDescent="0.2">
      <c r="M1487" s="49"/>
      <c r="N1487" s="49"/>
      <c r="O1487" s="49"/>
      <c r="Q1487" s="49"/>
    </row>
    <row r="1488" spans="2:19" x14ac:dyDescent="0.2">
      <c r="M1488" s="49"/>
      <c r="N1488" s="49"/>
      <c r="O1488" s="49"/>
      <c r="Q1488" s="49"/>
    </row>
    <row r="1489" spans="13:17" x14ac:dyDescent="0.2">
      <c r="M1489" s="49"/>
      <c r="N1489" s="49"/>
      <c r="O1489" s="49"/>
      <c r="Q1489" s="49"/>
    </row>
    <row r="1490" spans="13:17" x14ac:dyDescent="0.2">
      <c r="M1490" s="49"/>
      <c r="N1490" s="49"/>
      <c r="O1490" s="49"/>
      <c r="Q1490" s="49"/>
    </row>
    <row r="1491" spans="13:17" x14ac:dyDescent="0.2">
      <c r="M1491" s="49"/>
      <c r="N1491" s="49"/>
      <c r="O1491" s="49"/>
      <c r="Q1491" s="49"/>
    </row>
    <row r="1492" spans="13:17" x14ac:dyDescent="0.2">
      <c r="M1492" s="49"/>
      <c r="N1492" s="49"/>
      <c r="O1492" s="49"/>
      <c r="Q1492" s="49"/>
    </row>
    <row r="1493" spans="13:17" x14ac:dyDescent="0.2">
      <c r="M1493" s="49"/>
      <c r="N1493" s="49"/>
      <c r="O1493" s="49"/>
      <c r="Q1493" s="49"/>
    </row>
    <row r="1494" spans="13:17" x14ac:dyDescent="0.2">
      <c r="M1494" s="49"/>
      <c r="N1494" s="49"/>
      <c r="O1494" s="49"/>
      <c r="Q1494" s="49"/>
    </row>
    <row r="1495" spans="13:17" x14ac:dyDescent="0.2">
      <c r="M1495" s="49"/>
      <c r="N1495" s="49"/>
      <c r="O1495" s="49"/>
      <c r="Q1495" s="49"/>
    </row>
    <row r="1496" spans="13:17" x14ac:dyDescent="0.2">
      <c r="M1496" s="49"/>
      <c r="N1496" s="49"/>
      <c r="O1496" s="49"/>
      <c r="Q1496" s="49"/>
    </row>
    <row r="1497" spans="13:17" x14ac:dyDescent="0.2">
      <c r="M1497" s="49"/>
      <c r="N1497" s="49"/>
      <c r="O1497" s="49"/>
      <c r="Q1497" s="49"/>
    </row>
    <row r="1498" spans="13:17" x14ac:dyDescent="0.2">
      <c r="M1498" s="49"/>
      <c r="N1498" s="49"/>
      <c r="O1498" s="49"/>
      <c r="Q1498" s="49"/>
    </row>
    <row r="1499" spans="13:17" x14ac:dyDescent="0.2">
      <c r="M1499" s="49"/>
      <c r="N1499" s="49"/>
      <c r="O1499" s="49"/>
      <c r="Q1499" s="49"/>
    </row>
    <row r="1500" spans="13:17" x14ac:dyDescent="0.2">
      <c r="M1500" s="49"/>
      <c r="N1500" s="49"/>
      <c r="O1500" s="49"/>
      <c r="Q1500" s="49"/>
    </row>
    <row r="1501" spans="13:17" x14ac:dyDescent="0.2">
      <c r="M1501" s="49"/>
      <c r="N1501" s="49"/>
      <c r="O1501" s="49"/>
      <c r="Q1501" s="49"/>
    </row>
    <row r="1502" spans="13:17" x14ac:dyDescent="0.2">
      <c r="M1502" s="49"/>
      <c r="N1502" s="49"/>
      <c r="O1502" s="49"/>
      <c r="Q1502" s="49"/>
    </row>
    <row r="1503" spans="13:17" x14ac:dyDescent="0.2">
      <c r="M1503" s="49"/>
      <c r="N1503" s="49"/>
      <c r="O1503" s="49"/>
      <c r="Q1503" s="49"/>
    </row>
    <row r="1504" spans="13:17" x14ac:dyDescent="0.2">
      <c r="M1504" s="49"/>
      <c r="N1504" s="49"/>
      <c r="O1504" s="49"/>
      <c r="Q1504" s="49"/>
    </row>
    <row r="1505" spans="2:19" x14ac:dyDescent="0.2">
      <c r="M1505" s="49"/>
      <c r="N1505" s="49"/>
      <c r="O1505" s="49"/>
      <c r="Q1505" s="49"/>
    </row>
    <row r="1506" spans="2:19" x14ac:dyDescent="0.2">
      <c r="M1506" s="49"/>
      <c r="N1506" s="49"/>
      <c r="O1506" s="49"/>
      <c r="Q1506" s="49"/>
    </row>
    <row r="1507" spans="2:19" x14ac:dyDescent="0.2">
      <c r="M1507" s="49"/>
      <c r="N1507" s="49"/>
      <c r="O1507" s="49"/>
      <c r="Q1507" s="49"/>
    </row>
    <row r="1508" spans="2:19" x14ac:dyDescent="0.2">
      <c r="M1508" s="49"/>
      <c r="N1508" s="49"/>
      <c r="O1508" s="49"/>
      <c r="Q1508" s="49"/>
    </row>
    <row r="1509" spans="2:19" x14ac:dyDescent="0.2">
      <c r="M1509" s="49"/>
      <c r="N1509" s="49"/>
      <c r="O1509" s="49"/>
      <c r="Q1509" s="49"/>
    </row>
    <row r="1510" spans="2:19" x14ac:dyDescent="0.2">
      <c r="M1510" s="49"/>
      <c r="N1510" s="49"/>
      <c r="O1510" s="49"/>
      <c r="Q1510" s="49"/>
    </row>
    <row r="1511" spans="2:19" x14ac:dyDescent="0.2">
      <c r="M1511" s="49"/>
      <c r="N1511" s="49"/>
      <c r="O1511" s="49"/>
      <c r="Q1511" s="49"/>
    </row>
    <row r="1512" spans="2:19" ht="27.75" thickBot="1" x14ac:dyDescent="0.4">
      <c r="B1512" s="480" t="s">
        <v>1</v>
      </c>
      <c r="C1512" s="481"/>
      <c r="D1512" s="481"/>
      <c r="E1512" s="481"/>
      <c r="F1512" s="481"/>
      <c r="G1512" s="481"/>
      <c r="H1512" s="481"/>
      <c r="I1512" s="481"/>
      <c r="J1512" s="481"/>
      <c r="K1512" s="481"/>
      <c r="L1512" s="481"/>
      <c r="M1512" s="481"/>
      <c r="N1512" s="481"/>
      <c r="O1512" s="481"/>
      <c r="P1512" s="481"/>
      <c r="Q1512" s="481"/>
    </row>
    <row r="1513" spans="2:19" ht="13.5" customHeight="1" thickBot="1" x14ac:dyDescent="0.25">
      <c r="B1513" s="482" t="s">
        <v>353</v>
      </c>
      <c r="C1513" s="483"/>
      <c r="D1513" s="483"/>
      <c r="E1513" s="483"/>
      <c r="F1513" s="483"/>
      <c r="G1513" s="483"/>
      <c r="H1513" s="483"/>
      <c r="I1513" s="484"/>
      <c r="J1513" s="484"/>
      <c r="K1513" s="484"/>
      <c r="L1513" s="484"/>
      <c r="M1513" s="484"/>
      <c r="N1513" s="244"/>
      <c r="O1513" s="244"/>
      <c r="P1513" s="259"/>
      <c r="Q1513" s="485" t="s">
        <v>651</v>
      </c>
      <c r="R1513" s="471" t="s">
        <v>648</v>
      </c>
      <c r="S1513" s="474" t="s">
        <v>652</v>
      </c>
    </row>
    <row r="1514" spans="2:19" ht="13.5" customHeight="1" thickBot="1" x14ac:dyDescent="0.25">
      <c r="B1514" s="488"/>
      <c r="C1514" s="489" t="s">
        <v>126</v>
      </c>
      <c r="D1514" s="489" t="s">
        <v>127</v>
      </c>
      <c r="E1514" s="489"/>
      <c r="F1514" s="489" t="s">
        <v>128</v>
      </c>
      <c r="G1514" s="492" t="s">
        <v>129</v>
      </c>
      <c r="H1514" s="495" t="s">
        <v>130</v>
      </c>
      <c r="I1514" s="516" t="s">
        <v>647</v>
      </c>
      <c r="J1514" s="504" t="s">
        <v>648</v>
      </c>
      <c r="K1514" s="477" t="s">
        <v>649</v>
      </c>
      <c r="L1514" s="269"/>
      <c r="M1514" s="517" t="s">
        <v>650</v>
      </c>
      <c r="N1514" s="471" t="s">
        <v>648</v>
      </c>
      <c r="O1514" s="477" t="s">
        <v>649</v>
      </c>
      <c r="P1514" s="259"/>
      <c r="Q1514" s="486"/>
      <c r="R1514" s="472"/>
      <c r="S1514" s="475"/>
    </row>
    <row r="1515" spans="2:19" ht="13.5" thickBot="1" x14ac:dyDescent="0.25">
      <c r="B1515" s="488"/>
      <c r="C1515" s="490"/>
      <c r="D1515" s="490"/>
      <c r="E1515" s="490"/>
      <c r="F1515" s="490"/>
      <c r="G1515" s="493"/>
      <c r="H1515" s="495"/>
      <c r="I1515" s="496"/>
      <c r="J1515" s="502"/>
      <c r="K1515" s="478"/>
      <c r="L1515" s="259"/>
      <c r="M1515" s="500"/>
      <c r="N1515" s="472"/>
      <c r="O1515" s="478"/>
      <c r="P1515" s="259"/>
      <c r="Q1515" s="486"/>
      <c r="R1515" s="472"/>
      <c r="S1515" s="475"/>
    </row>
    <row r="1516" spans="2:19" ht="13.5" thickBot="1" x14ac:dyDescent="0.25">
      <c r="B1516" s="488"/>
      <c r="C1516" s="490"/>
      <c r="D1516" s="490"/>
      <c r="E1516" s="490"/>
      <c r="F1516" s="490"/>
      <c r="G1516" s="493"/>
      <c r="H1516" s="495"/>
      <c r="I1516" s="496"/>
      <c r="J1516" s="502"/>
      <c r="K1516" s="478"/>
      <c r="L1516" s="259"/>
      <c r="M1516" s="500"/>
      <c r="N1516" s="472"/>
      <c r="O1516" s="478"/>
      <c r="P1516" s="259"/>
      <c r="Q1516" s="486"/>
      <c r="R1516" s="472"/>
      <c r="S1516" s="475"/>
    </row>
    <row r="1517" spans="2:19" ht="13.5" thickBot="1" x14ac:dyDescent="0.25">
      <c r="B1517" s="488"/>
      <c r="C1517" s="491"/>
      <c r="D1517" s="491"/>
      <c r="E1517" s="491"/>
      <c r="F1517" s="491"/>
      <c r="G1517" s="494"/>
      <c r="H1517" s="495"/>
      <c r="I1517" s="497"/>
      <c r="J1517" s="503"/>
      <c r="K1517" s="479"/>
      <c r="L1517" s="259"/>
      <c r="M1517" s="501"/>
      <c r="N1517" s="473"/>
      <c r="O1517" s="479"/>
      <c r="P1517" s="259"/>
      <c r="Q1517" s="487"/>
      <c r="R1517" s="473"/>
      <c r="S1517" s="476"/>
    </row>
    <row r="1518" spans="2:19" ht="16.5" thickTop="1" x14ac:dyDescent="0.2">
      <c r="B1518" s="205">
        <f t="shared" ref="B1518:B1578" si="234">B1517+1</f>
        <v>1</v>
      </c>
      <c r="C1518" s="505" t="s">
        <v>1</v>
      </c>
      <c r="D1518" s="506"/>
      <c r="E1518" s="506"/>
      <c r="F1518" s="506"/>
      <c r="G1518" s="506"/>
      <c r="H1518" s="507"/>
      <c r="I1518" s="39">
        <f>I1605+I1544+I1523+I1519</f>
        <v>2271381</v>
      </c>
      <c r="J1518" s="39">
        <f>J1605+J1544+J1523+J1519</f>
        <v>1500</v>
      </c>
      <c r="K1518" s="253">
        <f>I1518+J1518</f>
        <v>2272881</v>
      </c>
      <c r="L1518" s="259"/>
      <c r="M1518" s="336">
        <f>M1519+M1523+M1544+M1605</f>
        <v>1882239</v>
      </c>
      <c r="N1518" s="39">
        <f>N1519+N1523+N1544+N1605</f>
        <v>1077974</v>
      </c>
      <c r="O1518" s="253">
        <f>M1518+N1518</f>
        <v>2960213</v>
      </c>
      <c r="P1518" s="259"/>
      <c r="Q1518" s="331">
        <f t="shared" ref="Q1518:Q1578" si="235">I1518+M1518</f>
        <v>4153620</v>
      </c>
      <c r="R1518" s="98">
        <f t="shared" ref="R1518:R1578" si="236">J1518+N1518</f>
        <v>1079474</v>
      </c>
      <c r="S1518" s="98">
        <f t="shared" ref="S1518:S1578" si="237">K1518+O1518</f>
        <v>5233094</v>
      </c>
    </row>
    <row r="1519" spans="2:19" ht="15" x14ac:dyDescent="0.2">
      <c r="B1519" s="205">
        <f t="shared" si="234"/>
        <v>2</v>
      </c>
      <c r="C1519" s="242">
        <v>1</v>
      </c>
      <c r="D1519" s="511" t="s">
        <v>242</v>
      </c>
      <c r="E1519" s="509"/>
      <c r="F1519" s="509"/>
      <c r="G1519" s="509"/>
      <c r="H1519" s="510"/>
      <c r="I1519" s="40">
        <f>I1520</f>
        <v>3800</v>
      </c>
      <c r="J1519" s="40">
        <f t="shared" ref="J1519" si="238">J1520</f>
        <v>0</v>
      </c>
      <c r="K1519" s="248">
        <f t="shared" ref="K1519:K1579" si="239">I1519+J1519</f>
        <v>3800</v>
      </c>
      <c r="L1519" s="259"/>
      <c r="M1519" s="318">
        <v>0</v>
      </c>
      <c r="N1519" s="40"/>
      <c r="O1519" s="248">
        <f t="shared" ref="O1519:O1579" si="240">M1519+N1519</f>
        <v>0</v>
      </c>
      <c r="P1519" s="259"/>
      <c r="Q1519" s="313">
        <f t="shared" si="235"/>
        <v>3800</v>
      </c>
      <c r="R1519" s="89">
        <f t="shared" si="236"/>
        <v>0</v>
      </c>
      <c r="S1519" s="89">
        <f t="shared" si="237"/>
        <v>3800</v>
      </c>
    </row>
    <row r="1520" spans="2:19" x14ac:dyDescent="0.2">
      <c r="B1520" s="205">
        <f t="shared" si="234"/>
        <v>3</v>
      </c>
      <c r="C1520" s="10"/>
      <c r="D1520" s="10"/>
      <c r="E1520" s="10"/>
      <c r="F1520" s="29" t="s">
        <v>193</v>
      </c>
      <c r="G1520" s="10">
        <v>630</v>
      </c>
      <c r="H1520" s="10" t="s">
        <v>133</v>
      </c>
      <c r="I1520" s="27">
        <f>I1522+I1521</f>
        <v>3800</v>
      </c>
      <c r="J1520" s="27">
        <f t="shared" ref="J1520" si="241">J1522+J1521</f>
        <v>0</v>
      </c>
      <c r="K1520" s="250">
        <f t="shared" si="239"/>
        <v>3800</v>
      </c>
      <c r="L1520" s="259"/>
      <c r="M1520" s="315"/>
      <c r="N1520" s="27"/>
      <c r="O1520" s="250">
        <f t="shared" si="240"/>
        <v>0</v>
      </c>
      <c r="P1520" s="259"/>
      <c r="Q1520" s="309">
        <f t="shared" si="235"/>
        <v>3800</v>
      </c>
      <c r="R1520" s="91">
        <f t="shared" si="236"/>
        <v>0</v>
      </c>
      <c r="S1520" s="91">
        <f t="shared" si="237"/>
        <v>3800</v>
      </c>
    </row>
    <row r="1521" spans="2:19" x14ac:dyDescent="0.2">
      <c r="B1521" s="205">
        <f t="shared" si="234"/>
        <v>4</v>
      </c>
      <c r="C1521" s="4"/>
      <c r="D1521" s="4"/>
      <c r="E1521" s="4"/>
      <c r="F1521" s="30" t="s">
        <v>193</v>
      </c>
      <c r="G1521" s="4">
        <v>633</v>
      </c>
      <c r="H1521" s="4" t="s">
        <v>137</v>
      </c>
      <c r="I1521" s="23">
        <v>2300</v>
      </c>
      <c r="J1521" s="23"/>
      <c r="K1521" s="220">
        <f t="shared" si="239"/>
        <v>2300</v>
      </c>
      <c r="L1521" s="259"/>
      <c r="M1521" s="227"/>
      <c r="N1521" s="23"/>
      <c r="O1521" s="220">
        <f t="shared" si="240"/>
        <v>0</v>
      </c>
      <c r="P1521" s="259"/>
      <c r="Q1521" s="308">
        <f t="shared" si="235"/>
        <v>2300</v>
      </c>
      <c r="R1521" s="92">
        <f t="shared" si="236"/>
        <v>0</v>
      </c>
      <c r="S1521" s="92">
        <f t="shared" si="237"/>
        <v>2300</v>
      </c>
    </row>
    <row r="1522" spans="2:19" x14ac:dyDescent="0.2">
      <c r="B1522" s="205">
        <f t="shared" si="234"/>
        <v>5</v>
      </c>
      <c r="C1522" s="4"/>
      <c r="D1522" s="4"/>
      <c r="E1522" s="4"/>
      <c r="F1522" s="30" t="s">
        <v>193</v>
      </c>
      <c r="G1522" s="4">
        <v>637</v>
      </c>
      <c r="H1522" s="4" t="s">
        <v>134</v>
      </c>
      <c r="I1522" s="23">
        <v>1500</v>
      </c>
      <c r="J1522" s="23"/>
      <c r="K1522" s="220">
        <f t="shared" si="239"/>
        <v>1500</v>
      </c>
      <c r="L1522" s="259"/>
      <c r="M1522" s="227"/>
      <c r="N1522" s="23"/>
      <c r="O1522" s="220">
        <f t="shared" si="240"/>
        <v>0</v>
      </c>
      <c r="P1522" s="259"/>
      <c r="Q1522" s="308">
        <f t="shared" si="235"/>
        <v>1500</v>
      </c>
      <c r="R1522" s="92">
        <f t="shared" si="236"/>
        <v>0</v>
      </c>
      <c r="S1522" s="92">
        <f t="shared" si="237"/>
        <v>1500</v>
      </c>
    </row>
    <row r="1523" spans="2:19" ht="15" x14ac:dyDescent="0.2">
      <c r="B1523" s="205">
        <f t="shared" si="234"/>
        <v>6</v>
      </c>
      <c r="C1523" s="242">
        <v>2</v>
      </c>
      <c r="D1523" s="511" t="s">
        <v>20</v>
      </c>
      <c r="E1523" s="509"/>
      <c r="F1523" s="509"/>
      <c r="G1523" s="509"/>
      <c r="H1523" s="510"/>
      <c r="I1523" s="40">
        <f>I1524</f>
        <v>697951</v>
      </c>
      <c r="J1523" s="40">
        <f t="shared" ref="J1523" si="242">J1524</f>
        <v>0</v>
      </c>
      <c r="K1523" s="248">
        <f t="shared" si="239"/>
        <v>697951</v>
      </c>
      <c r="L1523" s="259"/>
      <c r="M1523" s="318">
        <f>M1542</f>
        <v>40150</v>
      </c>
      <c r="N1523" s="40">
        <f t="shared" ref="N1523" si="243">N1542</f>
        <v>0</v>
      </c>
      <c r="O1523" s="248">
        <f t="shared" si="240"/>
        <v>40150</v>
      </c>
      <c r="P1523" s="259"/>
      <c r="Q1523" s="313">
        <f t="shared" si="235"/>
        <v>738101</v>
      </c>
      <c r="R1523" s="89">
        <f t="shared" si="236"/>
        <v>0</v>
      </c>
      <c r="S1523" s="89">
        <f t="shared" si="237"/>
        <v>738101</v>
      </c>
    </row>
    <row r="1524" spans="2:19" x14ac:dyDescent="0.2">
      <c r="B1524" s="205">
        <f t="shared" si="234"/>
        <v>7</v>
      </c>
      <c r="C1524" s="10"/>
      <c r="D1524" s="10"/>
      <c r="E1524" s="10"/>
      <c r="F1524" s="29" t="s">
        <v>193</v>
      </c>
      <c r="G1524" s="10">
        <v>640</v>
      </c>
      <c r="H1524" s="10" t="s">
        <v>141</v>
      </c>
      <c r="I1524" s="27">
        <f>SUM(I1525:I1541)</f>
        <v>697951</v>
      </c>
      <c r="J1524" s="27">
        <f>SUM(J1525:J1541)</f>
        <v>0</v>
      </c>
      <c r="K1524" s="250">
        <f t="shared" si="239"/>
        <v>697951</v>
      </c>
      <c r="L1524" s="259"/>
      <c r="M1524" s="315"/>
      <c r="N1524" s="27"/>
      <c r="O1524" s="250">
        <f t="shared" si="240"/>
        <v>0</v>
      </c>
      <c r="P1524" s="259"/>
      <c r="Q1524" s="309">
        <f t="shared" si="235"/>
        <v>697951</v>
      </c>
      <c r="R1524" s="91">
        <f t="shared" si="236"/>
        <v>0</v>
      </c>
      <c r="S1524" s="91">
        <f t="shared" si="237"/>
        <v>697951</v>
      </c>
    </row>
    <row r="1525" spans="2:19" x14ac:dyDescent="0.2">
      <c r="B1525" s="205">
        <f t="shared" si="234"/>
        <v>8</v>
      </c>
      <c r="C1525" s="5"/>
      <c r="D1525" s="5"/>
      <c r="E1525" s="5"/>
      <c r="F1525" s="31"/>
      <c r="G1525" s="5"/>
      <c r="H1525" s="154" t="s">
        <v>194</v>
      </c>
      <c r="I1525" s="181">
        <v>50000</v>
      </c>
      <c r="J1525" s="181"/>
      <c r="K1525" s="342">
        <f t="shared" si="239"/>
        <v>50000</v>
      </c>
      <c r="L1525" s="335"/>
      <c r="M1525" s="338"/>
      <c r="N1525" s="156"/>
      <c r="O1525" s="256">
        <f t="shared" si="240"/>
        <v>0</v>
      </c>
      <c r="P1525" s="335"/>
      <c r="Q1525" s="341">
        <f t="shared" si="235"/>
        <v>50000</v>
      </c>
      <c r="R1525" s="157">
        <f t="shared" si="236"/>
        <v>0</v>
      </c>
      <c r="S1525" s="157">
        <f t="shared" si="237"/>
        <v>50000</v>
      </c>
    </row>
    <row r="1526" spans="2:19" x14ac:dyDescent="0.2">
      <c r="B1526" s="205">
        <f t="shared" si="234"/>
        <v>9</v>
      </c>
      <c r="C1526" s="5"/>
      <c r="D1526" s="5"/>
      <c r="E1526" s="5"/>
      <c r="F1526" s="31"/>
      <c r="G1526" s="5"/>
      <c r="H1526" s="154" t="s">
        <v>22</v>
      </c>
      <c r="I1526" s="181">
        <v>10000</v>
      </c>
      <c r="J1526" s="181"/>
      <c r="K1526" s="342">
        <f t="shared" si="239"/>
        <v>10000</v>
      </c>
      <c r="L1526" s="335"/>
      <c r="M1526" s="338"/>
      <c r="N1526" s="156"/>
      <c r="O1526" s="256">
        <f t="shared" si="240"/>
        <v>0</v>
      </c>
      <c r="P1526" s="335"/>
      <c r="Q1526" s="341">
        <f t="shared" si="235"/>
        <v>10000</v>
      </c>
      <c r="R1526" s="157">
        <f t="shared" si="236"/>
        <v>0</v>
      </c>
      <c r="S1526" s="157">
        <f t="shared" si="237"/>
        <v>10000</v>
      </c>
    </row>
    <row r="1527" spans="2:19" x14ac:dyDescent="0.2">
      <c r="B1527" s="205">
        <f t="shared" si="234"/>
        <v>10</v>
      </c>
      <c r="C1527" s="5"/>
      <c r="D1527" s="5"/>
      <c r="E1527" s="5"/>
      <c r="F1527" s="31"/>
      <c r="G1527" s="5"/>
      <c r="H1527" s="154" t="s">
        <v>21</v>
      </c>
      <c r="I1527" s="181">
        <v>20000</v>
      </c>
      <c r="J1527" s="181"/>
      <c r="K1527" s="342">
        <f t="shared" si="239"/>
        <v>20000</v>
      </c>
      <c r="L1527" s="335"/>
      <c r="M1527" s="338"/>
      <c r="N1527" s="156"/>
      <c r="O1527" s="256">
        <f t="shared" si="240"/>
        <v>0</v>
      </c>
      <c r="P1527" s="335"/>
      <c r="Q1527" s="341">
        <f t="shared" si="235"/>
        <v>20000</v>
      </c>
      <c r="R1527" s="157">
        <f t="shared" si="236"/>
        <v>0</v>
      </c>
      <c r="S1527" s="157">
        <f t="shared" si="237"/>
        <v>20000</v>
      </c>
    </row>
    <row r="1528" spans="2:19" x14ac:dyDescent="0.2">
      <c r="B1528" s="205">
        <f t="shared" si="234"/>
        <v>11</v>
      </c>
      <c r="C1528" s="5"/>
      <c r="D1528" s="5"/>
      <c r="E1528" s="5"/>
      <c r="F1528" s="31"/>
      <c r="G1528" s="5"/>
      <c r="H1528" s="154" t="s">
        <v>0</v>
      </c>
      <c r="I1528" s="181">
        <v>100000</v>
      </c>
      <c r="J1528" s="181"/>
      <c r="K1528" s="342">
        <f t="shared" si="239"/>
        <v>100000</v>
      </c>
      <c r="L1528" s="335"/>
      <c r="M1528" s="338"/>
      <c r="N1528" s="156"/>
      <c r="O1528" s="256">
        <f t="shared" si="240"/>
        <v>0</v>
      </c>
      <c r="P1528" s="335"/>
      <c r="Q1528" s="341">
        <f t="shared" si="235"/>
        <v>100000</v>
      </c>
      <c r="R1528" s="157">
        <f t="shared" si="236"/>
        <v>0</v>
      </c>
      <c r="S1528" s="157">
        <f t="shared" si="237"/>
        <v>100000</v>
      </c>
    </row>
    <row r="1529" spans="2:19" ht="22.5" x14ac:dyDescent="0.2">
      <c r="B1529" s="205">
        <f t="shared" si="234"/>
        <v>12</v>
      </c>
      <c r="C1529" s="154"/>
      <c r="D1529" s="154"/>
      <c r="E1529" s="154"/>
      <c r="F1529" s="155"/>
      <c r="G1529" s="154"/>
      <c r="H1529" s="180" t="s">
        <v>332</v>
      </c>
      <c r="I1529" s="181">
        <v>204342</v>
      </c>
      <c r="J1529" s="181"/>
      <c r="K1529" s="342">
        <f t="shared" si="239"/>
        <v>204342</v>
      </c>
      <c r="L1529" s="335"/>
      <c r="M1529" s="338"/>
      <c r="N1529" s="156"/>
      <c r="O1529" s="256">
        <f t="shared" si="240"/>
        <v>0</v>
      </c>
      <c r="P1529" s="335"/>
      <c r="Q1529" s="341">
        <f t="shared" si="235"/>
        <v>204342</v>
      </c>
      <c r="R1529" s="157">
        <f t="shared" si="236"/>
        <v>0</v>
      </c>
      <c r="S1529" s="157">
        <f t="shared" si="237"/>
        <v>204342</v>
      </c>
    </row>
    <row r="1530" spans="2:19" ht="22.5" x14ac:dyDescent="0.2">
      <c r="B1530" s="205">
        <f t="shared" si="234"/>
        <v>13</v>
      </c>
      <c r="C1530" s="154"/>
      <c r="D1530" s="154"/>
      <c r="E1530" s="154"/>
      <c r="F1530" s="155"/>
      <c r="G1530" s="154"/>
      <c r="H1530" s="180" t="s">
        <v>331</v>
      </c>
      <c r="I1530" s="181">
        <f>122923+20000</f>
        <v>142923</v>
      </c>
      <c r="J1530" s="181"/>
      <c r="K1530" s="342">
        <f t="shared" si="239"/>
        <v>142923</v>
      </c>
      <c r="L1530" s="335"/>
      <c r="M1530" s="338"/>
      <c r="N1530" s="156"/>
      <c r="O1530" s="256">
        <f t="shared" si="240"/>
        <v>0</v>
      </c>
      <c r="P1530" s="335"/>
      <c r="Q1530" s="341">
        <f t="shared" si="235"/>
        <v>142923</v>
      </c>
      <c r="R1530" s="157">
        <f t="shared" si="236"/>
        <v>0</v>
      </c>
      <c r="S1530" s="157">
        <f t="shared" si="237"/>
        <v>142923</v>
      </c>
    </row>
    <row r="1531" spans="2:19" ht="22.5" x14ac:dyDescent="0.2">
      <c r="B1531" s="205">
        <f t="shared" si="234"/>
        <v>14</v>
      </c>
      <c r="C1531" s="154"/>
      <c r="D1531" s="154"/>
      <c r="E1531" s="154"/>
      <c r="F1531" s="155"/>
      <c r="G1531" s="154"/>
      <c r="H1531" s="180" t="s">
        <v>573</v>
      </c>
      <c r="I1531" s="181">
        <v>50000</v>
      </c>
      <c r="J1531" s="181"/>
      <c r="K1531" s="342">
        <f t="shared" si="239"/>
        <v>50000</v>
      </c>
      <c r="L1531" s="335"/>
      <c r="M1531" s="338"/>
      <c r="N1531" s="156"/>
      <c r="O1531" s="256">
        <f t="shared" si="240"/>
        <v>0</v>
      </c>
      <c r="P1531" s="335"/>
      <c r="Q1531" s="341">
        <f t="shared" si="235"/>
        <v>50000</v>
      </c>
      <c r="R1531" s="157">
        <f t="shared" si="236"/>
        <v>0</v>
      </c>
      <c r="S1531" s="157">
        <f t="shared" si="237"/>
        <v>50000</v>
      </c>
    </row>
    <row r="1532" spans="2:19" ht="22.5" x14ac:dyDescent="0.2">
      <c r="B1532" s="205">
        <f t="shared" si="234"/>
        <v>15</v>
      </c>
      <c r="C1532" s="154"/>
      <c r="D1532" s="154"/>
      <c r="E1532" s="154"/>
      <c r="F1532" s="155"/>
      <c r="G1532" s="154"/>
      <c r="H1532" s="180" t="s">
        <v>333</v>
      </c>
      <c r="I1532" s="181">
        <v>28100</v>
      </c>
      <c r="J1532" s="181"/>
      <c r="K1532" s="342">
        <f t="shared" si="239"/>
        <v>28100</v>
      </c>
      <c r="L1532" s="335"/>
      <c r="M1532" s="338"/>
      <c r="N1532" s="156"/>
      <c r="O1532" s="256">
        <f t="shared" si="240"/>
        <v>0</v>
      </c>
      <c r="P1532" s="335"/>
      <c r="Q1532" s="341">
        <f t="shared" si="235"/>
        <v>28100</v>
      </c>
      <c r="R1532" s="157">
        <f t="shared" si="236"/>
        <v>0</v>
      </c>
      <c r="S1532" s="157">
        <f t="shared" si="237"/>
        <v>28100</v>
      </c>
    </row>
    <row r="1533" spans="2:19" ht="22.5" x14ac:dyDescent="0.2">
      <c r="B1533" s="206">
        <f t="shared" si="234"/>
        <v>16</v>
      </c>
      <c r="C1533" s="154"/>
      <c r="D1533" s="154"/>
      <c r="E1533" s="154"/>
      <c r="F1533" s="155"/>
      <c r="G1533" s="154"/>
      <c r="H1533" s="180" t="s">
        <v>334</v>
      </c>
      <c r="I1533" s="181">
        <v>51086</v>
      </c>
      <c r="J1533" s="181"/>
      <c r="K1533" s="342">
        <f t="shared" si="239"/>
        <v>51086</v>
      </c>
      <c r="L1533" s="335"/>
      <c r="M1533" s="338"/>
      <c r="N1533" s="156"/>
      <c r="O1533" s="256">
        <f t="shared" si="240"/>
        <v>0</v>
      </c>
      <c r="P1533" s="335"/>
      <c r="Q1533" s="341">
        <f t="shared" si="235"/>
        <v>51086</v>
      </c>
      <c r="R1533" s="157">
        <f t="shared" si="236"/>
        <v>0</v>
      </c>
      <c r="S1533" s="157">
        <f t="shared" si="237"/>
        <v>51086</v>
      </c>
    </row>
    <row r="1534" spans="2:19" x14ac:dyDescent="0.2">
      <c r="B1534" s="206">
        <f t="shared" si="234"/>
        <v>17</v>
      </c>
      <c r="C1534" s="5"/>
      <c r="D1534" s="5"/>
      <c r="E1534" s="5"/>
      <c r="F1534" s="31"/>
      <c r="G1534" s="5"/>
      <c r="H1534" s="180" t="s">
        <v>335</v>
      </c>
      <c r="I1534" s="181">
        <v>5000</v>
      </c>
      <c r="J1534" s="181"/>
      <c r="K1534" s="342">
        <f t="shared" si="239"/>
        <v>5000</v>
      </c>
      <c r="L1534" s="335"/>
      <c r="M1534" s="338"/>
      <c r="N1534" s="156"/>
      <c r="O1534" s="256">
        <f t="shared" si="240"/>
        <v>0</v>
      </c>
      <c r="P1534" s="335"/>
      <c r="Q1534" s="341">
        <f t="shared" si="235"/>
        <v>5000</v>
      </c>
      <c r="R1534" s="157">
        <f t="shared" si="236"/>
        <v>0</v>
      </c>
      <c r="S1534" s="157">
        <f t="shared" si="237"/>
        <v>5000</v>
      </c>
    </row>
    <row r="1535" spans="2:19" x14ac:dyDescent="0.2">
      <c r="B1535" s="206">
        <f t="shared" si="234"/>
        <v>18</v>
      </c>
      <c r="C1535" s="5"/>
      <c r="D1535" s="5"/>
      <c r="E1535" s="5"/>
      <c r="F1535" s="31"/>
      <c r="G1535" s="5"/>
      <c r="H1535" s="180" t="s">
        <v>336</v>
      </c>
      <c r="I1535" s="181">
        <v>5000</v>
      </c>
      <c r="J1535" s="181"/>
      <c r="K1535" s="342">
        <f t="shared" si="239"/>
        <v>5000</v>
      </c>
      <c r="L1535" s="335"/>
      <c r="M1535" s="338"/>
      <c r="N1535" s="156"/>
      <c r="O1535" s="256">
        <f t="shared" si="240"/>
        <v>0</v>
      </c>
      <c r="P1535" s="335"/>
      <c r="Q1535" s="341">
        <f t="shared" si="235"/>
        <v>5000</v>
      </c>
      <c r="R1535" s="157">
        <f t="shared" si="236"/>
        <v>0</v>
      </c>
      <c r="S1535" s="157">
        <f t="shared" si="237"/>
        <v>5000</v>
      </c>
    </row>
    <row r="1536" spans="2:19" x14ac:dyDescent="0.2">
      <c r="B1536" s="206">
        <f t="shared" si="234"/>
        <v>19</v>
      </c>
      <c r="C1536" s="5"/>
      <c r="D1536" s="5"/>
      <c r="E1536" s="5"/>
      <c r="F1536" s="31"/>
      <c r="G1536" s="5"/>
      <c r="H1536" s="180" t="s">
        <v>337</v>
      </c>
      <c r="I1536" s="181">
        <v>3000</v>
      </c>
      <c r="J1536" s="181"/>
      <c r="K1536" s="342">
        <f t="shared" si="239"/>
        <v>3000</v>
      </c>
      <c r="L1536" s="335"/>
      <c r="M1536" s="338"/>
      <c r="N1536" s="156"/>
      <c r="O1536" s="256">
        <f t="shared" si="240"/>
        <v>0</v>
      </c>
      <c r="P1536" s="335"/>
      <c r="Q1536" s="341">
        <f t="shared" si="235"/>
        <v>3000</v>
      </c>
      <c r="R1536" s="157">
        <f t="shared" si="236"/>
        <v>0</v>
      </c>
      <c r="S1536" s="157">
        <f t="shared" si="237"/>
        <v>3000</v>
      </c>
    </row>
    <row r="1537" spans="2:19" ht="22.5" x14ac:dyDescent="0.2">
      <c r="B1537" s="206">
        <f t="shared" si="234"/>
        <v>20</v>
      </c>
      <c r="C1537" s="5"/>
      <c r="D1537" s="5"/>
      <c r="E1537" s="5"/>
      <c r="F1537" s="31"/>
      <c r="G1537" s="5"/>
      <c r="H1537" s="180" t="s">
        <v>608</v>
      </c>
      <c r="I1537" s="181">
        <v>2500</v>
      </c>
      <c r="J1537" s="181"/>
      <c r="K1537" s="342">
        <f t="shared" si="239"/>
        <v>2500</v>
      </c>
      <c r="L1537" s="335"/>
      <c r="M1537" s="338"/>
      <c r="N1537" s="156"/>
      <c r="O1537" s="256">
        <f t="shared" si="240"/>
        <v>0</v>
      </c>
      <c r="P1537" s="335"/>
      <c r="Q1537" s="341">
        <f t="shared" si="235"/>
        <v>2500</v>
      </c>
      <c r="R1537" s="157">
        <f t="shared" si="236"/>
        <v>0</v>
      </c>
      <c r="S1537" s="157">
        <f t="shared" si="237"/>
        <v>2500</v>
      </c>
    </row>
    <row r="1538" spans="2:19" ht="22.5" x14ac:dyDescent="0.2">
      <c r="B1538" s="206">
        <f t="shared" si="234"/>
        <v>21</v>
      </c>
      <c r="C1538" s="5"/>
      <c r="D1538" s="5"/>
      <c r="E1538" s="5"/>
      <c r="F1538" s="31"/>
      <c r="G1538" s="5"/>
      <c r="H1538" s="180" t="s">
        <v>613</v>
      </c>
      <c r="I1538" s="181">
        <v>1000</v>
      </c>
      <c r="J1538" s="181"/>
      <c r="K1538" s="342">
        <f t="shared" si="239"/>
        <v>1000</v>
      </c>
      <c r="L1538" s="335"/>
      <c r="M1538" s="338"/>
      <c r="N1538" s="156"/>
      <c r="O1538" s="256">
        <f t="shared" si="240"/>
        <v>0</v>
      </c>
      <c r="P1538" s="335"/>
      <c r="Q1538" s="341">
        <f t="shared" si="235"/>
        <v>1000</v>
      </c>
      <c r="R1538" s="157">
        <f t="shared" si="236"/>
        <v>0</v>
      </c>
      <c r="S1538" s="157">
        <f t="shared" si="237"/>
        <v>1000</v>
      </c>
    </row>
    <row r="1539" spans="2:19" ht="22.5" x14ac:dyDescent="0.2">
      <c r="B1539" s="206">
        <f t="shared" si="234"/>
        <v>22</v>
      </c>
      <c r="C1539" s="5"/>
      <c r="D1539" s="5"/>
      <c r="E1539" s="5"/>
      <c r="F1539" s="31"/>
      <c r="G1539" s="5"/>
      <c r="H1539" s="180" t="s">
        <v>625</v>
      </c>
      <c r="I1539" s="181">
        <v>1000</v>
      </c>
      <c r="J1539" s="181"/>
      <c r="K1539" s="342">
        <f t="shared" si="239"/>
        <v>1000</v>
      </c>
      <c r="L1539" s="335"/>
      <c r="M1539" s="338"/>
      <c r="N1539" s="156"/>
      <c r="O1539" s="256">
        <f t="shared" si="240"/>
        <v>0</v>
      </c>
      <c r="P1539" s="335"/>
      <c r="Q1539" s="341">
        <f t="shared" si="235"/>
        <v>1000</v>
      </c>
      <c r="R1539" s="157">
        <f t="shared" si="236"/>
        <v>0</v>
      </c>
      <c r="S1539" s="157">
        <f t="shared" si="237"/>
        <v>1000</v>
      </c>
    </row>
    <row r="1540" spans="2:19" x14ac:dyDescent="0.2">
      <c r="B1540" s="206">
        <f t="shared" si="234"/>
        <v>23</v>
      </c>
      <c r="C1540" s="5"/>
      <c r="D1540" s="5"/>
      <c r="E1540" s="5"/>
      <c r="F1540" s="31"/>
      <c r="G1540" s="5"/>
      <c r="H1540" s="180" t="s">
        <v>626</v>
      </c>
      <c r="I1540" s="181">
        <v>20000</v>
      </c>
      <c r="J1540" s="181"/>
      <c r="K1540" s="342">
        <f t="shared" si="239"/>
        <v>20000</v>
      </c>
      <c r="L1540" s="335"/>
      <c r="M1540" s="338"/>
      <c r="N1540" s="156"/>
      <c r="O1540" s="256">
        <f t="shared" si="240"/>
        <v>0</v>
      </c>
      <c r="P1540" s="335"/>
      <c r="Q1540" s="341">
        <f t="shared" si="235"/>
        <v>20000</v>
      </c>
      <c r="R1540" s="157">
        <f t="shared" si="236"/>
        <v>0</v>
      </c>
      <c r="S1540" s="157">
        <f t="shared" si="237"/>
        <v>20000</v>
      </c>
    </row>
    <row r="1541" spans="2:19" ht="22.5" x14ac:dyDescent="0.2">
      <c r="B1541" s="206">
        <f t="shared" si="234"/>
        <v>24</v>
      </c>
      <c r="C1541" s="5"/>
      <c r="D1541" s="5"/>
      <c r="E1541" s="5"/>
      <c r="F1541" s="31"/>
      <c r="G1541" s="5"/>
      <c r="H1541" s="180" t="s">
        <v>627</v>
      </c>
      <c r="I1541" s="181">
        <v>4000</v>
      </c>
      <c r="J1541" s="181"/>
      <c r="K1541" s="342">
        <f t="shared" si="239"/>
        <v>4000</v>
      </c>
      <c r="L1541" s="335"/>
      <c r="M1541" s="338"/>
      <c r="N1541" s="156"/>
      <c r="O1541" s="256">
        <f t="shared" si="240"/>
        <v>0</v>
      </c>
      <c r="P1541" s="335"/>
      <c r="Q1541" s="341">
        <f t="shared" si="235"/>
        <v>4000</v>
      </c>
      <c r="R1541" s="157">
        <f t="shared" si="236"/>
        <v>0</v>
      </c>
      <c r="S1541" s="157">
        <f t="shared" si="237"/>
        <v>4000</v>
      </c>
    </row>
    <row r="1542" spans="2:19" x14ac:dyDescent="0.2">
      <c r="B1542" s="206">
        <f t="shared" si="234"/>
        <v>25</v>
      </c>
      <c r="C1542" s="5"/>
      <c r="D1542" s="5"/>
      <c r="E1542" s="5"/>
      <c r="F1542" s="29" t="s">
        <v>193</v>
      </c>
      <c r="G1542" s="10">
        <v>720</v>
      </c>
      <c r="H1542" s="304" t="s">
        <v>572</v>
      </c>
      <c r="I1542" s="305"/>
      <c r="J1542" s="305"/>
      <c r="K1542" s="343">
        <f t="shared" si="239"/>
        <v>0</v>
      </c>
      <c r="L1542" s="335"/>
      <c r="M1542" s="347">
        <f>M1543</f>
        <v>40150</v>
      </c>
      <c r="N1542" s="305">
        <f t="shared" ref="N1542" si="244">N1543</f>
        <v>0</v>
      </c>
      <c r="O1542" s="343">
        <f t="shared" si="240"/>
        <v>40150</v>
      </c>
      <c r="P1542" s="335"/>
      <c r="Q1542" s="355">
        <f t="shared" si="235"/>
        <v>40150</v>
      </c>
      <c r="R1542" s="306">
        <f t="shared" si="236"/>
        <v>0</v>
      </c>
      <c r="S1542" s="306">
        <f t="shared" si="237"/>
        <v>40150</v>
      </c>
    </row>
    <row r="1543" spans="2:19" ht="24" x14ac:dyDescent="0.2">
      <c r="B1543" s="206">
        <f t="shared" si="234"/>
        <v>26</v>
      </c>
      <c r="C1543" s="155"/>
      <c r="D1543" s="155"/>
      <c r="E1543" s="155"/>
      <c r="F1543" s="208"/>
      <c r="G1543" s="209">
        <v>720</v>
      </c>
      <c r="H1543" s="211" t="s">
        <v>571</v>
      </c>
      <c r="I1543" s="210"/>
      <c r="J1543" s="210"/>
      <c r="K1543" s="344">
        <f t="shared" si="239"/>
        <v>0</v>
      </c>
      <c r="L1543" s="335"/>
      <c r="M1543" s="348">
        <v>40150</v>
      </c>
      <c r="N1543" s="212"/>
      <c r="O1543" s="353">
        <f t="shared" si="240"/>
        <v>40150</v>
      </c>
      <c r="P1543" s="335"/>
      <c r="Q1543" s="356">
        <f t="shared" si="235"/>
        <v>40150</v>
      </c>
      <c r="R1543" s="213">
        <f t="shared" si="236"/>
        <v>0</v>
      </c>
      <c r="S1543" s="213">
        <f t="shared" si="237"/>
        <v>40150</v>
      </c>
    </row>
    <row r="1544" spans="2:19" ht="15" x14ac:dyDescent="0.2">
      <c r="B1544" s="205">
        <f t="shared" si="234"/>
        <v>27</v>
      </c>
      <c r="C1544" s="242">
        <v>3</v>
      </c>
      <c r="D1544" s="511" t="s">
        <v>214</v>
      </c>
      <c r="E1544" s="509"/>
      <c r="F1544" s="509"/>
      <c r="G1544" s="509"/>
      <c r="H1544" s="510"/>
      <c r="I1544" s="40">
        <f>I1595+I1575+I1557+I1549+I1545</f>
        <v>1502340</v>
      </c>
      <c r="J1544" s="40">
        <f>J1595+J1575+J1557+J1549+J1545</f>
        <v>1500</v>
      </c>
      <c r="K1544" s="248">
        <f t="shared" si="239"/>
        <v>1503840</v>
      </c>
      <c r="L1544" s="259"/>
      <c r="M1544" s="318">
        <f>M1545+M1549+M1557+M1575+M1595</f>
        <v>1360195</v>
      </c>
      <c r="N1544" s="40">
        <f>N1545+N1549+N1557+N1575+N1595</f>
        <v>0</v>
      </c>
      <c r="O1544" s="248">
        <f t="shared" si="240"/>
        <v>1360195</v>
      </c>
      <c r="P1544" s="259"/>
      <c r="Q1544" s="313">
        <f t="shared" si="235"/>
        <v>2862535</v>
      </c>
      <c r="R1544" s="89">
        <f t="shared" si="236"/>
        <v>1500</v>
      </c>
      <c r="S1544" s="89">
        <f t="shared" si="237"/>
        <v>2864035</v>
      </c>
    </row>
    <row r="1545" spans="2:19" ht="15" x14ac:dyDescent="0.25">
      <c r="B1545" s="205">
        <f t="shared" si="234"/>
        <v>28</v>
      </c>
      <c r="C1545" s="243"/>
      <c r="D1545" s="243">
        <v>1</v>
      </c>
      <c r="E1545" s="508" t="s">
        <v>213</v>
      </c>
      <c r="F1545" s="509"/>
      <c r="G1545" s="509"/>
      <c r="H1545" s="510"/>
      <c r="I1545" s="41">
        <f>I1546</f>
        <v>160950</v>
      </c>
      <c r="J1545" s="41">
        <f t="shared" ref="J1545" si="245">J1546</f>
        <v>0</v>
      </c>
      <c r="K1545" s="249">
        <f t="shared" si="239"/>
        <v>160950</v>
      </c>
      <c r="L1545" s="259"/>
      <c r="M1545" s="316">
        <v>0</v>
      </c>
      <c r="N1545" s="41"/>
      <c r="O1545" s="249">
        <f t="shared" si="240"/>
        <v>0</v>
      </c>
      <c r="P1545" s="259"/>
      <c r="Q1545" s="310">
        <f t="shared" si="235"/>
        <v>160950</v>
      </c>
      <c r="R1545" s="90">
        <f t="shared" si="236"/>
        <v>0</v>
      </c>
      <c r="S1545" s="90">
        <f t="shared" si="237"/>
        <v>160950</v>
      </c>
    </row>
    <row r="1546" spans="2:19" x14ac:dyDescent="0.2">
      <c r="B1546" s="205">
        <f t="shared" si="234"/>
        <v>29</v>
      </c>
      <c r="C1546" s="10"/>
      <c r="D1546" s="10"/>
      <c r="E1546" s="10"/>
      <c r="F1546" s="29" t="s">
        <v>193</v>
      </c>
      <c r="G1546" s="10">
        <v>630</v>
      </c>
      <c r="H1546" s="10" t="s">
        <v>133</v>
      </c>
      <c r="I1546" s="27">
        <f>SUM(I1547:I1548)</f>
        <v>160950</v>
      </c>
      <c r="J1546" s="27">
        <f t="shared" ref="J1546" si="246">SUM(J1547:J1548)</f>
        <v>0</v>
      </c>
      <c r="K1546" s="250">
        <f t="shared" si="239"/>
        <v>160950</v>
      </c>
      <c r="L1546" s="259"/>
      <c r="M1546" s="315"/>
      <c r="N1546" s="27"/>
      <c r="O1546" s="250">
        <f t="shared" si="240"/>
        <v>0</v>
      </c>
      <c r="P1546" s="259"/>
      <c r="Q1546" s="309">
        <f t="shared" si="235"/>
        <v>160950</v>
      </c>
      <c r="R1546" s="91">
        <f t="shared" si="236"/>
        <v>0</v>
      </c>
      <c r="S1546" s="91">
        <f t="shared" si="237"/>
        <v>160950</v>
      </c>
    </row>
    <row r="1547" spans="2:19" x14ac:dyDescent="0.2">
      <c r="B1547" s="205">
        <f t="shared" si="234"/>
        <v>30</v>
      </c>
      <c r="C1547" s="4"/>
      <c r="D1547" s="4"/>
      <c r="E1547" s="4"/>
      <c r="F1547" s="30" t="s">
        <v>193</v>
      </c>
      <c r="G1547" s="4">
        <v>636</v>
      </c>
      <c r="H1547" s="4" t="s">
        <v>138</v>
      </c>
      <c r="I1547" s="23">
        <v>159950</v>
      </c>
      <c r="J1547" s="23"/>
      <c r="K1547" s="220">
        <f t="shared" si="239"/>
        <v>159950</v>
      </c>
      <c r="L1547" s="259"/>
      <c r="M1547" s="227"/>
      <c r="N1547" s="23"/>
      <c r="O1547" s="220">
        <f t="shared" si="240"/>
        <v>0</v>
      </c>
      <c r="P1547" s="259"/>
      <c r="Q1547" s="308">
        <f t="shared" si="235"/>
        <v>159950</v>
      </c>
      <c r="R1547" s="92">
        <f t="shared" si="236"/>
        <v>0</v>
      </c>
      <c r="S1547" s="92">
        <f t="shared" si="237"/>
        <v>159950</v>
      </c>
    </row>
    <row r="1548" spans="2:19" x14ac:dyDescent="0.2">
      <c r="B1548" s="205">
        <f t="shared" si="234"/>
        <v>31</v>
      </c>
      <c r="C1548" s="4"/>
      <c r="D1548" s="4"/>
      <c r="E1548" s="4"/>
      <c r="F1548" s="30" t="s">
        <v>193</v>
      </c>
      <c r="G1548" s="4">
        <v>637</v>
      </c>
      <c r="H1548" s="4" t="s">
        <v>134</v>
      </c>
      <c r="I1548" s="23">
        <v>1000</v>
      </c>
      <c r="J1548" s="23"/>
      <c r="K1548" s="220">
        <f t="shared" si="239"/>
        <v>1000</v>
      </c>
      <c r="L1548" s="259"/>
      <c r="M1548" s="227"/>
      <c r="N1548" s="23"/>
      <c r="O1548" s="220">
        <f t="shared" si="240"/>
        <v>0</v>
      </c>
      <c r="P1548" s="259"/>
      <c r="Q1548" s="308">
        <f t="shared" si="235"/>
        <v>1000</v>
      </c>
      <c r="R1548" s="92">
        <f t="shared" si="236"/>
        <v>0</v>
      </c>
      <c r="S1548" s="92">
        <f t="shared" si="237"/>
        <v>1000</v>
      </c>
    </row>
    <row r="1549" spans="2:19" ht="15" x14ac:dyDescent="0.25">
      <c r="B1549" s="205">
        <f t="shared" si="234"/>
        <v>32</v>
      </c>
      <c r="C1549" s="243"/>
      <c r="D1549" s="243">
        <v>2</v>
      </c>
      <c r="E1549" s="508" t="s">
        <v>215</v>
      </c>
      <c r="F1549" s="509"/>
      <c r="G1549" s="509"/>
      <c r="H1549" s="510"/>
      <c r="I1549" s="41">
        <f>I1550+I1554</f>
        <v>205850</v>
      </c>
      <c r="J1549" s="41">
        <f t="shared" ref="J1549" si="247">J1550+J1554</f>
        <v>1500</v>
      </c>
      <c r="K1549" s="249">
        <f t="shared" si="239"/>
        <v>207350</v>
      </c>
      <c r="L1549" s="259"/>
      <c r="M1549" s="316">
        <f>M1554</f>
        <v>23850</v>
      </c>
      <c r="N1549" s="41">
        <f t="shared" ref="N1549" si="248">N1554</f>
        <v>0</v>
      </c>
      <c r="O1549" s="249">
        <f t="shared" si="240"/>
        <v>23850</v>
      </c>
      <c r="P1549" s="259"/>
      <c r="Q1549" s="310">
        <f t="shared" si="235"/>
        <v>229700</v>
      </c>
      <c r="R1549" s="90">
        <f t="shared" si="236"/>
        <v>1500</v>
      </c>
      <c r="S1549" s="90">
        <f t="shared" si="237"/>
        <v>231200</v>
      </c>
    </row>
    <row r="1550" spans="2:19" x14ac:dyDescent="0.2">
      <c r="B1550" s="205">
        <f t="shared" si="234"/>
        <v>33</v>
      </c>
      <c r="C1550" s="10"/>
      <c r="D1550" s="10"/>
      <c r="E1550" s="10"/>
      <c r="F1550" s="29" t="s">
        <v>193</v>
      </c>
      <c r="G1550" s="10">
        <v>630</v>
      </c>
      <c r="H1550" s="10" t="s">
        <v>133</v>
      </c>
      <c r="I1550" s="27">
        <f>SUM(I1551:I1553)</f>
        <v>205850</v>
      </c>
      <c r="J1550" s="27">
        <f t="shared" ref="J1550" si="249">SUM(J1551:J1553)</f>
        <v>1500</v>
      </c>
      <c r="K1550" s="250">
        <f t="shared" si="239"/>
        <v>207350</v>
      </c>
      <c r="L1550" s="259"/>
      <c r="M1550" s="315"/>
      <c r="N1550" s="27"/>
      <c r="O1550" s="250">
        <f t="shared" si="240"/>
        <v>0</v>
      </c>
      <c r="P1550" s="259"/>
      <c r="Q1550" s="309">
        <f t="shared" si="235"/>
        <v>205850</v>
      </c>
      <c r="R1550" s="91">
        <f t="shared" si="236"/>
        <v>1500</v>
      </c>
      <c r="S1550" s="91">
        <f t="shared" si="237"/>
        <v>207350</v>
      </c>
    </row>
    <row r="1551" spans="2:19" x14ac:dyDescent="0.2">
      <c r="B1551" s="205">
        <f t="shared" si="234"/>
        <v>34</v>
      </c>
      <c r="C1551" s="4"/>
      <c r="D1551" s="4"/>
      <c r="E1551" s="4"/>
      <c r="F1551" s="30" t="s">
        <v>193</v>
      </c>
      <c r="G1551" s="4">
        <v>632</v>
      </c>
      <c r="H1551" s="4" t="s">
        <v>146</v>
      </c>
      <c r="I1551" s="23">
        <f>3500+1000</f>
        <v>4500</v>
      </c>
      <c r="J1551" s="23">
        <v>1500</v>
      </c>
      <c r="K1551" s="220">
        <f t="shared" si="239"/>
        <v>6000</v>
      </c>
      <c r="L1551" s="259"/>
      <c r="M1551" s="227"/>
      <c r="N1551" s="23"/>
      <c r="O1551" s="220">
        <f t="shared" si="240"/>
        <v>0</v>
      </c>
      <c r="P1551" s="259"/>
      <c r="Q1551" s="308">
        <f t="shared" si="235"/>
        <v>4500</v>
      </c>
      <c r="R1551" s="92">
        <f t="shared" si="236"/>
        <v>1500</v>
      </c>
      <c r="S1551" s="92">
        <f t="shared" si="237"/>
        <v>6000</v>
      </c>
    </row>
    <row r="1552" spans="2:19" x14ac:dyDescent="0.2">
      <c r="B1552" s="205">
        <f t="shared" si="234"/>
        <v>35</v>
      </c>
      <c r="C1552" s="4"/>
      <c r="D1552" s="4"/>
      <c r="E1552" s="4"/>
      <c r="F1552" s="30" t="s">
        <v>193</v>
      </c>
      <c r="G1552" s="4">
        <v>636</v>
      </c>
      <c r="H1552" s="4" t="s">
        <v>138</v>
      </c>
      <c r="I1552" s="23">
        <v>200000</v>
      </c>
      <c r="J1552" s="23"/>
      <c r="K1552" s="220">
        <f t="shared" si="239"/>
        <v>200000</v>
      </c>
      <c r="L1552" s="259"/>
      <c r="M1552" s="227"/>
      <c r="N1552" s="23"/>
      <c r="O1552" s="220">
        <f t="shared" si="240"/>
        <v>0</v>
      </c>
      <c r="P1552" s="259"/>
      <c r="Q1552" s="308">
        <f t="shared" si="235"/>
        <v>200000</v>
      </c>
      <c r="R1552" s="92">
        <f t="shared" si="236"/>
        <v>0</v>
      </c>
      <c r="S1552" s="92">
        <f t="shared" si="237"/>
        <v>200000</v>
      </c>
    </row>
    <row r="1553" spans="2:19" x14ac:dyDescent="0.2">
      <c r="B1553" s="205">
        <f t="shared" si="234"/>
        <v>36</v>
      </c>
      <c r="C1553" s="4"/>
      <c r="D1553" s="4"/>
      <c r="E1553" s="4"/>
      <c r="F1553" s="30" t="s">
        <v>193</v>
      </c>
      <c r="G1553" s="4">
        <v>637</v>
      </c>
      <c r="H1553" s="4" t="s">
        <v>134</v>
      </c>
      <c r="I1553" s="23">
        <v>1350</v>
      </c>
      <c r="J1553" s="23"/>
      <c r="K1553" s="220">
        <f t="shared" si="239"/>
        <v>1350</v>
      </c>
      <c r="L1553" s="259"/>
      <c r="M1553" s="227"/>
      <c r="N1553" s="23"/>
      <c r="O1553" s="220">
        <f t="shared" si="240"/>
        <v>0</v>
      </c>
      <c r="P1553" s="259"/>
      <c r="Q1553" s="308">
        <f t="shared" si="235"/>
        <v>1350</v>
      </c>
      <c r="R1553" s="92">
        <f t="shared" si="236"/>
        <v>0</v>
      </c>
      <c r="S1553" s="92">
        <f t="shared" si="237"/>
        <v>1350</v>
      </c>
    </row>
    <row r="1554" spans="2:19" x14ac:dyDescent="0.2">
      <c r="B1554" s="205">
        <f t="shared" si="234"/>
        <v>37</v>
      </c>
      <c r="C1554" s="10"/>
      <c r="D1554" s="10"/>
      <c r="E1554" s="10"/>
      <c r="F1554" s="29" t="s">
        <v>193</v>
      </c>
      <c r="G1554" s="10">
        <v>710</v>
      </c>
      <c r="H1554" s="10" t="s">
        <v>188</v>
      </c>
      <c r="I1554" s="27"/>
      <c r="J1554" s="27"/>
      <c r="K1554" s="250">
        <f t="shared" si="239"/>
        <v>0</v>
      </c>
      <c r="L1554" s="259"/>
      <c r="M1554" s="315">
        <f>M1555+M1556</f>
        <v>23850</v>
      </c>
      <c r="N1554" s="27">
        <f>N1555+N1556</f>
        <v>0</v>
      </c>
      <c r="O1554" s="250">
        <f t="shared" si="240"/>
        <v>23850</v>
      </c>
      <c r="P1554" s="259"/>
      <c r="Q1554" s="309">
        <f t="shared" si="235"/>
        <v>23850</v>
      </c>
      <c r="R1554" s="91">
        <f t="shared" si="236"/>
        <v>0</v>
      </c>
      <c r="S1554" s="91">
        <f t="shared" si="237"/>
        <v>23850</v>
      </c>
    </row>
    <row r="1555" spans="2:19" x14ac:dyDescent="0.2">
      <c r="B1555" s="205">
        <f t="shared" si="234"/>
        <v>38</v>
      </c>
      <c r="C1555" s="56"/>
      <c r="D1555" s="56"/>
      <c r="E1555" s="56"/>
      <c r="F1555" s="190"/>
      <c r="G1555" s="56">
        <v>712</v>
      </c>
      <c r="H1555" s="56" t="s">
        <v>523</v>
      </c>
      <c r="I1555" s="24"/>
      <c r="J1555" s="24"/>
      <c r="K1555" s="257">
        <f t="shared" si="239"/>
        <v>0</v>
      </c>
      <c r="L1555" s="259"/>
      <c r="M1555" s="339">
        <v>19850</v>
      </c>
      <c r="N1555" s="24"/>
      <c r="O1555" s="257">
        <f t="shared" si="240"/>
        <v>19850</v>
      </c>
      <c r="P1555" s="259"/>
      <c r="Q1555" s="311">
        <f t="shared" si="235"/>
        <v>19850</v>
      </c>
      <c r="R1555" s="126">
        <f t="shared" si="236"/>
        <v>0</v>
      </c>
      <c r="S1555" s="126">
        <f t="shared" si="237"/>
        <v>19850</v>
      </c>
    </row>
    <row r="1556" spans="2:19" x14ac:dyDescent="0.2">
      <c r="B1556" s="205">
        <f t="shared" si="234"/>
        <v>39</v>
      </c>
      <c r="C1556" s="56"/>
      <c r="D1556" s="56"/>
      <c r="E1556" s="56"/>
      <c r="F1556" s="190"/>
      <c r="G1556" s="56">
        <v>716</v>
      </c>
      <c r="H1556" s="5" t="s">
        <v>449</v>
      </c>
      <c r="I1556" s="24"/>
      <c r="J1556" s="24"/>
      <c r="K1556" s="257">
        <f t="shared" si="239"/>
        <v>0</v>
      </c>
      <c r="L1556" s="259"/>
      <c r="M1556" s="339">
        <f>4000</f>
        <v>4000</v>
      </c>
      <c r="N1556" s="24"/>
      <c r="O1556" s="257">
        <f t="shared" si="240"/>
        <v>4000</v>
      </c>
      <c r="P1556" s="259"/>
      <c r="Q1556" s="311">
        <f t="shared" si="235"/>
        <v>4000</v>
      </c>
      <c r="R1556" s="126">
        <f t="shared" si="236"/>
        <v>0</v>
      </c>
      <c r="S1556" s="126">
        <f t="shared" si="237"/>
        <v>4000</v>
      </c>
    </row>
    <row r="1557" spans="2:19" ht="15" x14ac:dyDescent="0.25">
      <c r="B1557" s="205">
        <f t="shared" si="234"/>
        <v>40</v>
      </c>
      <c r="C1557" s="243"/>
      <c r="D1557" s="243">
        <v>3</v>
      </c>
      <c r="E1557" s="508" t="s">
        <v>216</v>
      </c>
      <c r="F1557" s="509"/>
      <c r="G1557" s="509"/>
      <c r="H1557" s="510"/>
      <c r="I1557" s="41">
        <f>I1558+I1560+I1565</f>
        <v>463840</v>
      </c>
      <c r="J1557" s="41">
        <f t="shared" ref="J1557" si="250">J1558+J1560+J1565</f>
        <v>0</v>
      </c>
      <c r="K1557" s="249">
        <f t="shared" si="239"/>
        <v>463840</v>
      </c>
      <c r="L1557" s="259"/>
      <c r="M1557" s="316">
        <f>M1560</f>
        <v>719290</v>
      </c>
      <c r="N1557" s="41">
        <f t="shared" ref="N1557" si="251">N1560</f>
        <v>0</v>
      </c>
      <c r="O1557" s="249">
        <f t="shared" si="240"/>
        <v>719290</v>
      </c>
      <c r="P1557" s="259"/>
      <c r="Q1557" s="310">
        <f t="shared" si="235"/>
        <v>1183130</v>
      </c>
      <c r="R1557" s="90">
        <f t="shared" si="236"/>
        <v>0</v>
      </c>
      <c r="S1557" s="90">
        <f t="shared" si="237"/>
        <v>1183130</v>
      </c>
    </row>
    <row r="1558" spans="2:19" x14ac:dyDescent="0.2">
      <c r="B1558" s="205">
        <f t="shared" si="234"/>
        <v>41</v>
      </c>
      <c r="C1558" s="10"/>
      <c r="D1558" s="10"/>
      <c r="E1558" s="10"/>
      <c r="F1558" s="29" t="s">
        <v>193</v>
      </c>
      <c r="G1558" s="10">
        <v>630</v>
      </c>
      <c r="H1558" s="10" t="s">
        <v>133</v>
      </c>
      <c r="I1558" s="27">
        <f>I1559</f>
        <v>3340</v>
      </c>
      <c r="J1558" s="27">
        <f t="shared" ref="J1558" si="252">J1559</f>
        <v>0</v>
      </c>
      <c r="K1558" s="250">
        <f t="shared" si="239"/>
        <v>3340</v>
      </c>
      <c r="L1558" s="259"/>
      <c r="M1558" s="315"/>
      <c r="N1558" s="27"/>
      <c r="O1558" s="250">
        <f t="shared" si="240"/>
        <v>0</v>
      </c>
      <c r="P1558" s="259"/>
      <c r="Q1558" s="309">
        <f t="shared" si="235"/>
        <v>3340</v>
      </c>
      <c r="R1558" s="91">
        <f t="shared" si="236"/>
        <v>0</v>
      </c>
      <c r="S1558" s="91">
        <f t="shared" si="237"/>
        <v>3340</v>
      </c>
    </row>
    <row r="1559" spans="2:19" x14ac:dyDescent="0.2">
      <c r="B1559" s="205">
        <f t="shared" si="234"/>
        <v>42</v>
      </c>
      <c r="C1559" s="4"/>
      <c r="D1559" s="4"/>
      <c r="E1559" s="4"/>
      <c r="F1559" s="30" t="s">
        <v>193</v>
      </c>
      <c r="G1559" s="4">
        <v>637</v>
      </c>
      <c r="H1559" s="4" t="s">
        <v>134</v>
      </c>
      <c r="I1559" s="23">
        <v>3340</v>
      </c>
      <c r="J1559" s="23"/>
      <c r="K1559" s="220">
        <f t="shared" si="239"/>
        <v>3340</v>
      </c>
      <c r="L1559" s="259"/>
      <c r="M1559" s="227"/>
      <c r="N1559" s="23"/>
      <c r="O1559" s="220">
        <f t="shared" si="240"/>
        <v>0</v>
      </c>
      <c r="P1559" s="259"/>
      <c r="Q1559" s="308">
        <f t="shared" si="235"/>
        <v>3340</v>
      </c>
      <c r="R1559" s="92">
        <f t="shared" si="236"/>
        <v>0</v>
      </c>
      <c r="S1559" s="92">
        <f t="shared" si="237"/>
        <v>3340</v>
      </c>
    </row>
    <row r="1560" spans="2:19" x14ac:dyDescent="0.2">
      <c r="B1560" s="205">
        <f t="shared" si="234"/>
        <v>43</v>
      </c>
      <c r="C1560" s="10"/>
      <c r="D1560" s="10"/>
      <c r="E1560" s="10"/>
      <c r="F1560" s="29" t="s">
        <v>193</v>
      </c>
      <c r="G1560" s="10">
        <v>710</v>
      </c>
      <c r="H1560" s="10" t="s">
        <v>188</v>
      </c>
      <c r="I1560" s="27"/>
      <c r="J1560" s="27"/>
      <c r="K1560" s="250">
        <f t="shared" si="239"/>
        <v>0</v>
      </c>
      <c r="L1560" s="259"/>
      <c r="M1560" s="315">
        <f>M1561+M1563</f>
        <v>719290</v>
      </c>
      <c r="N1560" s="27">
        <f t="shared" ref="N1560" si="253">N1561+N1563</f>
        <v>0</v>
      </c>
      <c r="O1560" s="250">
        <f t="shared" si="240"/>
        <v>719290</v>
      </c>
      <c r="P1560" s="259"/>
      <c r="Q1560" s="309">
        <f t="shared" si="235"/>
        <v>719290</v>
      </c>
      <c r="R1560" s="91">
        <f t="shared" si="236"/>
        <v>0</v>
      </c>
      <c r="S1560" s="91">
        <f t="shared" si="237"/>
        <v>719290</v>
      </c>
    </row>
    <row r="1561" spans="2:19" x14ac:dyDescent="0.2">
      <c r="B1561" s="205">
        <f t="shared" si="234"/>
        <v>44</v>
      </c>
      <c r="C1561" s="4"/>
      <c r="D1561" s="4"/>
      <c r="E1561" s="4"/>
      <c r="F1561" s="30" t="s">
        <v>193</v>
      </c>
      <c r="G1561" s="4">
        <v>716</v>
      </c>
      <c r="H1561" s="4" t="s">
        <v>232</v>
      </c>
      <c r="I1561" s="23"/>
      <c r="J1561" s="23"/>
      <c r="K1561" s="220">
        <f t="shared" si="239"/>
        <v>0</v>
      </c>
      <c r="L1561" s="259"/>
      <c r="M1561" s="227">
        <f>SUM(M1562:M1562)</f>
        <v>25000</v>
      </c>
      <c r="N1561" s="23">
        <f t="shared" ref="N1561" si="254">SUM(N1562:N1562)</f>
        <v>0</v>
      </c>
      <c r="O1561" s="220">
        <f t="shared" si="240"/>
        <v>25000</v>
      </c>
      <c r="P1561" s="259"/>
      <c r="Q1561" s="308">
        <f t="shared" si="235"/>
        <v>25000</v>
      </c>
      <c r="R1561" s="92">
        <f t="shared" si="236"/>
        <v>0</v>
      </c>
      <c r="S1561" s="92">
        <f t="shared" si="237"/>
        <v>25000</v>
      </c>
    </row>
    <row r="1562" spans="2:19" x14ac:dyDescent="0.2">
      <c r="B1562" s="205">
        <f t="shared" si="234"/>
        <v>45</v>
      </c>
      <c r="C1562" s="5"/>
      <c r="D1562" s="5"/>
      <c r="E1562" s="5"/>
      <c r="F1562" s="31"/>
      <c r="G1562" s="5"/>
      <c r="H1562" s="5" t="s">
        <v>338</v>
      </c>
      <c r="I1562" s="25"/>
      <c r="J1562" s="25"/>
      <c r="K1562" s="251">
        <f t="shared" si="239"/>
        <v>0</v>
      </c>
      <c r="L1562" s="259"/>
      <c r="M1562" s="337">
        <v>25000</v>
      </c>
      <c r="N1562" s="25"/>
      <c r="O1562" s="251">
        <f t="shared" si="240"/>
        <v>25000</v>
      </c>
      <c r="P1562" s="259"/>
      <c r="Q1562" s="332">
        <f t="shared" si="235"/>
        <v>25000</v>
      </c>
      <c r="R1562" s="93">
        <f t="shared" si="236"/>
        <v>0</v>
      </c>
      <c r="S1562" s="93">
        <f t="shared" si="237"/>
        <v>25000</v>
      </c>
    </row>
    <row r="1563" spans="2:19" x14ac:dyDescent="0.2">
      <c r="B1563" s="205">
        <f t="shared" si="234"/>
        <v>46</v>
      </c>
      <c r="C1563" s="5"/>
      <c r="D1563" s="5"/>
      <c r="E1563" s="5"/>
      <c r="F1563" s="30" t="s">
        <v>193</v>
      </c>
      <c r="G1563" s="4">
        <v>717</v>
      </c>
      <c r="H1563" s="4" t="s">
        <v>198</v>
      </c>
      <c r="I1563" s="25"/>
      <c r="J1563" s="25"/>
      <c r="K1563" s="251">
        <f t="shared" si="239"/>
        <v>0</v>
      </c>
      <c r="L1563" s="259"/>
      <c r="M1563" s="227">
        <f>SUM(M1564:M1564)</f>
        <v>694290</v>
      </c>
      <c r="N1563" s="23">
        <f t="shared" ref="N1563" si="255">SUM(N1564:N1564)</f>
        <v>0</v>
      </c>
      <c r="O1563" s="220">
        <f t="shared" si="240"/>
        <v>694290</v>
      </c>
      <c r="P1563" s="259"/>
      <c r="Q1563" s="308">
        <f t="shared" si="235"/>
        <v>694290</v>
      </c>
      <c r="R1563" s="92">
        <f t="shared" si="236"/>
        <v>0</v>
      </c>
      <c r="S1563" s="92">
        <f t="shared" si="237"/>
        <v>694290</v>
      </c>
    </row>
    <row r="1564" spans="2:19" x14ac:dyDescent="0.2">
      <c r="B1564" s="205">
        <f t="shared" si="234"/>
        <v>47</v>
      </c>
      <c r="C1564" s="5"/>
      <c r="D1564" s="5"/>
      <c r="E1564" s="5"/>
      <c r="F1564" s="31"/>
      <c r="G1564" s="5"/>
      <c r="H1564" s="5" t="s">
        <v>598</v>
      </c>
      <c r="I1564" s="25"/>
      <c r="J1564" s="25"/>
      <c r="K1564" s="251">
        <f t="shared" si="239"/>
        <v>0</v>
      </c>
      <c r="L1564" s="259"/>
      <c r="M1564" s="337">
        <f>666790+27500</f>
        <v>694290</v>
      </c>
      <c r="N1564" s="25"/>
      <c r="O1564" s="251">
        <f t="shared" si="240"/>
        <v>694290</v>
      </c>
      <c r="P1564" s="259"/>
      <c r="Q1564" s="332">
        <f t="shared" si="235"/>
        <v>694290</v>
      </c>
      <c r="R1564" s="93">
        <f t="shared" si="236"/>
        <v>0</v>
      </c>
      <c r="S1564" s="93">
        <f t="shared" si="237"/>
        <v>694290</v>
      </c>
    </row>
    <row r="1565" spans="2:19" ht="15" x14ac:dyDescent="0.25">
      <c r="B1565" s="205">
        <f t="shared" si="234"/>
        <v>48</v>
      </c>
      <c r="C1565" s="13"/>
      <c r="D1565" s="13"/>
      <c r="E1565" s="13">
        <v>2</v>
      </c>
      <c r="F1565" s="32"/>
      <c r="G1565" s="13"/>
      <c r="H1565" s="13" t="s">
        <v>18</v>
      </c>
      <c r="I1565" s="42">
        <f>I1566+I1567+I1568+I1574</f>
        <v>460500</v>
      </c>
      <c r="J1565" s="42">
        <f t="shared" ref="J1565" si="256">J1566+J1567+J1568+J1574</f>
        <v>0</v>
      </c>
      <c r="K1565" s="255">
        <f t="shared" si="239"/>
        <v>460500</v>
      </c>
      <c r="L1565" s="259"/>
      <c r="M1565" s="317"/>
      <c r="N1565" s="42"/>
      <c r="O1565" s="255">
        <f t="shared" si="240"/>
        <v>0</v>
      </c>
      <c r="P1565" s="259"/>
      <c r="Q1565" s="312">
        <f t="shared" si="235"/>
        <v>460500</v>
      </c>
      <c r="R1565" s="99">
        <f t="shared" si="236"/>
        <v>0</v>
      </c>
      <c r="S1565" s="99">
        <f t="shared" si="237"/>
        <v>460500</v>
      </c>
    </row>
    <row r="1566" spans="2:19" x14ac:dyDescent="0.2">
      <c r="B1566" s="205">
        <f t="shared" si="234"/>
        <v>49</v>
      </c>
      <c r="C1566" s="10"/>
      <c r="D1566" s="10"/>
      <c r="E1566" s="10"/>
      <c r="F1566" s="29" t="s">
        <v>193</v>
      </c>
      <c r="G1566" s="10">
        <v>610</v>
      </c>
      <c r="H1566" s="10" t="s">
        <v>143</v>
      </c>
      <c r="I1566" s="27">
        <f>123010-18010</f>
        <v>105000</v>
      </c>
      <c r="J1566" s="27"/>
      <c r="K1566" s="250">
        <f t="shared" si="239"/>
        <v>105000</v>
      </c>
      <c r="L1566" s="259"/>
      <c r="M1566" s="315"/>
      <c r="N1566" s="27"/>
      <c r="O1566" s="250">
        <f t="shared" si="240"/>
        <v>0</v>
      </c>
      <c r="P1566" s="259"/>
      <c r="Q1566" s="309">
        <f t="shared" si="235"/>
        <v>105000</v>
      </c>
      <c r="R1566" s="91">
        <f t="shared" si="236"/>
        <v>0</v>
      </c>
      <c r="S1566" s="91">
        <f t="shared" si="237"/>
        <v>105000</v>
      </c>
    </row>
    <row r="1567" spans="2:19" x14ac:dyDescent="0.2">
      <c r="B1567" s="205">
        <f t="shared" si="234"/>
        <v>50</v>
      </c>
      <c r="C1567" s="10"/>
      <c r="D1567" s="10"/>
      <c r="E1567" s="10"/>
      <c r="F1567" s="29" t="s">
        <v>193</v>
      </c>
      <c r="G1567" s="10">
        <v>620</v>
      </c>
      <c r="H1567" s="10" t="s">
        <v>136</v>
      </c>
      <c r="I1567" s="27">
        <f>43900-3900</f>
        <v>40000</v>
      </c>
      <c r="J1567" s="27"/>
      <c r="K1567" s="250">
        <f t="shared" si="239"/>
        <v>40000</v>
      </c>
      <c r="L1567" s="259"/>
      <c r="M1567" s="315"/>
      <c r="N1567" s="27"/>
      <c r="O1567" s="250">
        <f t="shared" si="240"/>
        <v>0</v>
      </c>
      <c r="P1567" s="259"/>
      <c r="Q1567" s="309">
        <f t="shared" si="235"/>
        <v>40000</v>
      </c>
      <c r="R1567" s="91">
        <f t="shared" si="236"/>
        <v>0</v>
      </c>
      <c r="S1567" s="91">
        <f t="shared" si="237"/>
        <v>40000</v>
      </c>
    </row>
    <row r="1568" spans="2:19" x14ac:dyDescent="0.2">
      <c r="B1568" s="205">
        <f t="shared" si="234"/>
        <v>51</v>
      </c>
      <c r="C1568" s="10"/>
      <c r="D1568" s="10"/>
      <c r="E1568" s="10"/>
      <c r="F1568" s="29" t="s">
        <v>193</v>
      </c>
      <c r="G1568" s="10">
        <v>630</v>
      </c>
      <c r="H1568" s="10" t="s">
        <v>133</v>
      </c>
      <c r="I1568" s="27">
        <f>SUM(I1569:I1573)</f>
        <v>306900</v>
      </c>
      <c r="J1568" s="27">
        <f t="shared" ref="J1568" si="257">SUM(J1569:J1573)</f>
        <v>0</v>
      </c>
      <c r="K1568" s="250">
        <f t="shared" si="239"/>
        <v>306900</v>
      </c>
      <c r="L1568" s="259"/>
      <c r="M1568" s="315"/>
      <c r="N1568" s="27"/>
      <c r="O1568" s="250">
        <f t="shared" si="240"/>
        <v>0</v>
      </c>
      <c r="P1568" s="259"/>
      <c r="Q1568" s="309">
        <f t="shared" si="235"/>
        <v>306900</v>
      </c>
      <c r="R1568" s="91">
        <f t="shared" si="236"/>
        <v>0</v>
      </c>
      <c r="S1568" s="91">
        <f t="shared" si="237"/>
        <v>306900</v>
      </c>
    </row>
    <row r="1569" spans="2:19" x14ac:dyDescent="0.2">
      <c r="B1569" s="205">
        <f t="shared" si="234"/>
        <v>52</v>
      </c>
      <c r="C1569" s="4"/>
      <c r="D1569" s="4"/>
      <c r="E1569" s="4"/>
      <c r="F1569" s="30" t="s">
        <v>193</v>
      </c>
      <c r="G1569" s="4">
        <v>632</v>
      </c>
      <c r="H1569" s="4" t="s">
        <v>146</v>
      </c>
      <c r="I1569" s="23">
        <v>213000</v>
      </c>
      <c r="J1569" s="23"/>
      <c r="K1569" s="220">
        <f t="shared" si="239"/>
        <v>213000</v>
      </c>
      <c r="L1569" s="259"/>
      <c r="M1569" s="227"/>
      <c r="N1569" s="23"/>
      <c r="O1569" s="220">
        <f t="shared" si="240"/>
        <v>0</v>
      </c>
      <c r="P1569" s="259"/>
      <c r="Q1569" s="308">
        <f t="shared" si="235"/>
        <v>213000</v>
      </c>
      <c r="R1569" s="92">
        <f t="shared" si="236"/>
        <v>0</v>
      </c>
      <c r="S1569" s="92">
        <f t="shared" si="237"/>
        <v>213000</v>
      </c>
    </row>
    <row r="1570" spans="2:19" x14ac:dyDescent="0.2">
      <c r="B1570" s="205">
        <f t="shared" si="234"/>
        <v>53</v>
      </c>
      <c r="C1570" s="4"/>
      <c r="D1570" s="4"/>
      <c r="E1570" s="4"/>
      <c r="F1570" s="30" t="s">
        <v>193</v>
      </c>
      <c r="G1570" s="4">
        <v>633</v>
      </c>
      <c r="H1570" s="4" t="s">
        <v>137</v>
      </c>
      <c r="I1570" s="23">
        <f>15700+4500</f>
        <v>20200</v>
      </c>
      <c r="J1570" s="23"/>
      <c r="K1570" s="220">
        <f t="shared" si="239"/>
        <v>20200</v>
      </c>
      <c r="L1570" s="259"/>
      <c r="M1570" s="227"/>
      <c r="N1570" s="23"/>
      <c r="O1570" s="220">
        <f t="shared" si="240"/>
        <v>0</v>
      </c>
      <c r="P1570" s="259"/>
      <c r="Q1570" s="308">
        <f t="shared" si="235"/>
        <v>20200</v>
      </c>
      <c r="R1570" s="92">
        <f t="shared" si="236"/>
        <v>0</v>
      </c>
      <c r="S1570" s="92">
        <f t="shared" si="237"/>
        <v>20200</v>
      </c>
    </row>
    <row r="1571" spans="2:19" x14ac:dyDescent="0.2">
      <c r="B1571" s="205">
        <f t="shared" si="234"/>
        <v>54</v>
      </c>
      <c r="C1571" s="4"/>
      <c r="D1571" s="4"/>
      <c r="E1571" s="4"/>
      <c r="F1571" s="30" t="s">
        <v>193</v>
      </c>
      <c r="G1571" s="4">
        <v>635</v>
      </c>
      <c r="H1571" s="4" t="s">
        <v>145</v>
      </c>
      <c r="I1571" s="23">
        <f>11000+4600+7000</f>
        <v>22600</v>
      </c>
      <c r="J1571" s="23"/>
      <c r="K1571" s="220">
        <f t="shared" si="239"/>
        <v>22600</v>
      </c>
      <c r="L1571" s="259"/>
      <c r="M1571" s="227"/>
      <c r="N1571" s="23"/>
      <c r="O1571" s="220">
        <f t="shared" si="240"/>
        <v>0</v>
      </c>
      <c r="P1571" s="259"/>
      <c r="Q1571" s="308">
        <f t="shared" si="235"/>
        <v>22600</v>
      </c>
      <c r="R1571" s="92">
        <f t="shared" si="236"/>
        <v>0</v>
      </c>
      <c r="S1571" s="92">
        <f t="shared" si="237"/>
        <v>22600</v>
      </c>
    </row>
    <row r="1572" spans="2:19" x14ac:dyDescent="0.2">
      <c r="B1572" s="205">
        <f t="shared" si="234"/>
        <v>55</v>
      </c>
      <c r="C1572" s="4"/>
      <c r="D1572" s="4"/>
      <c r="E1572" s="4"/>
      <c r="F1572" s="30" t="s">
        <v>193</v>
      </c>
      <c r="G1572" s="4">
        <v>636</v>
      </c>
      <c r="H1572" s="4" t="s">
        <v>138</v>
      </c>
      <c r="I1572" s="23">
        <f>200+1000</f>
        <v>1200</v>
      </c>
      <c r="J1572" s="23"/>
      <c r="K1572" s="220">
        <f t="shared" si="239"/>
        <v>1200</v>
      </c>
      <c r="L1572" s="259"/>
      <c r="M1572" s="227"/>
      <c r="N1572" s="23"/>
      <c r="O1572" s="220">
        <f t="shared" si="240"/>
        <v>0</v>
      </c>
      <c r="P1572" s="259"/>
      <c r="Q1572" s="308">
        <f t="shared" si="235"/>
        <v>1200</v>
      </c>
      <c r="R1572" s="92">
        <f t="shared" si="236"/>
        <v>0</v>
      </c>
      <c r="S1572" s="92">
        <f t="shared" si="237"/>
        <v>1200</v>
      </c>
    </row>
    <row r="1573" spans="2:19" x14ac:dyDescent="0.2">
      <c r="B1573" s="205">
        <f t="shared" si="234"/>
        <v>56</v>
      </c>
      <c r="C1573" s="4"/>
      <c r="D1573" s="4"/>
      <c r="E1573" s="4"/>
      <c r="F1573" s="30" t="s">
        <v>193</v>
      </c>
      <c r="G1573" s="4">
        <v>637</v>
      </c>
      <c r="H1573" s="4" t="s">
        <v>134</v>
      </c>
      <c r="I1573" s="23">
        <f>42800+1300+5800</f>
        <v>49900</v>
      </c>
      <c r="J1573" s="23"/>
      <c r="K1573" s="220">
        <f t="shared" si="239"/>
        <v>49900</v>
      </c>
      <c r="L1573" s="259"/>
      <c r="M1573" s="227"/>
      <c r="N1573" s="23"/>
      <c r="O1573" s="220">
        <f t="shared" si="240"/>
        <v>0</v>
      </c>
      <c r="P1573" s="259"/>
      <c r="Q1573" s="308">
        <f t="shared" si="235"/>
        <v>49900</v>
      </c>
      <c r="R1573" s="92">
        <f t="shared" si="236"/>
        <v>0</v>
      </c>
      <c r="S1573" s="92">
        <f t="shared" si="237"/>
        <v>49900</v>
      </c>
    </row>
    <row r="1574" spans="2:19" x14ac:dyDescent="0.2">
      <c r="B1574" s="205">
        <f t="shared" si="234"/>
        <v>57</v>
      </c>
      <c r="C1574" s="10"/>
      <c r="D1574" s="10"/>
      <c r="E1574" s="10"/>
      <c r="F1574" s="29" t="s">
        <v>193</v>
      </c>
      <c r="G1574" s="10">
        <v>640</v>
      </c>
      <c r="H1574" s="10" t="s">
        <v>141</v>
      </c>
      <c r="I1574" s="27">
        <f>1550+7050</f>
        <v>8600</v>
      </c>
      <c r="J1574" s="27"/>
      <c r="K1574" s="250">
        <f t="shared" si="239"/>
        <v>8600</v>
      </c>
      <c r="L1574" s="259"/>
      <c r="M1574" s="315"/>
      <c r="N1574" s="27"/>
      <c r="O1574" s="250">
        <f t="shared" si="240"/>
        <v>0</v>
      </c>
      <c r="P1574" s="259"/>
      <c r="Q1574" s="309">
        <f t="shared" si="235"/>
        <v>8600</v>
      </c>
      <c r="R1574" s="91">
        <f t="shared" si="236"/>
        <v>0</v>
      </c>
      <c r="S1574" s="91">
        <f t="shared" si="237"/>
        <v>8600</v>
      </c>
    </row>
    <row r="1575" spans="2:19" ht="15" x14ac:dyDescent="0.25">
      <c r="B1575" s="205">
        <f t="shared" si="234"/>
        <v>58</v>
      </c>
      <c r="C1575" s="243"/>
      <c r="D1575" s="243">
        <v>4</v>
      </c>
      <c r="E1575" s="508" t="s">
        <v>217</v>
      </c>
      <c r="F1575" s="509"/>
      <c r="G1575" s="509"/>
      <c r="H1575" s="510"/>
      <c r="I1575" s="41">
        <f>I1576+I1582</f>
        <v>625100</v>
      </c>
      <c r="J1575" s="41">
        <f t="shared" ref="J1575" si="258">J1576+J1582</f>
        <v>0</v>
      </c>
      <c r="K1575" s="249">
        <f t="shared" si="239"/>
        <v>625100</v>
      </c>
      <c r="L1575" s="259"/>
      <c r="M1575" s="316">
        <f>M1576+M1582</f>
        <v>617055</v>
      </c>
      <c r="N1575" s="41">
        <f t="shared" ref="N1575" si="259">N1576+N1582</f>
        <v>0</v>
      </c>
      <c r="O1575" s="249">
        <f t="shared" si="240"/>
        <v>617055</v>
      </c>
      <c r="P1575" s="259"/>
      <c r="Q1575" s="310">
        <f t="shared" si="235"/>
        <v>1242155</v>
      </c>
      <c r="R1575" s="90">
        <f t="shared" si="236"/>
        <v>0</v>
      </c>
      <c r="S1575" s="90">
        <f t="shared" si="237"/>
        <v>1242155</v>
      </c>
    </row>
    <row r="1576" spans="2:19" x14ac:dyDescent="0.2">
      <c r="B1576" s="205">
        <f t="shared" si="234"/>
        <v>59</v>
      </c>
      <c r="C1576" s="10"/>
      <c r="D1576" s="10"/>
      <c r="E1576" s="10"/>
      <c r="F1576" s="29" t="s">
        <v>193</v>
      </c>
      <c r="G1576" s="10">
        <v>710</v>
      </c>
      <c r="H1576" s="10" t="s">
        <v>188</v>
      </c>
      <c r="I1576" s="27"/>
      <c r="J1576" s="27"/>
      <c r="K1576" s="250">
        <f t="shared" si="239"/>
        <v>0</v>
      </c>
      <c r="L1576" s="259"/>
      <c r="M1576" s="315">
        <f>M1577+M1579</f>
        <v>602255</v>
      </c>
      <c r="N1576" s="27">
        <f t="shared" ref="N1576" si="260">N1577+N1579</f>
        <v>0</v>
      </c>
      <c r="O1576" s="250">
        <f t="shared" si="240"/>
        <v>602255</v>
      </c>
      <c r="P1576" s="259"/>
      <c r="Q1576" s="309">
        <f t="shared" si="235"/>
        <v>602255</v>
      </c>
      <c r="R1576" s="91">
        <f t="shared" si="236"/>
        <v>0</v>
      </c>
      <c r="S1576" s="91">
        <f t="shared" si="237"/>
        <v>602255</v>
      </c>
    </row>
    <row r="1577" spans="2:19" x14ac:dyDescent="0.2">
      <c r="B1577" s="205">
        <f t="shared" si="234"/>
        <v>60</v>
      </c>
      <c r="C1577" s="10"/>
      <c r="D1577" s="10"/>
      <c r="E1577" s="10"/>
      <c r="F1577" s="30" t="s">
        <v>193</v>
      </c>
      <c r="G1577" s="4">
        <v>716</v>
      </c>
      <c r="H1577" s="4" t="s">
        <v>232</v>
      </c>
      <c r="I1577" s="23"/>
      <c r="J1577" s="23"/>
      <c r="K1577" s="220">
        <f t="shared" si="239"/>
        <v>0</v>
      </c>
      <c r="L1577" s="259"/>
      <c r="M1577" s="227">
        <f>M1578</f>
        <v>17000</v>
      </c>
      <c r="N1577" s="23">
        <f t="shared" ref="N1577" si="261">N1578</f>
        <v>0</v>
      </c>
      <c r="O1577" s="220">
        <f t="shared" si="240"/>
        <v>17000</v>
      </c>
      <c r="P1577" s="259"/>
      <c r="Q1577" s="308">
        <f t="shared" si="235"/>
        <v>17000</v>
      </c>
      <c r="R1577" s="92">
        <f t="shared" si="236"/>
        <v>0</v>
      </c>
      <c r="S1577" s="92">
        <f t="shared" si="237"/>
        <v>17000</v>
      </c>
    </row>
    <row r="1578" spans="2:19" x14ac:dyDescent="0.2">
      <c r="B1578" s="205">
        <f t="shared" si="234"/>
        <v>61</v>
      </c>
      <c r="C1578" s="10"/>
      <c r="D1578" s="10"/>
      <c r="E1578" s="10"/>
      <c r="F1578" s="31"/>
      <c r="G1578" s="5"/>
      <c r="H1578" s="5" t="s">
        <v>530</v>
      </c>
      <c r="I1578" s="25"/>
      <c r="J1578" s="25"/>
      <c r="K1578" s="251">
        <f t="shared" si="239"/>
        <v>0</v>
      </c>
      <c r="L1578" s="259"/>
      <c r="M1578" s="349">
        <v>17000</v>
      </c>
      <c r="N1578" s="44"/>
      <c r="O1578" s="354">
        <f t="shared" si="240"/>
        <v>17000</v>
      </c>
      <c r="P1578" s="259"/>
      <c r="Q1578" s="332">
        <f t="shared" si="235"/>
        <v>17000</v>
      </c>
      <c r="R1578" s="93">
        <f t="shared" si="236"/>
        <v>0</v>
      </c>
      <c r="S1578" s="93">
        <f t="shared" si="237"/>
        <v>17000</v>
      </c>
    </row>
    <row r="1579" spans="2:19" x14ac:dyDescent="0.2">
      <c r="B1579" s="205">
        <f t="shared" ref="B1579:B1636" si="262">B1578+1</f>
        <v>62</v>
      </c>
      <c r="C1579" s="4"/>
      <c r="D1579" s="4"/>
      <c r="E1579" s="4"/>
      <c r="F1579" s="30" t="s">
        <v>193</v>
      </c>
      <c r="G1579" s="4">
        <v>717</v>
      </c>
      <c r="H1579" s="4" t="s">
        <v>198</v>
      </c>
      <c r="I1579" s="23"/>
      <c r="J1579" s="23"/>
      <c r="K1579" s="220">
        <f t="shared" si="239"/>
        <v>0</v>
      </c>
      <c r="L1579" s="259"/>
      <c r="M1579" s="227">
        <f>SUM(M1580:M1581)</f>
        <v>585255</v>
      </c>
      <c r="N1579" s="23">
        <f t="shared" ref="N1579" si="263">SUM(N1580:N1581)</f>
        <v>0</v>
      </c>
      <c r="O1579" s="220">
        <f t="shared" si="240"/>
        <v>585255</v>
      </c>
      <c r="P1579" s="259"/>
      <c r="Q1579" s="308">
        <f t="shared" ref="Q1579:Q1632" si="264">I1579+M1579</f>
        <v>585255</v>
      </c>
      <c r="R1579" s="92">
        <f t="shared" ref="R1579:R1637" si="265">J1579+N1579</f>
        <v>0</v>
      </c>
      <c r="S1579" s="92">
        <f t="shared" ref="S1579:S1637" si="266">K1579+O1579</f>
        <v>585255</v>
      </c>
    </row>
    <row r="1580" spans="2:19" x14ac:dyDescent="0.2">
      <c r="B1580" s="205">
        <f t="shared" si="262"/>
        <v>63</v>
      </c>
      <c r="C1580" s="5"/>
      <c r="D1580" s="5"/>
      <c r="E1580" s="5"/>
      <c r="F1580" s="31"/>
      <c r="G1580" s="5"/>
      <c r="H1580" s="5" t="s">
        <v>4</v>
      </c>
      <c r="I1580" s="25"/>
      <c r="J1580" s="25"/>
      <c r="K1580" s="251">
        <f t="shared" ref="K1580:K1637" si="267">I1580+J1580</f>
        <v>0</v>
      </c>
      <c r="L1580" s="259"/>
      <c r="M1580" s="349">
        <v>540255</v>
      </c>
      <c r="N1580" s="44"/>
      <c r="O1580" s="354">
        <f t="shared" ref="O1580:O1637" si="268">M1580+N1580</f>
        <v>540255</v>
      </c>
      <c r="P1580" s="259"/>
      <c r="Q1580" s="332">
        <f t="shared" si="264"/>
        <v>540255</v>
      </c>
      <c r="R1580" s="93">
        <f t="shared" si="265"/>
        <v>0</v>
      </c>
      <c r="S1580" s="93">
        <f t="shared" si="266"/>
        <v>540255</v>
      </c>
    </row>
    <row r="1581" spans="2:19" x14ac:dyDescent="0.2">
      <c r="B1581" s="205">
        <f t="shared" si="262"/>
        <v>64</v>
      </c>
      <c r="C1581" s="5"/>
      <c r="D1581" s="5"/>
      <c r="E1581" s="5"/>
      <c r="F1581" s="31"/>
      <c r="G1581" s="5"/>
      <c r="H1581" s="5" t="s">
        <v>427</v>
      </c>
      <c r="I1581" s="25"/>
      <c r="J1581" s="25"/>
      <c r="K1581" s="251">
        <f t="shared" si="267"/>
        <v>0</v>
      </c>
      <c r="L1581" s="259"/>
      <c r="M1581" s="349">
        <f>100000-50000-5000</f>
        <v>45000</v>
      </c>
      <c r="N1581" s="44"/>
      <c r="O1581" s="354">
        <f t="shared" si="268"/>
        <v>45000</v>
      </c>
      <c r="P1581" s="259"/>
      <c r="Q1581" s="332">
        <f t="shared" si="264"/>
        <v>45000</v>
      </c>
      <c r="R1581" s="93">
        <f t="shared" si="265"/>
        <v>0</v>
      </c>
      <c r="S1581" s="93">
        <f t="shared" si="266"/>
        <v>45000</v>
      </c>
    </row>
    <row r="1582" spans="2:19" ht="15" x14ac:dyDescent="0.25">
      <c r="B1582" s="205">
        <f t="shared" si="262"/>
        <v>65</v>
      </c>
      <c r="C1582" s="13"/>
      <c r="D1582" s="13"/>
      <c r="E1582" s="13">
        <v>2</v>
      </c>
      <c r="F1582" s="32"/>
      <c r="G1582" s="13"/>
      <c r="H1582" s="13" t="s">
        <v>402</v>
      </c>
      <c r="I1582" s="42">
        <f>I1583+I1584+I1585+I1590+I1591</f>
        <v>625100</v>
      </c>
      <c r="J1582" s="42">
        <f t="shared" ref="J1582" si="269">J1583+J1584+J1585+J1590+J1591</f>
        <v>0</v>
      </c>
      <c r="K1582" s="255">
        <f t="shared" si="267"/>
        <v>625100</v>
      </c>
      <c r="L1582" s="259"/>
      <c r="M1582" s="317">
        <f>M1591</f>
        <v>14800</v>
      </c>
      <c r="N1582" s="42">
        <f t="shared" ref="N1582" si="270">N1591</f>
        <v>0</v>
      </c>
      <c r="O1582" s="255">
        <f t="shared" si="268"/>
        <v>14800</v>
      </c>
      <c r="P1582" s="259"/>
      <c r="Q1582" s="312">
        <f t="shared" si="264"/>
        <v>639900</v>
      </c>
      <c r="R1582" s="99">
        <f t="shared" si="265"/>
        <v>0</v>
      </c>
      <c r="S1582" s="99">
        <f t="shared" si="266"/>
        <v>639900</v>
      </c>
    </row>
    <row r="1583" spans="2:19" x14ac:dyDescent="0.2">
      <c r="B1583" s="205">
        <f t="shared" si="262"/>
        <v>66</v>
      </c>
      <c r="C1583" s="10"/>
      <c r="D1583" s="10"/>
      <c r="E1583" s="10"/>
      <c r="F1583" s="29" t="s">
        <v>193</v>
      </c>
      <c r="G1583" s="10">
        <v>610</v>
      </c>
      <c r="H1583" s="10" t="s">
        <v>143</v>
      </c>
      <c r="I1583" s="27">
        <v>142300</v>
      </c>
      <c r="J1583" s="27"/>
      <c r="K1583" s="250">
        <f t="shared" si="267"/>
        <v>142300</v>
      </c>
      <c r="L1583" s="259"/>
      <c r="M1583" s="315"/>
      <c r="N1583" s="27"/>
      <c r="O1583" s="250">
        <f t="shared" si="268"/>
        <v>0</v>
      </c>
      <c r="P1583" s="259"/>
      <c r="Q1583" s="309">
        <f t="shared" si="264"/>
        <v>142300</v>
      </c>
      <c r="R1583" s="91">
        <f t="shared" si="265"/>
        <v>0</v>
      </c>
      <c r="S1583" s="91">
        <f t="shared" si="266"/>
        <v>142300</v>
      </c>
    </row>
    <row r="1584" spans="2:19" x14ac:dyDescent="0.2">
      <c r="B1584" s="205">
        <f t="shared" si="262"/>
        <v>67</v>
      </c>
      <c r="C1584" s="10"/>
      <c r="D1584" s="10"/>
      <c r="E1584" s="10"/>
      <c r="F1584" s="29" t="s">
        <v>193</v>
      </c>
      <c r="G1584" s="10">
        <v>620</v>
      </c>
      <c r="H1584" s="10" t="s">
        <v>136</v>
      </c>
      <c r="I1584" s="27">
        <v>68690</v>
      </c>
      <c r="J1584" s="27"/>
      <c r="K1584" s="250">
        <f t="shared" si="267"/>
        <v>68690</v>
      </c>
      <c r="L1584" s="259"/>
      <c r="M1584" s="315"/>
      <c r="N1584" s="27"/>
      <c r="O1584" s="250">
        <f t="shared" si="268"/>
        <v>0</v>
      </c>
      <c r="P1584" s="259"/>
      <c r="Q1584" s="309">
        <f t="shared" si="264"/>
        <v>68690</v>
      </c>
      <c r="R1584" s="91">
        <f t="shared" si="265"/>
        <v>0</v>
      </c>
      <c r="S1584" s="91">
        <f t="shared" si="266"/>
        <v>68690</v>
      </c>
    </row>
    <row r="1585" spans="2:19" x14ac:dyDescent="0.2">
      <c r="B1585" s="205">
        <f t="shared" si="262"/>
        <v>68</v>
      </c>
      <c r="C1585" s="10"/>
      <c r="D1585" s="10"/>
      <c r="E1585" s="10"/>
      <c r="F1585" s="29" t="s">
        <v>193</v>
      </c>
      <c r="G1585" s="10">
        <v>630</v>
      </c>
      <c r="H1585" s="10" t="s">
        <v>133</v>
      </c>
      <c r="I1585" s="27">
        <f>SUM(I1586:I1589)</f>
        <v>413760</v>
      </c>
      <c r="J1585" s="27">
        <f t="shared" ref="J1585" si="271">SUM(J1586:J1589)</f>
        <v>0</v>
      </c>
      <c r="K1585" s="250">
        <f t="shared" si="267"/>
        <v>413760</v>
      </c>
      <c r="L1585" s="259"/>
      <c r="M1585" s="315"/>
      <c r="N1585" s="27"/>
      <c r="O1585" s="250">
        <f t="shared" si="268"/>
        <v>0</v>
      </c>
      <c r="P1585" s="259"/>
      <c r="Q1585" s="309">
        <f t="shared" si="264"/>
        <v>413760</v>
      </c>
      <c r="R1585" s="91">
        <f t="shared" si="265"/>
        <v>0</v>
      </c>
      <c r="S1585" s="91">
        <f t="shared" si="266"/>
        <v>413760</v>
      </c>
    </row>
    <row r="1586" spans="2:19" x14ac:dyDescent="0.2">
      <c r="B1586" s="205">
        <f t="shared" si="262"/>
        <v>69</v>
      </c>
      <c r="C1586" s="4"/>
      <c r="D1586" s="4"/>
      <c r="E1586" s="4"/>
      <c r="F1586" s="30" t="s">
        <v>193</v>
      </c>
      <c r="G1586" s="4">
        <v>632</v>
      </c>
      <c r="H1586" s="4" t="s">
        <v>146</v>
      </c>
      <c r="I1586" s="23">
        <v>243000</v>
      </c>
      <c r="J1586" s="23"/>
      <c r="K1586" s="220">
        <f t="shared" si="267"/>
        <v>243000</v>
      </c>
      <c r="L1586" s="259"/>
      <c r="M1586" s="227"/>
      <c r="N1586" s="23"/>
      <c r="O1586" s="220">
        <f t="shared" si="268"/>
        <v>0</v>
      </c>
      <c r="P1586" s="259"/>
      <c r="Q1586" s="308">
        <f t="shared" si="264"/>
        <v>243000</v>
      </c>
      <c r="R1586" s="92">
        <f t="shared" si="265"/>
        <v>0</v>
      </c>
      <c r="S1586" s="92">
        <f t="shared" si="266"/>
        <v>243000</v>
      </c>
    </row>
    <row r="1587" spans="2:19" x14ac:dyDescent="0.2">
      <c r="B1587" s="205">
        <f t="shared" si="262"/>
        <v>70</v>
      </c>
      <c r="C1587" s="4"/>
      <c r="D1587" s="4"/>
      <c r="E1587" s="4"/>
      <c r="F1587" s="30" t="s">
        <v>193</v>
      </c>
      <c r="G1587" s="4">
        <v>633</v>
      </c>
      <c r="H1587" s="4" t="s">
        <v>137</v>
      </c>
      <c r="I1587" s="23">
        <v>54750</v>
      </c>
      <c r="J1587" s="23"/>
      <c r="K1587" s="220">
        <f t="shared" si="267"/>
        <v>54750</v>
      </c>
      <c r="L1587" s="259"/>
      <c r="M1587" s="227"/>
      <c r="N1587" s="23"/>
      <c r="O1587" s="220">
        <f t="shared" si="268"/>
        <v>0</v>
      </c>
      <c r="P1587" s="259"/>
      <c r="Q1587" s="308">
        <f t="shared" si="264"/>
        <v>54750</v>
      </c>
      <c r="R1587" s="92">
        <f t="shared" si="265"/>
        <v>0</v>
      </c>
      <c r="S1587" s="92">
        <f t="shared" si="266"/>
        <v>54750</v>
      </c>
    </row>
    <row r="1588" spans="2:19" x14ac:dyDescent="0.2">
      <c r="B1588" s="205">
        <f t="shared" si="262"/>
        <v>71</v>
      </c>
      <c r="C1588" s="4"/>
      <c r="D1588" s="4"/>
      <c r="E1588" s="4"/>
      <c r="F1588" s="30" t="s">
        <v>193</v>
      </c>
      <c r="G1588" s="4">
        <v>635</v>
      </c>
      <c r="H1588" s="4" t="s">
        <v>145</v>
      </c>
      <c r="I1588" s="23">
        <f>28000+5100</f>
        <v>33100</v>
      </c>
      <c r="J1588" s="23"/>
      <c r="K1588" s="220">
        <f t="shared" si="267"/>
        <v>33100</v>
      </c>
      <c r="L1588" s="259"/>
      <c r="M1588" s="227"/>
      <c r="N1588" s="23"/>
      <c r="O1588" s="220">
        <f t="shared" si="268"/>
        <v>0</v>
      </c>
      <c r="P1588" s="259"/>
      <c r="Q1588" s="308">
        <f t="shared" si="264"/>
        <v>33100</v>
      </c>
      <c r="R1588" s="92">
        <f t="shared" si="265"/>
        <v>0</v>
      </c>
      <c r="S1588" s="92">
        <f t="shared" si="266"/>
        <v>33100</v>
      </c>
    </row>
    <row r="1589" spans="2:19" x14ac:dyDescent="0.2">
      <c r="B1589" s="205">
        <f t="shared" si="262"/>
        <v>72</v>
      </c>
      <c r="C1589" s="4"/>
      <c r="D1589" s="4"/>
      <c r="E1589" s="4"/>
      <c r="F1589" s="30" t="s">
        <v>193</v>
      </c>
      <c r="G1589" s="4">
        <v>637</v>
      </c>
      <c r="H1589" s="4" t="s">
        <v>134</v>
      </c>
      <c r="I1589" s="23">
        <v>82910</v>
      </c>
      <c r="J1589" s="23"/>
      <c r="K1589" s="220">
        <f t="shared" si="267"/>
        <v>82910</v>
      </c>
      <c r="L1589" s="259"/>
      <c r="M1589" s="227"/>
      <c r="N1589" s="23"/>
      <c r="O1589" s="220">
        <f t="shared" si="268"/>
        <v>0</v>
      </c>
      <c r="P1589" s="259"/>
      <c r="Q1589" s="308">
        <f t="shared" si="264"/>
        <v>82910</v>
      </c>
      <c r="R1589" s="92">
        <f t="shared" si="265"/>
        <v>0</v>
      </c>
      <c r="S1589" s="92">
        <f t="shared" si="266"/>
        <v>82910</v>
      </c>
    </row>
    <row r="1590" spans="2:19" x14ac:dyDescent="0.2">
      <c r="B1590" s="205">
        <f t="shared" si="262"/>
        <v>73</v>
      </c>
      <c r="C1590" s="10"/>
      <c r="D1590" s="10"/>
      <c r="E1590" s="10"/>
      <c r="F1590" s="29" t="s">
        <v>193</v>
      </c>
      <c r="G1590" s="10">
        <v>640</v>
      </c>
      <c r="H1590" s="10" t="s">
        <v>141</v>
      </c>
      <c r="I1590" s="27">
        <v>350</v>
      </c>
      <c r="J1590" s="27"/>
      <c r="K1590" s="250">
        <f t="shared" si="267"/>
        <v>350</v>
      </c>
      <c r="L1590" s="259"/>
      <c r="M1590" s="315"/>
      <c r="N1590" s="27"/>
      <c r="O1590" s="250">
        <f t="shared" si="268"/>
        <v>0</v>
      </c>
      <c r="P1590" s="259"/>
      <c r="Q1590" s="309">
        <f t="shared" si="264"/>
        <v>350</v>
      </c>
      <c r="R1590" s="91">
        <f t="shared" si="265"/>
        <v>0</v>
      </c>
      <c r="S1590" s="91">
        <f t="shared" si="266"/>
        <v>350</v>
      </c>
    </row>
    <row r="1591" spans="2:19" x14ac:dyDescent="0.2">
      <c r="B1591" s="205">
        <f t="shared" si="262"/>
        <v>74</v>
      </c>
      <c r="C1591" s="10"/>
      <c r="D1591" s="10"/>
      <c r="E1591" s="10"/>
      <c r="F1591" s="29" t="s">
        <v>193</v>
      </c>
      <c r="G1591" s="10">
        <v>710</v>
      </c>
      <c r="H1591" s="10" t="s">
        <v>188</v>
      </c>
      <c r="I1591" s="27"/>
      <c r="J1591" s="27"/>
      <c r="K1591" s="250">
        <f t="shared" si="267"/>
        <v>0</v>
      </c>
      <c r="L1591" s="259"/>
      <c r="M1591" s="315">
        <f>M1592</f>
        <v>14800</v>
      </c>
      <c r="N1591" s="27">
        <f t="shared" ref="N1591" si="272">N1592</f>
        <v>0</v>
      </c>
      <c r="O1591" s="250">
        <f t="shared" si="268"/>
        <v>14800</v>
      </c>
      <c r="P1591" s="259"/>
      <c r="Q1591" s="309">
        <f t="shared" si="264"/>
        <v>14800</v>
      </c>
      <c r="R1591" s="91">
        <f t="shared" si="265"/>
        <v>0</v>
      </c>
      <c r="S1591" s="91">
        <f t="shared" si="266"/>
        <v>14800</v>
      </c>
    </row>
    <row r="1592" spans="2:19" x14ac:dyDescent="0.2">
      <c r="B1592" s="205">
        <f t="shared" si="262"/>
        <v>75</v>
      </c>
      <c r="C1592" s="4"/>
      <c r="D1592" s="4"/>
      <c r="E1592" s="4"/>
      <c r="F1592" s="30" t="s">
        <v>193</v>
      </c>
      <c r="G1592" s="4">
        <v>713</v>
      </c>
      <c r="H1592" s="4" t="s">
        <v>235</v>
      </c>
      <c r="I1592" s="23"/>
      <c r="J1592" s="23"/>
      <c r="K1592" s="220">
        <f t="shared" si="267"/>
        <v>0</v>
      </c>
      <c r="L1592" s="259"/>
      <c r="M1592" s="227">
        <f>M1593+M1594</f>
        <v>14800</v>
      </c>
      <c r="N1592" s="23">
        <f t="shared" ref="N1592" si="273">N1593+N1594</f>
        <v>0</v>
      </c>
      <c r="O1592" s="220">
        <f t="shared" si="268"/>
        <v>14800</v>
      </c>
      <c r="P1592" s="259"/>
      <c r="Q1592" s="308">
        <f t="shared" si="264"/>
        <v>14800</v>
      </c>
      <c r="R1592" s="92">
        <f t="shared" si="265"/>
        <v>0</v>
      </c>
      <c r="S1592" s="92">
        <f t="shared" si="266"/>
        <v>14800</v>
      </c>
    </row>
    <row r="1593" spans="2:19" x14ac:dyDescent="0.2">
      <c r="B1593" s="205">
        <f t="shared" si="262"/>
        <v>76</v>
      </c>
      <c r="C1593" s="5"/>
      <c r="D1593" s="5"/>
      <c r="E1593" s="5"/>
      <c r="F1593" s="35"/>
      <c r="G1593" s="5"/>
      <c r="H1593" s="5" t="s">
        <v>450</v>
      </c>
      <c r="I1593" s="25"/>
      <c r="J1593" s="25"/>
      <c r="K1593" s="251">
        <f t="shared" si="267"/>
        <v>0</v>
      </c>
      <c r="L1593" s="259"/>
      <c r="M1593" s="337">
        <v>3000</v>
      </c>
      <c r="N1593" s="25"/>
      <c r="O1593" s="251">
        <f t="shared" si="268"/>
        <v>3000</v>
      </c>
      <c r="P1593" s="259"/>
      <c r="Q1593" s="332">
        <f t="shared" si="264"/>
        <v>3000</v>
      </c>
      <c r="R1593" s="93">
        <f t="shared" si="265"/>
        <v>0</v>
      </c>
      <c r="S1593" s="93">
        <f t="shared" si="266"/>
        <v>3000</v>
      </c>
    </row>
    <row r="1594" spans="2:19" x14ac:dyDescent="0.2">
      <c r="B1594" s="205">
        <f t="shared" si="262"/>
        <v>77</v>
      </c>
      <c r="C1594" s="5"/>
      <c r="D1594" s="5"/>
      <c r="E1594" s="5"/>
      <c r="F1594" s="35"/>
      <c r="G1594" s="5"/>
      <c r="H1594" s="5" t="s">
        <v>599</v>
      </c>
      <c r="I1594" s="25"/>
      <c r="J1594" s="25"/>
      <c r="K1594" s="251">
        <f t="shared" si="267"/>
        <v>0</v>
      </c>
      <c r="L1594" s="259"/>
      <c r="M1594" s="337">
        <f>13200-1400</f>
        <v>11800</v>
      </c>
      <c r="N1594" s="25"/>
      <c r="O1594" s="251">
        <f t="shared" si="268"/>
        <v>11800</v>
      </c>
      <c r="P1594" s="259"/>
      <c r="Q1594" s="332">
        <f t="shared" si="264"/>
        <v>11800</v>
      </c>
      <c r="R1594" s="93">
        <f t="shared" si="265"/>
        <v>0</v>
      </c>
      <c r="S1594" s="93">
        <f t="shared" si="266"/>
        <v>11800</v>
      </c>
    </row>
    <row r="1595" spans="2:19" ht="15" x14ac:dyDescent="0.25">
      <c r="B1595" s="205">
        <f t="shared" si="262"/>
        <v>78</v>
      </c>
      <c r="C1595" s="243"/>
      <c r="D1595" s="243">
        <v>5</v>
      </c>
      <c r="E1595" s="508" t="s">
        <v>266</v>
      </c>
      <c r="F1595" s="509"/>
      <c r="G1595" s="509"/>
      <c r="H1595" s="510"/>
      <c r="I1595" s="41">
        <f>I1596</f>
        <v>46600</v>
      </c>
      <c r="J1595" s="41">
        <f t="shared" ref="J1595" si="274">J1596</f>
        <v>0</v>
      </c>
      <c r="K1595" s="249">
        <f t="shared" si="267"/>
        <v>46600</v>
      </c>
      <c r="L1595" s="259"/>
      <c r="M1595" s="316">
        <v>0</v>
      </c>
      <c r="N1595" s="41"/>
      <c r="O1595" s="249">
        <f t="shared" si="268"/>
        <v>0</v>
      </c>
      <c r="P1595" s="259"/>
      <c r="Q1595" s="310">
        <f t="shared" si="264"/>
        <v>46600</v>
      </c>
      <c r="R1595" s="90">
        <f t="shared" si="265"/>
        <v>0</v>
      </c>
      <c r="S1595" s="90">
        <f t="shared" si="266"/>
        <v>46600</v>
      </c>
    </row>
    <row r="1596" spans="2:19" ht="15" x14ac:dyDescent="0.25">
      <c r="B1596" s="205">
        <f t="shared" si="262"/>
        <v>79</v>
      </c>
      <c r="C1596" s="13"/>
      <c r="D1596" s="13"/>
      <c r="E1596" s="13">
        <v>2</v>
      </c>
      <c r="F1596" s="32"/>
      <c r="G1596" s="13"/>
      <c r="H1596" s="13" t="s">
        <v>18</v>
      </c>
      <c r="I1596" s="42">
        <f>I1597+I1598+I1599</f>
        <v>46600</v>
      </c>
      <c r="J1596" s="42">
        <f t="shared" ref="J1596" si="275">J1597+J1598+J1599</f>
        <v>0</v>
      </c>
      <c r="K1596" s="255">
        <f t="shared" si="267"/>
        <v>46600</v>
      </c>
      <c r="L1596" s="259"/>
      <c r="M1596" s="317"/>
      <c r="N1596" s="42"/>
      <c r="O1596" s="255">
        <f t="shared" si="268"/>
        <v>0</v>
      </c>
      <c r="P1596" s="259"/>
      <c r="Q1596" s="312">
        <f t="shared" si="264"/>
        <v>46600</v>
      </c>
      <c r="R1596" s="99">
        <f t="shared" si="265"/>
        <v>0</v>
      </c>
      <c r="S1596" s="99">
        <f t="shared" si="266"/>
        <v>46600</v>
      </c>
    </row>
    <row r="1597" spans="2:19" x14ac:dyDescent="0.2">
      <c r="B1597" s="205">
        <f t="shared" si="262"/>
        <v>80</v>
      </c>
      <c r="C1597" s="10"/>
      <c r="D1597" s="10"/>
      <c r="E1597" s="10"/>
      <c r="F1597" s="29" t="s">
        <v>193</v>
      </c>
      <c r="G1597" s="10">
        <v>610</v>
      </c>
      <c r="H1597" s="10" t="s">
        <v>143</v>
      </c>
      <c r="I1597" s="27">
        <v>9500</v>
      </c>
      <c r="J1597" s="27"/>
      <c r="K1597" s="250">
        <f t="shared" si="267"/>
        <v>9500</v>
      </c>
      <c r="L1597" s="259"/>
      <c r="M1597" s="315"/>
      <c r="N1597" s="27"/>
      <c r="O1597" s="250">
        <f t="shared" si="268"/>
        <v>0</v>
      </c>
      <c r="P1597" s="259"/>
      <c r="Q1597" s="309">
        <f t="shared" si="264"/>
        <v>9500</v>
      </c>
      <c r="R1597" s="91">
        <f t="shared" si="265"/>
        <v>0</v>
      </c>
      <c r="S1597" s="91">
        <f t="shared" si="266"/>
        <v>9500</v>
      </c>
    </row>
    <row r="1598" spans="2:19" x14ac:dyDescent="0.2">
      <c r="B1598" s="205">
        <f t="shared" si="262"/>
        <v>81</v>
      </c>
      <c r="C1598" s="10"/>
      <c r="D1598" s="10"/>
      <c r="E1598" s="10"/>
      <c r="F1598" s="29" t="s">
        <v>193</v>
      </c>
      <c r="G1598" s="10">
        <v>620</v>
      </c>
      <c r="H1598" s="10" t="s">
        <v>136</v>
      </c>
      <c r="I1598" s="27">
        <v>3400</v>
      </c>
      <c r="J1598" s="27"/>
      <c r="K1598" s="250">
        <f t="shared" si="267"/>
        <v>3400</v>
      </c>
      <c r="L1598" s="259"/>
      <c r="M1598" s="315"/>
      <c r="N1598" s="27"/>
      <c r="O1598" s="250">
        <f t="shared" si="268"/>
        <v>0</v>
      </c>
      <c r="P1598" s="259"/>
      <c r="Q1598" s="309">
        <f t="shared" si="264"/>
        <v>3400</v>
      </c>
      <c r="R1598" s="91">
        <f t="shared" si="265"/>
        <v>0</v>
      </c>
      <c r="S1598" s="91">
        <f t="shared" si="266"/>
        <v>3400</v>
      </c>
    </row>
    <row r="1599" spans="2:19" x14ac:dyDescent="0.2">
      <c r="B1599" s="205">
        <f t="shared" si="262"/>
        <v>82</v>
      </c>
      <c r="C1599" s="10"/>
      <c r="D1599" s="10"/>
      <c r="E1599" s="10"/>
      <c r="F1599" s="29" t="s">
        <v>193</v>
      </c>
      <c r="G1599" s="10">
        <v>630</v>
      </c>
      <c r="H1599" s="10" t="s">
        <v>133</v>
      </c>
      <c r="I1599" s="27">
        <f>I1604+I1603+I1602+I1601+I1600</f>
        <v>33700</v>
      </c>
      <c r="J1599" s="27">
        <f t="shared" ref="J1599" si="276">J1604+J1603+J1602+J1601+J1600</f>
        <v>0</v>
      </c>
      <c r="K1599" s="250">
        <f t="shared" si="267"/>
        <v>33700</v>
      </c>
      <c r="L1599" s="259"/>
      <c r="M1599" s="315"/>
      <c r="N1599" s="27"/>
      <c r="O1599" s="250">
        <f t="shared" si="268"/>
        <v>0</v>
      </c>
      <c r="P1599" s="259"/>
      <c r="Q1599" s="309">
        <f t="shared" si="264"/>
        <v>33700</v>
      </c>
      <c r="R1599" s="91">
        <f t="shared" si="265"/>
        <v>0</v>
      </c>
      <c r="S1599" s="91">
        <f t="shared" si="266"/>
        <v>33700</v>
      </c>
    </row>
    <row r="1600" spans="2:19" x14ac:dyDescent="0.2">
      <c r="B1600" s="205">
        <f t="shared" si="262"/>
        <v>83</v>
      </c>
      <c r="C1600" s="4"/>
      <c r="D1600" s="4"/>
      <c r="E1600" s="4"/>
      <c r="F1600" s="30" t="s">
        <v>193</v>
      </c>
      <c r="G1600" s="4">
        <v>632</v>
      </c>
      <c r="H1600" s="4" t="s">
        <v>146</v>
      </c>
      <c r="I1600" s="23">
        <v>10500</v>
      </c>
      <c r="J1600" s="23"/>
      <c r="K1600" s="220">
        <f t="shared" si="267"/>
        <v>10500</v>
      </c>
      <c r="L1600" s="259"/>
      <c r="M1600" s="227"/>
      <c r="N1600" s="23"/>
      <c r="O1600" s="220">
        <f t="shared" si="268"/>
        <v>0</v>
      </c>
      <c r="P1600" s="259"/>
      <c r="Q1600" s="308">
        <f t="shared" si="264"/>
        <v>10500</v>
      </c>
      <c r="R1600" s="92">
        <f t="shared" si="265"/>
        <v>0</v>
      </c>
      <c r="S1600" s="92">
        <f t="shared" si="266"/>
        <v>10500</v>
      </c>
    </row>
    <row r="1601" spans="2:19" x14ac:dyDescent="0.2">
      <c r="B1601" s="205">
        <f t="shared" si="262"/>
        <v>84</v>
      </c>
      <c r="C1601" s="4"/>
      <c r="D1601" s="4"/>
      <c r="E1601" s="4"/>
      <c r="F1601" s="30" t="s">
        <v>193</v>
      </c>
      <c r="G1601" s="4">
        <v>633</v>
      </c>
      <c r="H1601" s="4" t="s">
        <v>137</v>
      </c>
      <c r="I1601" s="23">
        <v>4000</v>
      </c>
      <c r="J1601" s="23"/>
      <c r="K1601" s="220">
        <f t="shared" si="267"/>
        <v>4000</v>
      </c>
      <c r="L1601" s="259"/>
      <c r="M1601" s="227"/>
      <c r="N1601" s="23"/>
      <c r="O1601" s="220">
        <f t="shared" si="268"/>
        <v>0</v>
      </c>
      <c r="P1601" s="259"/>
      <c r="Q1601" s="308">
        <f t="shared" si="264"/>
        <v>4000</v>
      </c>
      <c r="R1601" s="92">
        <f t="shared" si="265"/>
        <v>0</v>
      </c>
      <c r="S1601" s="92">
        <f t="shared" si="266"/>
        <v>4000</v>
      </c>
    </row>
    <row r="1602" spans="2:19" x14ac:dyDescent="0.2">
      <c r="B1602" s="205">
        <f t="shared" si="262"/>
        <v>85</v>
      </c>
      <c r="C1602" s="4"/>
      <c r="D1602" s="4"/>
      <c r="E1602" s="4"/>
      <c r="F1602" s="30" t="s">
        <v>193</v>
      </c>
      <c r="G1602" s="4">
        <v>634</v>
      </c>
      <c r="H1602" s="4" t="s">
        <v>144</v>
      </c>
      <c r="I1602" s="23">
        <v>200</v>
      </c>
      <c r="J1602" s="23"/>
      <c r="K1602" s="220">
        <f t="shared" si="267"/>
        <v>200</v>
      </c>
      <c r="L1602" s="259"/>
      <c r="M1602" s="227"/>
      <c r="N1602" s="23"/>
      <c r="O1602" s="220">
        <f t="shared" si="268"/>
        <v>0</v>
      </c>
      <c r="P1602" s="259"/>
      <c r="Q1602" s="308">
        <f t="shared" si="264"/>
        <v>200</v>
      </c>
      <c r="R1602" s="92">
        <f t="shared" si="265"/>
        <v>0</v>
      </c>
      <c r="S1602" s="92">
        <f t="shared" si="266"/>
        <v>200</v>
      </c>
    </row>
    <row r="1603" spans="2:19" x14ac:dyDescent="0.2">
      <c r="B1603" s="205">
        <f t="shared" si="262"/>
        <v>86</v>
      </c>
      <c r="C1603" s="4"/>
      <c r="D1603" s="4"/>
      <c r="E1603" s="4"/>
      <c r="F1603" s="30" t="s">
        <v>193</v>
      </c>
      <c r="G1603" s="4">
        <v>635</v>
      </c>
      <c r="H1603" s="4" t="s">
        <v>145</v>
      </c>
      <c r="I1603" s="23">
        <f>4000+1500+12000</f>
        <v>17500</v>
      </c>
      <c r="J1603" s="23"/>
      <c r="K1603" s="220">
        <f t="shared" si="267"/>
        <v>17500</v>
      </c>
      <c r="L1603" s="259"/>
      <c r="M1603" s="227"/>
      <c r="N1603" s="23"/>
      <c r="O1603" s="220">
        <f t="shared" si="268"/>
        <v>0</v>
      </c>
      <c r="P1603" s="259"/>
      <c r="Q1603" s="308">
        <f t="shared" si="264"/>
        <v>17500</v>
      </c>
      <c r="R1603" s="92">
        <f t="shared" si="265"/>
        <v>0</v>
      </c>
      <c r="S1603" s="92">
        <f t="shared" si="266"/>
        <v>17500</v>
      </c>
    </row>
    <row r="1604" spans="2:19" x14ac:dyDescent="0.2">
      <c r="B1604" s="205">
        <f t="shared" si="262"/>
        <v>87</v>
      </c>
      <c r="C1604" s="4"/>
      <c r="D1604" s="4"/>
      <c r="E1604" s="4"/>
      <c r="F1604" s="30" t="s">
        <v>193</v>
      </c>
      <c r="G1604" s="4">
        <v>637</v>
      </c>
      <c r="H1604" s="4" t="s">
        <v>134</v>
      </c>
      <c r="I1604" s="23">
        <v>1500</v>
      </c>
      <c r="J1604" s="23"/>
      <c r="K1604" s="220">
        <f t="shared" si="267"/>
        <v>1500</v>
      </c>
      <c r="L1604" s="259"/>
      <c r="M1604" s="227"/>
      <c r="N1604" s="23"/>
      <c r="O1604" s="220">
        <f t="shared" si="268"/>
        <v>0</v>
      </c>
      <c r="P1604" s="259"/>
      <c r="Q1604" s="308">
        <f t="shared" si="264"/>
        <v>1500</v>
      </c>
      <c r="R1604" s="92">
        <f t="shared" si="265"/>
        <v>0</v>
      </c>
      <c r="S1604" s="92">
        <f t="shared" si="266"/>
        <v>1500</v>
      </c>
    </row>
    <row r="1605" spans="2:19" ht="15" x14ac:dyDescent="0.2">
      <c r="B1605" s="205">
        <f t="shared" si="262"/>
        <v>88</v>
      </c>
      <c r="C1605" s="242">
        <v>4</v>
      </c>
      <c r="D1605" s="511" t="s">
        <v>391</v>
      </c>
      <c r="E1605" s="509"/>
      <c r="F1605" s="509"/>
      <c r="G1605" s="509"/>
      <c r="H1605" s="510"/>
      <c r="I1605" s="147">
        <f>I1606+I1623</f>
        <v>67290</v>
      </c>
      <c r="J1605" s="147">
        <f>J1606+J1623</f>
        <v>0</v>
      </c>
      <c r="K1605" s="345">
        <f t="shared" si="267"/>
        <v>67290</v>
      </c>
      <c r="L1605" s="259"/>
      <c r="M1605" s="318">
        <f>M1606+M1623</f>
        <v>481894</v>
      </c>
      <c r="N1605" s="40">
        <f>N1606+N1623</f>
        <v>1077974</v>
      </c>
      <c r="O1605" s="248">
        <f t="shared" si="268"/>
        <v>1559868</v>
      </c>
      <c r="P1605" s="259"/>
      <c r="Q1605" s="313">
        <f t="shared" si="264"/>
        <v>549184</v>
      </c>
      <c r="R1605" s="89">
        <f t="shared" si="265"/>
        <v>1077974</v>
      </c>
      <c r="S1605" s="89">
        <f t="shared" si="266"/>
        <v>1627158</v>
      </c>
    </row>
    <row r="1606" spans="2:19" x14ac:dyDescent="0.2">
      <c r="B1606" s="205">
        <f t="shared" si="262"/>
        <v>89</v>
      </c>
      <c r="C1606" s="10"/>
      <c r="D1606" s="10"/>
      <c r="E1606" s="10"/>
      <c r="F1606" s="29" t="s">
        <v>193</v>
      </c>
      <c r="G1606" s="10">
        <v>710</v>
      </c>
      <c r="H1606" s="10" t="s">
        <v>188</v>
      </c>
      <c r="I1606" s="27"/>
      <c r="J1606" s="27"/>
      <c r="K1606" s="250">
        <f t="shared" si="267"/>
        <v>0</v>
      </c>
      <c r="L1606" s="259"/>
      <c r="M1606" s="315">
        <f>M1607+M1613</f>
        <v>459648</v>
      </c>
      <c r="N1606" s="27">
        <f>N1607+N1613+N1620</f>
        <v>1077974</v>
      </c>
      <c r="O1606" s="250">
        <f t="shared" si="268"/>
        <v>1537622</v>
      </c>
      <c r="P1606" s="259"/>
      <c r="Q1606" s="309">
        <f t="shared" si="264"/>
        <v>459648</v>
      </c>
      <c r="R1606" s="91">
        <f t="shared" si="265"/>
        <v>1077974</v>
      </c>
      <c r="S1606" s="91">
        <f t="shared" si="266"/>
        <v>1537622</v>
      </c>
    </row>
    <row r="1607" spans="2:19" x14ac:dyDescent="0.2">
      <c r="B1607" s="205">
        <f t="shared" si="262"/>
        <v>90</v>
      </c>
      <c r="C1607" s="4"/>
      <c r="D1607" s="4"/>
      <c r="E1607" s="4"/>
      <c r="F1607" s="30" t="s">
        <v>193</v>
      </c>
      <c r="G1607" s="4">
        <v>716</v>
      </c>
      <c r="H1607" s="4" t="s">
        <v>232</v>
      </c>
      <c r="I1607" s="23"/>
      <c r="J1607" s="23"/>
      <c r="K1607" s="220">
        <f t="shared" si="267"/>
        <v>0</v>
      </c>
      <c r="L1607" s="259"/>
      <c r="M1607" s="227">
        <f>SUM(M1608:M1612)</f>
        <v>58300</v>
      </c>
      <c r="N1607" s="23">
        <f t="shared" ref="N1607" si="277">SUM(N1608:N1612)</f>
        <v>0</v>
      </c>
      <c r="O1607" s="220">
        <f t="shared" si="268"/>
        <v>58300</v>
      </c>
      <c r="P1607" s="259"/>
      <c r="Q1607" s="308">
        <f t="shared" si="264"/>
        <v>58300</v>
      </c>
      <c r="R1607" s="92">
        <f t="shared" si="265"/>
        <v>0</v>
      </c>
      <c r="S1607" s="92">
        <f t="shared" si="266"/>
        <v>58300</v>
      </c>
    </row>
    <row r="1608" spans="2:19" x14ac:dyDescent="0.2">
      <c r="B1608" s="205">
        <f t="shared" si="262"/>
        <v>91</v>
      </c>
      <c r="C1608" s="5"/>
      <c r="D1608" s="5"/>
      <c r="E1608" s="5"/>
      <c r="F1608" s="31"/>
      <c r="G1608" s="5"/>
      <c r="H1608" s="5" t="s">
        <v>475</v>
      </c>
      <c r="I1608" s="25"/>
      <c r="J1608" s="25"/>
      <c r="K1608" s="251">
        <f t="shared" si="267"/>
        <v>0</v>
      </c>
      <c r="L1608" s="259"/>
      <c r="M1608" s="337">
        <v>23000</v>
      </c>
      <c r="N1608" s="25"/>
      <c r="O1608" s="251">
        <f t="shared" si="268"/>
        <v>23000</v>
      </c>
      <c r="P1608" s="259"/>
      <c r="Q1608" s="332">
        <f t="shared" si="264"/>
        <v>23000</v>
      </c>
      <c r="R1608" s="93">
        <f t="shared" si="265"/>
        <v>0</v>
      </c>
      <c r="S1608" s="93">
        <f t="shared" si="266"/>
        <v>23000</v>
      </c>
    </row>
    <row r="1609" spans="2:19" x14ac:dyDescent="0.2">
      <c r="B1609" s="205">
        <f t="shared" si="262"/>
        <v>92</v>
      </c>
      <c r="C1609" s="5"/>
      <c r="D1609" s="5"/>
      <c r="E1609" s="5"/>
      <c r="F1609" s="31"/>
      <c r="G1609" s="5"/>
      <c r="H1609" s="5" t="s">
        <v>368</v>
      </c>
      <c r="I1609" s="25"/>
      <c r="J1609" s="25"/>
      <c r="K1609" s="251">
        <f t="shared" si="267"/>
        <v>0</v>
      </c>
      <c r="L1609" s="259"/>
      <c r="M1609" s="337">
        <f>2000+300</f>
        <v>2300</v>
      </c>
      <c r="N1609" s="25"/>
      <c r="O1609" s="251">
        <f t="shared" si="268"/>
        <v>2300</v>
      </c>
      <c r="P1609" s="259"/>
      <c r="Q1609" s="332">
        <f t="shared" si="264"/>
        <v>2300</v>
      </c>
      <c r="R1609" s="93">
        <f t="shared" si="265"/>
        <v>0</v>
      </c>
      <c r="S1609" s="93">
        <f t="shared" si="266"/>
        <v>2300</v>
      </c>
    </row>
    <row r="1610" spans="2:19" x14ac:dyDescent="0.2">
      <c r="B1610" s="205">
        <f t="shared" si="262"/>
        <v>93</v>
      </c>
      <c r="C1610" s="5"/>
      <c r="D1610" s="5"/>
      <c r="E1610" s="5"/>
      <c r="F1610" s="31"/>
      <c r="G1610" s="5"/>
      <c r="H1610" s="5" t="s">
        <v>473</v>
      </c>
      <c r="I1610" s="25"/>
      <c r="J1610" s="25"/>
      <c r="K1610" s="251">
        <f t="shared" si="267"/>
        <v>0</v>
      </c>
      <c r="L1610" s="259"/>
      <c r="M1610" s="337">
        <v>3000</v>
      </c>
      <c r="N1610" s="25"/>
      <c r="O1610" s="251">
        <f t="shared" si="268"/>
        <v>3000</v>
      </c>
      <c r="P1610" s="259"/>
      <c r="Q1610" s="332">
        <f t="shared" si="264"/>
        <v>3000</v>
      </c>
      <c r="R1610" s="93">
        <f t="shared" si="265"/>
        <v>0</v>
      </c>
      <c r="S1610" s="93">
        <f t="shared" si="266"/>
        <v>3000</v>
      </c>
    </row>
    <row r="1611" spans="2:19" x14ac:dyDescent="0.2">
      <c r="B1611" s="205">
        <f t="shared" si="262"/>
        <v>94</v>
      </c>
      <c r="C1611" s="5"/>
      <c r="D1611" s="5"/>
      <c r="E1611" s="5"/>
      <c r="F1611" s="31"/>
      <c r="G1611" s="5"/>
      <c r="H1611" s="5" t="s">
        <v>531</v>
      </c>
      <c r="I1611" s="25"/>
      <c r="J1611" s="25"/>
      <c r="K1611" s="251">
        <f t="shared" si="267"/>
        <v>0</v>
      </c>
      <c r="L1611" s="259"/>
      <c r="M1611" s="337">
        <f>15000+5000</f>
        <v>20000</v>
      </c>
      <c r="N1611" s="25"/>
      <c r="O1611" s="251">
        <f t="shared" si="268"/>
        <v>20000</v>
      </c>
      <c r="P1611" s="259"/>
      <c r="Q1611" s="332">
        <f t="shared" si="264"/>
        <v>20000</v>
      </c>
      <c r="R1611" s="93">
        <f t="shared" si="265"/>
        <v>0</v>
      </c>
      <c r="S1611" s="93">
        <f t="shared" si="266"/>
        <v>20000</v>
      </c>
    </row>
    <row r="1612" spans="2:19" x14ac:dyDescent="0.2">
      <c r="B1612" s="205">
        <f t="shared" si="262"/>
        <v>95</v>
      </c>
      <c r="C1612" s="5"/>
      <c r="D1612" s="5"/>
      <c r="E1612" s="5"/>
      <c r="F1612" s="31"/>
      <c r="G1612" s="5"/>
      <c r="H1612" s="5" t="s">
        <v>536</v>
      </c>
      <c r="I1612" s="25"/>
      <c r="J1612" s="25"/>
      <c r="K1612" s="251">
        <f t="shared" si="267"/>
        <v>0</v>
      </c>
      <c r="L1612" s="259"/>
      <c r="M1612" s="337">
        <v>10000</v>
      </c>
      <c r="N1612" s="25"/>
      <c r="O1612" s="251">
        <f t="shared" si="268"/>
        <v>10000</v>
      </c>
      <c r="P1612" s="259"/>
      <c r="Q1612" s="332">
        <f t="shared" si="264"/>
        <v>10000</v>
      </c>
      <c r="R1612" s="93">
        <f t="shared" si="265"/>
        <v>0</v>
      </c>
      <c r="S1612" s="93">
        <f t="shared" si="266"/>
        <v>10000</v>
      </c>
    </row>
    <row r="1613" spans="2:19" x14ac:dyDescent="0.2">
      <c r="B1613" s="205">
        <f t="shared" si="262"/>
        <v>96</v>
      </c>
      <c r="C1613" s="4"/>
      <c r="D1613" s="4"/>
      <c r="E1613" s="4"/>
      <c r="F1613" s="30" t="s">
        <v>193</v>
      </c>
      <c r="G1613" s="4">
        <v>717</v>
      </c>
      <c r="H1613" s="4" t="s">
        <v>198</v>
      </c>
      <c r="I1613" s="23"/>
      <c r="J1613" s="23"/>
      <c r="K1613" s="220">
        <f t="shared" si="267"/>
        <v>0</v>
      </c>
      <c r="L1613" s="259"/>
      <c r="M1613" s="227">
        <f>SUM(M1614:M1619)</f>
        <v>401348</v>
      </c>
      <c r="N1613" s="23">
        <f>SUM(N1614:N1619)</f>
        <v>0</v>
      </c>
      <c r="O1613" s="220">
        <f t="shared" si="268"/>
        <v>401348</v>
      </c>
      <c r="P1613" s="259"/>
      <c r="Q1613" s="308">
        <f t="shared" si="264"/>
        <v>401348</v>
      </c>
      <c r="R1613" s="92">
        <f t="shared" si="265"/>
        <v>0</v>
      </c>
      <c r="S1613" s="92">
        <f t="shared" si="266"/>
        <v>401348</v>
      </c>
    </row>
    <row r="1614" spans="2:19" x14ac:dyDescent="0.2">
      <c r="B1614" s="205">
        <f t="shared" si="262"/>
        <v>97</v>
      </c>
      <c r="C1614" s="5"/>
      <c r="D1614" s="5"/>
      <c r="E1614" s="5"/>
      <c r="F1614" s="31"/>
      <c r="G1614" s="5"/>
      <c r="H1614" s="5" t="s">
        <v>298</v>
      </c>
      <c r="I1614" s="25"/>
      <c r="J1614" s="25"/>
      <c r="K1614" s="251">
        <f t="shared" si="267"/>
        <v>0</v>
      </c>
      <c r="L1614" s="259"/>
      <c r="M1614" s="337">
        <f>35760-120-2000</f>
        <v>33640</v>
      </c>
      <c r="N1614" s="25"/>
      <c r="O1614" s="251">
        <f t="shared" si="268"/>
        <v>33640</v>
      </c>
      <c r="P1614" s="259"/>
      <c r="Q1614" s="332">
        <f t="shared" si="264"/>
        <v>33640</v>
      </c>
      <c r="R1614" s="93">
        <f t="shared" si="265"/>
        <v>0</v>
      </c>
      <c r="S1614" s="93">
        <f t="shared" si="266"/>
        <v>33640</v>
      </c>
    </row>
    <row r="1615" spans="2:19" ht="15" x14ac:dyDescent="0.25">
      <c r="B1615" s="205">
        <f t="shared" si="262"/>
        <v>98</v>
      </c>
      <c r="C1615" s="5"/>
      <c r="D1615" s="5"/>
      <c r="E1615" s="5"/>
      <c r="F1615" s="31"/>
      <c r="G1615" s="5"/>
      <c r="H1615" s="5" t="s">
        <v>473</v>
      </c>
      <c r="I1615" s="25"/>
      <c r="J1615" s="25"/>
      <c r="K1615" s="251">
        <f t="shared" si="267"/>
        <v>0</v>
      </c>
      <c r="L1615" s="352"/>
      <c r="M1615" s="337">
        <v>77000</v>
      </c>
      <c r="N1615" s="25"/>
      <c r="O1615" s="251">
        <f t="shared" si="268"/>
        <v>77000</v>
      </c>
      <c r="P1615" s="352"/>
      <c r="Q1615" s="332">
        <f t="shared" si="264"/>
        <v>77000</v>
      </c>
      <c r="R1615" s="93">
        <f t="shared" si="265"/>
        <v>0</v>
      </c>
      <c r="S1615" s="93">
        <f t="shared" si="266"/>
        <v>77000</v>
      </c>
    </row>
    <row r="1616" spans="2:19" x14ac:dyDescent="0.2">
      <c r="B1616" s="205">
        <f t="shared" si="262"/>
        <v>99</v>
      </c>
      <c r="C1616" s="5"/>
      <c r="D1616" s="5"/>
      <c r="E1616" s="5"/>
      <c r="F1616" s="31"/>
      <c r="G1616" s="5"/>
      <c r="H1616" s="5" t="s">
        <v>442</v>
      </c>
      <c r="I1616" s="25"/>
      <c r="J1616" s="25"/>
      <c r="K1616" s="251">
        <f t="shared" si="267"/>
        <v>0</v>
      </c>
      <c r="L1616" s="265"/>
      <c r="M1616" s="337">
        <v>60000</v>
      </c>
      <c r="N1616" s="25"/>
      <c r="O1616" s="251">
        <f t="shared" si="268"/>
        <v>60000</v>
      </c>
      <c r="P1616" s="260"/>
      <c r="Q1616" s="332">
        <f t="shared" si="264"/>
        <v>60000</v>
      </c>
      <c r="R1616" s="93">
        <f t="shared" si="265"/>
        <v>0</v>
      </c>
      <c r="S1616" s="93">
        <f t="shared" si="266"/>
        <v>60000</v>
      </c>
    </row>
    <row r="1617" spans="2:19" x14ac:dyDescent="0.2">
      <c r="B1617" s="205">
        <f t="shared" si="262"/>
        <v>100</v>
      </c>
      <c r="C1617" s="5"/>
      <c r="D1617" s="5"/>
      <c r="E1617" s="5"/>
      <c r="F1617" s="31"/>
      <c r="G1617" s="5"/>
      <c r="H1617" s="5" t="s">
        <v>532</v>
      </c>
      <c r="I1617" s="25"/>
      <c r="J1617" s="25"/>
      <c r="K1617" s="251">
        <f t="shared" si="267"/>
        <v>0</v>
      </c>
      <c r="L1617" s="259"/>
      <c r="M1617" s="337">
        <v>215000</v>
      </c>
      <c r="N1617" s="25"/>
      <c r="O1617" s="251">
        <f t="shared" si="268"/>
        <v>215000</v>
      </c>
      <c r="P1617" s="259"/>
      <c r="Q1617" s="332">
        <f t="shared" si="264"/>
        <v>215000</v>
      </c>
      <c r="R1617" s="93">
        <f t="shared" si="265"/>
        <v>0</v>
      </c>
      <c r="S1617" s="93">
        <f t="shared" si="266"/>
        <v>215000</v>
      </c>
    </row>
    <row r="1618" spans="2:19" x14ac:dyDescent="0.2">
      <c r="B1618" s="205">
        <f t="shared" si="262"/>
        <v>101</v>
      </c>
      <c r="C1618" s="5"/>
      <c r="D1618" s="5"/>
      <c r="E1618" s="5"/>
      <c r="F1618" s="31"/>
      <c r="G1618" s="5"/>
      <c r="H1618" s="5" t="s">
        <v>609</v>
      </c>
      <c r="I1618" s="25"/>
      <c r="J1618" s="25"/>
      <c r="K1618" s="251">
        <f t="shared" si="267"/>
        <v>0</v>
      </c>
      <c r="L1618" s="259"/>
      <c r="M1618" s="337">
        <v>5000</v>
      </c>
      <c r="N1618" s="25"/>
      <c r="O1618" s="251">
        <f t="shared" si="268"/>
        <v>5000</v>
      </c>
      <c r="P1618" s="259"/>
      <c r="Q1618" s="332">
        <f t="shared" si="264"/>
        <v>5000</v>
      </c>
      <c r="R1618" s="93">
        <f t="shared" si="265"/>
        <v>0</v>
      </c>
      <c r="S1618" s="93">
        <f t="shared" si="266"/>
        <v>5000</v>
      </c>
    </row>
    <row r="1619" spans="2:19" x14ac:dyDescent="0.2">
      <c r="B1619" s="205">
        <f t="shared" si="262"/>
        <v>102</v>
      </c>
      <c r="C1619" s="5"/>
      <c r="D1619" s="5"/>
      <c r="E1619" s="5"/>
      <c r="F1619" s="31"/>
      <c r="G1619" s="5"/>
      <c r="H1619" s="5" t="s">
        <v>640</v>
      </c>
      <c r="I1619" s="25"/>
      <c r="J1619" s="25"/>
      <c r="K1619" s="251">
        <f t="shared" si="267"/>
        <v>0</v>
      </c>
      <c r="L1619" s="259"/>
      <c r="M1619" s="337">
        <v>10708</v>
      </c>
      <c r="N1619" s="25"/>
      <c r="O1619" s="251">
        <f t="shared" si="268"/>
        <v>10708</v>
      </c>
      <c r="P1619" s="259"/>
      <c r="Q1619" s="332">
        <f t="shared" si="264"/>
        <v>10708</v>
      </c>
      <c r="R1619" s="93">
        <f t="shared" si="265"/>
        <v>0</v>
      </c>
      <c r="S1619" s="93">
        <f t="shared" si="266"/>
        <v>10708</v>
      </c>
    </row>
    <row r="1620" spans="2:19" x14ac:dyDescent="0.2">
      <c r="B1620" s="205">
        <f t="shared" si="262"/>
        <v>103</v>
      </c>
      <c r="C1620" s="5"/>
      <c r="D1620" s="5"/>
      <c r="E1620" s="5"/>
      <c r="F1620" s="30" t="s">
        <v>201</v>
      </c>
      <c r="G1620" s="4">
        <v>717</v>
      </c>
      <c r="H1620" s="4" t="s">
        <v>198</v>
      </c>
      <c r="I1620" s="23"/>
      <c r="J1620" s="23"/>
      <c r="K1620" s="220">
        <f t="shared" ref="K1620:K1622" si="278">I1620+J1620</f>
        <v>0</v>
      </c>
      <c r="L1620" s="259"/>
      <c r="M1620" s="227">
        <f>M1621+M1622</f>
        <v>0</v>
      </c>
      <c r="N1620" s="23">
        <f>N1621+N1622</f>
        <v>1077974</v>
      </c>
      <c r="O1620" s="220">
        <f t="shared" ref="O1620:O1622" si="279">M1620+N1620</f>
        <v>1077974</v>
      </c>
      <c r="P1620" s="259"/>
      <c r="Q1620" s="308">
        <f t="shared" ref="Q1620:Q1622" si="280">I1620+M1620</f>
        <v>0</v>
      </c>
      <c r="R1620" s="92">
        <f t="shared" ref="R1620:R1622" si="281">J1620+N1620</f>
        <v>1077974</v>
      </c>
      <c r="S1620" s="92">
        <f t="shared" ref="S1620:S1622" si="282">K1620+O1620</f>
        <v>1077974</v>
      </c>
    </row>
    <row r="1621" spans="2:19" x14ac:dyDescent="0.2">
      <c r="B1621" s="205">
        <f t="shared" si="262"/>
        <v>104</v>
      </c>
      <c r="C1621" s="5"/>
      <c r="D1621" s="5"/>
      <c r="E1621" s="5"/>
      <c r="F1621" s="31"/>
      <c r="G1621" s="5"/>
      <c r="H1621" s="5" t="s">
        <v>680</v>
      </c>
      <c r="I1621" s="25"/>
      <c r="J1621" s="25"/>
      <c r="K1621" s="251">
        <f t="shared" si="278"/>
        <v>0</v>
      </c>
      <c r="L1621" s="259"/>
      <c r="M1621" s="337">
        <v>0</v>
      </c>
      <c r="N1621" s="25">
        <v>278099</v>
      </c>
      <c r="O1621" s="251">
        <f t="shared" si="279"/>
        <v>278099</v>
      </c>
      <c r="P1621" s="259"/>
      <c r="Q1621" s="332">
        <f t="shared" si="280"/>
        <v>0</v>
      </c>
      <c r="R1621" s="93">
        <f t="shared" si="281"/>
        <v>278099</v>
      </c>
      <c r="S1621" s="93">
        <f t="shared" si="282"/>
        <v>278099</v>
      </c>
    </row>
    <row r="1622" spans="2:19" ht="15" x14ac:dyDescent="0.25">
      <c r="B1622" s="205">
        <f t="shared" si="262"/>
        <v>105</v>
      </c>
      <c r="C1622" s="5"/>
      <c r="D1622" s="5"/>
      <c r="E1622" s="5"/>
      <c r="F1622" s="31"/>
      <c r="G1622" s="5"/>
      <c r="H1622" s="5" t="s">
        <v>681</v>
      </c>
      <c r="I1622" s="25"/>
      <c r="J1622" s="25"/>
      <c r="K1622" s="251">
        <f t="shared" si="278"/>
        <v>0</v>
      </c>
      <c r="L1622" s="352"/>
      <c r="M1622" s="337">
        <v>0</v>
      </c>
      <c r="N1622" s="25">
        <v>799875</v>
      </c>
      <c r="O1622" s="251">
        <f t="shared" si="279"/>
        <v>799875</v>
      </c>
      <c r="P1622" s="352"/>
      <c r="Q1622" s="332">
        <f t="shared" si="280"/>
        <v>0</v>
      </c>
      <c r="R1622" s="93">
        <f t="shared" si="281"/>
        <v>799875</v>
      </c>
      <c r="S1622" s="93">
        <f t="shared" si="282"/>
        <v>799875</v>
      </c>
    </row>
    <row r="1623" spans="2:19" ht="15" x14ac:dyDescent="0.25">
      <c r="B1623" s="205">
        <f t="shared" si="262"/>
        <v>106</v>
      </c>
      <c r="C1623" s="13"/>
      <c r="D1623" s="13"/>
      <c r="E1623" s="13">
        <v>2</v>
      </c>
      <c r="F1623" s="32"/>
      <c r="G1623" s="13"/>
      <c r="H1623" s="13" t="s">
        <v>402</v>
      </c>
      <c r="I1623" s="42">
        <f>I1624+I1625+I1626+I1634+I1635</f>
        <v>67290</v>
      </c>
      <c r="J1623" s="42">
        <f t="shared" ref="J1623" si="283">J1624+J1625+J1626+J1634+J1635</f>
        <v>0</v>
      </c>
      <c r="K1623" s="255">
        <f t="shared" si="267"/>
        <v>67290</v>
      </c>
      <c r="L1623" s="259"/>
      <c r="M1623" s="317">
        <f>M1635</f>
        <v>22246</v>
      </c>
      <c r="N1623" s="42">
        <f t="shared" ref="N1623" si="284">N1635</f>
        <v>0</v>
      </c>
      <c r="O1623" s="255">
        <f t="shared" si="268"/>
        <v>22246</v>
      </c>
      <c r="P1623" s="259"/>
      <c r="Q1623" s="312">
        <f t="shared" si="264"/>
        <v>89536</v>
      </c>
      <c r="R1623" s="99">
        <f t="shared" si="265"/>
        <v>0</v>
      </c>
      <c r="S1623" s="99">
        <f t="shared" si="266"/>
        <v>89536</v>
      </c>
    </row>
    <row r="1624" spans="2:19" x14ac:dyDescent="0.2">
      <c r="B1624" s="205">
        <f t="shared" si="262"/>
        <v>107</v>
      </c>
      <c r="C1624" s="10"/>
      <c r="D1624" s="10"/>
      <c r="E1624" s="10"/>
      <c r="F1624" s="29" t="s">
        <v>193</v>
      </c>
      <c r="G1624" s="10">
        <v>610</v>
      </c>
      <c r="H1624" s="10" t="s">
        <v>143</v>
      </c>
      <c r="I1624" s="27">
        <v>24500</v>
      </c>
      <c r="J1624" s="27"/>
      <c r="K1624" s="250">
        <f t="shared" si="267"/>
        <v>24500</v>
      </c>
      <c r="L1624" s="259"/>
      <c r="M1624" s="315"/>
      <c r="N1624" s="27"/>
      <c r="O1624" s="250">
        <f t="shared" si="268"/>
        <v>0</v>
      </c>
      <c r="P1624" s="259"/>
      <c r="Q1624" s="309">
        <f t="shared" si="264"/>
        <v>24500</v>
      </c>
      <c r="R1624" s="91">
        <f t="shared" si="265"/>
        <v>0</v>
      </c>
      <c r="S1624" s="91">
        <f t="shared" si="266"/>
        <v>24500</v>
      </c>
    </row>
    <row r="1625" spans="2:19" x14ac:dyDescent="0.2">
      <c r="B1625" s="205">
        <f t="shared" si="262"/>
        <v>108</v>
      </c>
      <c r="C1625" s="10"/>
      <c r="D1625" s="10"/>
      <c r="E1625" s="10"/>
      <c r="F1625" s="29" t="s">
        <v>193</v>
      </c>
      <c r="G1625" s="10">
        <v>620</v>
      </c>
      <c r="H1625" s="10" t="s">
        <v>136</v>
      </c>
      <c r="I1625" s="27">
        <v>10720</v>
      </c>
      <c r="J1625" s="27"/>
      <c r="K1625" s="250">
        <f t="shared" si="267"/>
        <v>10720</v>
      </c>
      <c r="L1625" s="259"/>
      <c r="M1625" s="315"/>
      <c r="N1625" s="27"/>
      <c r="O1625" s="250">
        <f t="shared" si="268"/>
        <v>0</v>
      </c>
      <c r="P1625" s="259"/>
      <c r="Q1625" s="309">
        <f t="shared" si="264"/>
        <v>10720</v>
      </c>
      <c r="R1625" s="91">
        <f t="shared" si="265"/>
        <v>0</v>
      </c>
      <c r="S1625" s="91">
        <f t="shared" si="266"/>
        <v>10720</v>
      </c>
    </row>
    <row r="1626" spans="2:19" x14ac:dyDescent="0.2">
      <c r="B1626" s="205">
        <f t="shared" si="262"/>
        <v>109</v>
      </c>
      <c r="C1626" s="10"/>
      <c r="D1626" s="10"/>
      <c r="E1626" s="10"/>
      <c r="F1626" s="29" t="s">
        <v>193</v>
      </c>
      <c r="G1626" s="10">
        <v>630</v>
      </c>
      <c r="H1626" s="10" t="s">
        <v>133</v>
      </c>
      <c r="I1626" s="27">
        <f>SUM(I1627:I1633)</f>
        <v>31720</v>
      </c>
      <c r="J1626" s="27">
        <f t="shared" ref="J1626" si="285">SUM(J1627:J1633)</f>
        <v>0</v>
      </c>
      <c r="K1626" s="250">
        <f t="shared" si="267"/>
        <v>31720</v>
      </c>
      <c r="L1626" s="259"/>
      <c r="M1626" s="315"/>
      <c r="N1626" s="27"/>
      <c r="O1626" s="250">
        <f t="shared" si="268"/>
        <v>0</v>
      </c>
      <c r="P1626" s="259"/>
      <c r="Q1626" s="309">
        <f t="shared" si="264"/>
        <v>31720</v>
      </c>
      <c r="R1626" s="91">
        <f t="shared" si="265"/>
        <v>0</v>
      </c>
      <c r="S1626" s="91">
        <f t="shared" si="266"/>
        <v>31720</v>
      </c>
    </row>
    <row r="1627" spans="2:19" x14ac:dyDescent="0.2">
      <c r="B1627" s="205">
        <f t="shared" si="262"/>
        <v>110</v>
      </c>
      <c r="C1627" s="4"/>
      <c r="D1627" s="4"/>
      <c r="E1627" s="4"/>
      <c r="F1627" s="30" t="s">
        <v>193</v>
      </c>
      <c r="G1627" s="4">
        <v>633</v>
      </c>
      <c r="H1627" s="4" t="s">
        <v>137</v>
      </c>
      <c r="I1627" s="23">
        <f>13500-350</f>
        <v>13150</v>
      </c>
      <c r="J1627" s="23"/>
      <c r="K1627" s="220">
        <f t="shared" si="267"/>
        <v>13150</v>
      </c>
      <c r="L1627" s="259"/>
      <c r="M1627" s="227"/>
      <c r="N1627" s="23"/>
      <c r="O1627" s="220">
        <f t="shared" si="268"/>
        <v>0</v>
      </c>
      <c r="P1627" s="259"/>
      <c r="Q1627" s="308">
        <f t="shared" si="264"/>
        <v>13150</v>
      </c>
      <c r="R1627" s="92">
        <f t="shared" si="265"/>
        <v>0</v>
      </c>
      <c r="S1627" s="92">
        <f t="shared" si="266"/>
        <v>13150</v>
      </c>
    </row>
    <row r="1628" spans="2:19" x14ac:dyDescent="0.2">
      <c r="B1628" s="205">
        <f t="shared" si="262"/>
        <v>111</v>
      </c>
      <c r="C1628" s="4"/>
      <c r="D1628" s="4"/>
      <c r="E1628" s="4"/>
      <c r="F1628" s="30" t="s">
        <v>193</v>
      </c>
      <c r="G1628" s="4">
        <v>634</v>
      </c>
      <c r="H1628" s="4" t="s">
        <v>144</v>
      </c>
      <c r="I1628" s="23">
        <v>1100</v>
      </c>
      <c r="J1628" s="23"/>
      <c r="K1628" s="220">
        <f t="shared" si="267"/>
        <v>1100</v>
      </c>
      <c r="L1628" s="259"/>
      <c r="M1628" s="227"/>
      <c r="N1628" s="23"/>
      <c r="O1628" s="220">
        <f t="shared" si="268"/>
        <v>0</v>
      </c>
      <c r="P1628" s="259"/>
      <c r="Q1628" s="308">
        <f t="shared" si="264"/>
        <v>1100</v>
      </c>
      <c r="R1628" s="92">
        <f t="shared" si="265"/>
        <v>0</v>
      </c>
      <c r="S1628" s="92">
        <f t="shared" si="266"/>
        <v>1100</v>
      </c>
    </row>
    <row r="1629" spans="2:19" x14ac:dyDescent="0.2">
      <c r="B1629" s="205">
        <f t="shared" si="262"/>
        <v>112</v>
      </c>
      <c r="C1629" s="4"/>
      <c r="D1629" s="4"/>
      <c r="E1629" s="4"/>
      <c r="F1629" s="30" t="s">
        <v>193</v>
      </c>
      <c r="G1629" s="4">
        <v>635</v>
      </c>
      <c r="H1629" s="4" t="s">
        <v>145</v>
      </c>
      <c r="I1629" s="23">
        <v>1700</v>
      </c>
      <c r="J1629" s="23"/>
      <c r="K1629" s="220">
        <f t="shared" si="267"/>
        <v>1700</v>
      </c>
      <c r="L1629" s="259"/>
      <c r="M1629" s="227"/>
      <c r="N1629" s="23"/>
      <c r="O1629" s="220">
        <f t="shared" si="268"/>
        <v>0</v>
      </c>
      <c r="P1629" s="259"/>
      <c r="Q1629" s="308">
        <f t="shared" si="264"/>
        <v>1700</v>
      </c>
      <c r="R1629" s="92">
        <f t="shared" si="265"/>
        <v>0</v>
      </c>
      <c r="S1629" s="92">
        <f t="shared" si="266"/>
        <v>1700</v>
      </c>
    </row>
    <row r="1630" spans="2:19" x14ac:dyDescent="0.2">
      <c r="B1630" s="205">
        <f t="shared" si="262"/>
        <v>113</v>
      </c>
      <c r="C1630" s="4"/>
      <c r="D1630" s="4"/>
      <c r="E1630" s="4"/>
      <c r="F1630" s="30" t="s">
        <v>193</v>
      </c>
      <c r="G1630" s="4">
        <v>635</v>
      </c>
      <c r="H1630" s="4" t="s">
        <v>436</v>
      </c>
      <c r="I1630" s="23">
        <v>6000</v>
      </c>
      <c r="J1630" s="23"/>
      <c r="K1630" s="220">
        <f t="shared" si="267"/>
        <v>6000</v>
      </c>
      <c r="L1630" s="259"/>
      <c r="M1630" s="227"/>
      <c r="N1630" s="23"/>
      <c r="O1630" s="220">
        <f t="shared" si="268"/>
        <v>0</v>
      </c>
      <c r="P1630" s="259"/>
      <c r="Q1630" s="308">
        <f t="shared" si="264"/>
        <v>6000</v>
      </c>
      <c r="R1630" s="92">
        <f t="shared" si="265"/>
        <v>0</v>
      </c>
      <c r="S1630" s="92">
        <f t="shared" si="266"/>
        <v>6000</v>
      </c>
    </row>
    <row r="1631" spans="2:19" ht="24" x14ac:dyDescent="0.2">
      <c r="B1631" s="206">
        <f t="shared" si="262"/>
        <v>114</v>
      </c>
      <c r="C1631" s="52"/>
      <c r="D1631" s="52"/>
      <c r="E1631" s="52"/>
      <c r="F1631" s="173" t="s">
        <v>193</v>
      </c>
      <c r="G1631" s="52">
        <v>635</v>
      </c>
      <c r="H1631" s="174" t="s">
        <v>503</v>
      </c>
      <c r="I1631" s="55">
        <v>1500</v>
      </c>
      <c r="J1631" s="55"/>
      <c r="K1631" s="346">
        <f t="shared" si="267"/>
        <v>1500</v>
      </c>
      <c r="L1631" s="259"/>
      <c r="M1631" s="350"/>
      <c r="N1631" s="55"/>
      <c r="O1631" s="346">
        <f t="shared" si="268"/>
        <v>0</v>
      </c>
      <c r="P1631" s="259"/>
      <c r="Q1631" s="357">
        <f t="shared" si="264"/>
        <v>1500</v>
      </c>
      <c r="R1631" s="115">
        <f t="shared" si="265"/>
        <v>0</v>
      </c>
      <c r="S1631" s="115">
        <f t="shared" si="266"/>
        <v>1500</v>
      </c>
    </row>
    <row r="1632" spans="2:19" x14ac:dyDescent="0.2">
      <c r="B1632" s="205">
        <f t="shared" si="262"/>
        <v>115</v>
      </c>
      <c r="C1632" s="4"/>
      <c r="D1632" s="4"/>
      <c r="E1632" s="4"/>
      <c r="F1632" s="30" t="s">
        <v>193</v>
      </c>
      <c r="G1632" s="4">
        <v>636</v>
      </c>
      <c r="H1632" s="4" t="s">
        <v>138</v>
      </c>
      <c r="I1632" s="23">
        <f>300+350</f>
        <v>650</v>
      </c>
      <c r="J1632" s="23"/>
      <c r="K1632" s="220">
        <f t="shared" si="267"/>
        <v>650</v>
      </c>
      <c r="L1632" s="259"/>
      <c r="M1632" s="227"/>
      <c r="N1632" s="23"/>
      <c r="O1632" s="220">
        <f t="shared" si="268"/>
        <v>0</v>
      </c>
      <c r="P1632" s="259"/>
      <c r="Q1632" s="308">
        <f t="shared" si="264"/>
        <v>650</v>
      </c>
      <c r="R1632" s="92">
        <f t="shared" si="265"/>
        <v>0</v>
      </c>
      <c r="S1632" s="92">
        <f t="shared" si="266"/>
        <v>650</v>
      </c>
    </row>
    <row r="1633" spans="2:19" x14ac:dyDescent="0.2">
      <c r="B1633" s="205">
        <f t="shared" si="262"/>
        <v>116</v>
      </c>
      <c r="C1633" s="4"/>
      <c r="D1633" s="4"/>
      <c r="E1633" s="4"/>
      <c r="F1633" s="30" t="s">
        <v>193</v>
      </c>
      <c r="G1633" s="4">
        <v>637</v>
      </c>
      <c r="H1633" s="4" t="s">
        <v>134</v>
      </c>
      <c r="I1633" s="23">
        <v>7620</v>
      </c>
      <c r="J1633" s="23"/>
      <c r="K1633" s="220">
        <f t="shared" si="267"/>
        <v>7620</v>
      </c>
      <c r="L1633" s="259"/>
      <c r="M1633" s="227"/>
      <c r="N1633" s="23"/>
      <c r="O1633" s="220">
        <f t="shared" si="268"/>
        <v>0</v>
      </c>
      <c r="P1633" s="259"/>
      <c r="Q1633" s="308">
        <f>I1633+M1633</f>
        <v>7620</v>
      </c>
      <c r="R1633" s="92">
        <f t="shared" si="265"/>
        <v>0</v>
      </c>
      <c r="S1633" s="92">
        <f t="shared" si="266"/>
        <v>7620</v>
      </c>
    </row>
    <row r="1634" spans="2:19" x14ac:dyDescent="0.2">
      <c r="B1634" s="205">
        <f t="shared" si="262"/>
        <v>117</v>
      </c>
      <c r="C1634" s="10"/>
      <c r="D1634" s="10"/>
      <c r="E1634" s="10"/>
      <c r="F1634" s="29" t="s">
        <v>193</v>
      </c>
      <c r="G1634" s="10">
        <v>640</v>
      </c>
      <c r="H1634" s="10" t="s">
        <v>141</v>
      </c>
      <c r="I1634" s="27">
        <v>350</v>
      </c>
      <c r="J1634" s="27"/>
      <c r="K1634" s="250">
        <f t="shared" si="267"/>
        <v>350</v>
      </c>
      <c r="L1634" s="259"/>
      <c r="M1634" s="315"/>
      <c r="N1634" s="27"/>
      <c r="O1634" s="250">
        <f t="shared" si="268"/>
        <v>0</v>
      </c>
      <c r="P1634" s="259"/>
      <c r="Q1634" s="309">
        <f>I1634+M1634</f>
        <v>350</v>
      </c>
      <c r="R1634" s="91">
        <f t="shared" si="265"/>
        <v>0</v>
      </c>
      <c r="S1634" s="91">
        <f t="shared" si="266"/>
        <v>350</v>
      </c>
    </row>
    <row r="1635" spans="2:19" x14ac:dyDescent="0.2">
      <c r="B1635" s="205">
        <f t="shared" si="262"/>
        <v>118</v>
      </c>
      <c r="C1635" s="10"/>
      <c r="D1635" s="10"/>
      <c r="E1635" s="10"/>
      <c r="F1635" s="29" t="s">
        <v>193</v>
      </c>
      <c r="G1635" s="10">
        <v>710</v>
      </c>
      <c r="H1635" s="10" t="s">
        <v>188</v>
      </c>
      <c r="I1635" s="27"/>
      <c r="J1635" s="27"/>
      <c r="K1635" s="250">
        <f t="shared" si="267"/>
        <v>0</v>
      </c>
      <c r="L1635" s="259"/>
      <c r="M1635" s="315">
        <f>M1636</f>
        <v>22246</v>
      </c>
      <c r="N1635" s="27">
        <f t="shared" ref="N1635:N1636" si="286">N1636</f>
        <v>0</v>
      </c>
      <c r="O1635" s="250">
        <f t="shared" si="268"/>
        <v>22246</v>
      </c>
      <c r="P1635" s="259"/>
      <c r="Q1635" s="309">
        <f>I1635+M1635</f>
        <v>22246</v>
      </c>
      <c r="R1635" s="91">
        <f t="shared" si="265"/>
        <v>0</v>
      </c>
      <c r="S1635" s="91">
        <f t="shared" si="266"/>
        <v>22246</v>
      </c>
    </row>
    <row r="1636" spans="2:19" x14ac:dyDescent="0.2">
      <c r="B1636" s="205">
        <f t="shared" si="262"/>
        <v>119</v>
      </c>
      <c r="C1636" s="4"/>
      <c r="D1636" s="4"/>
      <c r="E1636" s="4"/>
      <c r="F1636" s="30" t="s">
        <v>193</v>
      </c>
      <c r="G1636" s="4">
        <v>717</v>
      </c>
      <c r="H1636" s="4" t="s">
        <v>198</v>
      </c>
      <c r="I1636" s="23"/>
      <c r="J1636" s="23"/>
      <c r="K1636" s="220">
        <f t="shared" si="267"/>
        <v>0</v>
      </c>
      <c r="L1636" s="259"/>
      <c r="M1636" s="227">
        <f>M1637</f>
        <v>22246</v>
      </c>
      <c r="N1636" s="23">
        <f t="shared" si="286"/>
        <v>0</v>
      </c>
      <c r="O1636" s="220">
        <f t="shared" si="268"/>
        <v>22246</v>
      </c>
      <c r="P1636" s="259"/>
      <c r="Q1636" s="308">
        <f>I1636+M1636</f>
        <v>22246</v>
      </c>
      <c r="R1636" s="92">
        <f t="shared" si="265"/>
        <v>0</v>
      </c>
      <c r="S1636" s="92">
        <f t="shared" si="266"/>
        <v>22246</v>
      </c>
    </row>
    <row r="1637" spans="2:19" ht="13.5" thickBot="1" x14ac:dyDescent="0.25">
      <c r="B1637" s="207">
        <f>B1636+1</f>
        <v>120</v>
      </c>
      <c r="C1637" s="100"/>
      <c r="D1637" s="100"/>
      <c r="E1637" s="100"/>
      <c r="F1637" s="106"/>
      <c r="G1637" s="100"/>
      <c r="H1637" s="100" t="s">
        <v>369</v>
      </c>
      <c r="I1637" s="103"/>
      <c r="J1637" s="103"/>
      <c r="K1637" s="254">
        <f t="shared" si="267"/>
        <v>0</v>
      </c>
      <c r="L1637" s="259"/>
      <c r="M1637" s="351">
        <f>27600-5354</f>
        <v>22246</v>
      </c>
      <c r="N1637" s="103"/>
      <c r="O1637" s="254">
        <f t="shared" si="268"/>
        <v>22246</v>
      </c>
      <c r="P1637" s="259"/>
      <c r="Q1637" s="334">
        <f>I1637+M1637</f>
        <v>22246</v>
      </c>
      <c r="R1637" s="104">
        <f t="shared" si="265"/>
        <v>0</v>
      </c>
      <c r="S1637" s="104">
        <f t="shared" si="266"/>
        <v>22246</v>
      </c>
    </row>
    <row r="1681" spans="2:19" ht="27.75" thickBot="1" x14ac:dyDescent="0.4">
      <c r="B1681" s="480" t="s">
        <v>29</v>
      </c>
      <c r="C1681" s="481"/>
      <c r="D1681" s="481"/>
      <c r="E1681" s="481"/>
      <c r="F1681" s="481"/>
      <c r="G1681" s="481"/>
      <c r="H1681" s="481"/>
      <c r="I1681" s="481"/>
      <c r="J1681" s="481"/>
      <c r="K1681" s="481"/>
      <c r="L1681" s="481"/>
      <c r="M1681" s="481"/>
      <c r="N1681" s="481"/>
      <c r="O1681" s="481"/>
      <c r="P1681" s="481"/>
      <c r="Q1681" s="481"/>
    </row>
    <row r="1682" spans="2:19" ht="13.5" customHeight="1" thickBot="1" x14ac:dyDescent="0.25">
      <c r="B1682" s="482" t="s">
        <v>353</v>
      </c>
      <c r="C1682" s="483"/>
      <c r="D1682" s="483"/>
      <c r="E1682" s="483"/>
      <c r="F1682" s="483"/>
      <c r="G1682" s="483"/>
      <c r="H1682" s="483"/>
      <c r="I1682" s="484"/>
      <c r="J1682" s="484"/>
      <c r="K1682" s="484"/>
      <c r="L1682" s="484"/>
      <c r="M1682" s="484"/>
      <c r="N1682" s="244"/>
      <c r="O1682" s="244"/>
      <c r="P1682" s="259"/>
      <c r="Q1682" s="485" t="s">
        <v>651</v>
      </c>
      <c r="R1682" s="471" t="s">
        <v>648</v>
      </c>
      <c r="S1682" s="474" t="s">
        <v>652</v>
      </c>
    </row>
    <row r="1683" spans="2:19" ht="13.5" customHeight="1" thickBot="1" x14ac:dyDescent="0.25">
      <c r="B1683" s="488"/>
      <c r="C1683" s="489" t="s">
        <v>126</v>
      </c>
      <c r="D1683" s="489" t="s">
        <v>127</v>
      </c>
      <c r="E1683" s="489"/>
      <c r="F1683" s="489" t="s">
        <v>128</v>
      </c>
      <c r="G1683" s="492" t="s">
        <v>129</v>
      </c>
      <c r="H1683" s="495" t="s">
        <v>130</v>
      </c>
      <c r="I1683" s="496" t="s">
        <v>647</v>
      </c>
      <c r="J1683" s="502" t="s">
        <v>648</v>
      </c>
      <c r="K1683" s="474" t="s">
        <v>649</v>
      </c>
      <c r="M1683" s="498" t="s">
        <v>650</v>
      </c>
      <c r="N1683" s="471" t="s">
        <v>648</v>
      </c>
      <c r="O1683" s="477" t="s">
        <v>649</v>
      </c>
      <c r="P1683" s="259"/>
      <c r="Q1683" s="486"/>
      <c r="R1683" s="472"/>
      <c r="S1683" s="475"/>
    </row>
    <row r="1684" spans="2:19" ht="13.5" thickBot="1" x14ac:dyDescent="0.25">
      <c r="B1684" s="488"/>
      <c r="C1684" s="490"/>
      <c r="D1684" s="490"/>
      <c r="E1684" s="490"/>
      <c r="F1684" s="490"/>
      <c r="G1684" s="493"/>
      <c r="H1684" s="495"/>
      <c r="I1684" s="496"/>
      <c r="J1684" s="502"/>
      <c r="K1684" s="478"/>
      <c r="L1684" s="259"/>
      <c r="M1684" s="500"/>
      <c r="N1684" s="472"/>
      <c r="O1684" s="478"/>
      <c r="P1684" s="259"/>
      <c r="Q1684" s="486"/>
      <c r="R1684" s="472"/>
      <c r="S1684" s="475"/>
    </row>
    <row r="1685" spans="2:19" ht="13.5" thickBot="1" x14ac:dyDescent="0.25">
      <c r="B1685" s="488"/>
      <c r="C1685" s="490"/>
      <c r="D1685" s="490"/>
      <c r="E1685" s="490"/>
      <c r="F1685" s="490"/>
      <c r="G1685" s="493"/>
      <c r="H1685" s="495"/>
      <c r="I1685" s="496"/>
      <c r="J1685" s="502"/>
      <c r="K1685" s="478"/>
      <c r="L1685" s="259"/>
      <c r="M1685" s="500"/>
      <c r="N1685" s="472"/>
      <c r="O1685" s="478"/>
      <c r="P1685" s="259"/>
      <c r="Q1685" s="486"/>
      <c r="R1685" s="472"/>
      <c r="S1685" s="475"/>
    </row>
    <row r="1686" spans="2:19" ht="13.5" thickBot="1" x14ac:dyDescent="0.25">
      <c r="B1686" s="488"/>
      <c r="C1686" s="491"/>
      <c r="D1686" s="491"/>
      <c r="E1686" s="491"/>
      <c r="F1686" s="491"/>
      <c r="G1686" s="494"/>
      <c r="H1686" s="495"/>
      <c r="I1686" s="497"/>
      <c r="J1686" s="503"/>
      <c r="K1686" s="479"/>
      <c r="L1686" s="259"/>
      <c r="M1686" s="501"/>
      <c r="N1686" s="473"/>
      <c r="O1686" s="479"/>
      <c r="P1686" s="259"/>
      <c r="Q1686" s="487"/>
      <c r="R1686" s="473"/>
      <c r="S1686" s="476"/>
    </row>
    <row r="1687" spans="2:19" ht="16.5" thickTop="1" x14ac:dyDescent="0.2">
      <c r="B1687" s="205">
        <f t="shared" ref="B1687:B1731" si="287">B1686+1</f>
        <v>1</v>
      </c>
      <c r="C1687" s="505" t="s">
        <v>29</v>
      </c>
      <c r="D1687" s="506"/>
      <c r="E1687" s="506"/>
      <c r="F1687" s="506"/>
      <c r="G1687" s="506"/>
      <c r="H1687" s="507"/>
      <c r="I1687" s="39">
        <f>I1729+I1714+I1709+I1688</f>
        <v>550620</v>
      </c>
      <c r="J1687" s="39">
        <f>J1729+J1714+J1709+J1688</f>
        <v>0</v>
      </c>
      <c r="K1687" s="253">
        <f>I1687+J1687</f>
        <v>550620</v>
      </c>
      <c r="L1687" s="259"/>
      <c r="M1687" s="336">
        <f>M1688+M1709+M1714+M1729</f>
        <v>67320</v>
      </c>
      <c r="N1687" s="39">
        <f>N1688+N1709+N1714+N1729</f>
        <v>0</v>
      </c>
      <c r="O1687" s="253">
        <f>M1687+N1687</f>
        <v>67320</v>
      </c>
      <c r="P1687" s="259"/>
      <c r="Q1687" s="331">
        <f t="shared" ref="Q1687:Q1731" si="288">I1687+M1687</f>
        <v>617940</v>
      </c>
      <c r="R1687" s="98">
        <f t="shared" ref="R1687:R1721" si="289">J1687+N1687</f>
        <v>0</v>
      </c>
      <c r="S1687" s="98">
        <f t="shared" ref="S1687:S1721" si="290">K1687+O1687</f>
        <v>617940</v>
      </c>
    </row>
    <row r="1688" spans="2:19" ht="15" x14ac:dyDescent="0.2">
      <c r="B1688" s="205">
        <f t="shared" si="287"/>
        <v>2</v>
      </c>
      <c r="C1688" s="242">
        <v>1</v>
      </c>
      <c r="D1688" s="511" t="s">
        <v>243</v>
      </c>
      <c r="E1688" s="509"/>
      <c r="F1688" s="509"/>
      <c r="G1688" s="509"/>
      <c r="H1688" s="510"/>
      <c r="I1688" s="40">
        <f>I1689</f>
        <v>195000</v>
      </c>
      <c r="J1688" s="40">
        <f>J1689</f>
        <v>0</v>
      </c>
      <c r="K1688" s="248">
        <f t="shared" ref="K1688:K1731" si="291">I1688+J1688</f>
        <v>195000</v>
      </c>
      <c r="L1688" s="259"/>
      <c r="M1688" s="318">
        <v>0</v>
      </c>
      <c r="N1688" s="40">
        <v>0</v>
      </c>
      <c r="O1688" s="248">
        <f t="shared" ref="O1688:O1731" si="292">M1688+N1688</f>
        <v>0</v>
      </c>
      <c r="P1688" s="259"/>
      <c r="Q1688" s="313">
        <f t="shared" si="288"/>
        <v>195000</v>
      </c>
      <c r="R1688" s="89">
        <f t="shared" si="289"/>
        <v>0</v>
      </c>
      <c r="S1688" s="89">
        <f t="shared" si="290"/>
        <v>195000</v>
      </c>
    </row>
    <row r="1689" spans="2:19" x14ac:dyDescent="0.2">
      <c r="B1689" s="205">
        <f t="shared" si="287"/>
        <v>3</v>
      </c>
      <c r="C1689" s="10"/>
      <c r="D1689" s="10"/>
      <c r="E1689" s="10"/>
      <c r="F1689" s="29" t="s">
        <v>82</v>
      </c>
      <c r="G1689" s="10">
        <v>640</v>
      </c>
      <c r="H1689" s="10" t="s">
        <v>141</v>
      </c>
      <c r="I1689" s="27">
        <f>SUM(I1690:I1708)</f>
        <v>195000</v>
      </c>
      <c r="J1689" s="27">
        <f>SUM(J1690:J1707)</f>
        <v>0</v>
      </c>
      <c r="K1689" s="250">
        <f t="shared" si="291"/>
        <v>195000</v>
      </c>
      <c r="L1689" s="259"/>
      <c r="M1689" s="315"/>
      <c r="N1689" s="27"/>
      <c r="O1689" s="250">
        <f t="shared" si="292"/>
        <v>0</v>
      </c>
      <c r="P1689" s="259"/>
      <c r="Q1689" s="309">
        <f t="shared" si="288"/>
        <v>195000</v>
      </c>
      <c r="R1689" s="91">
        <f t="shared" si="289"/>
        <v>0</v>
      </c>
      <c r="S1689" s="91">
        <f t="shared" si="290"/>
        <v>195000</v>
      </c>
    </row>
    <row r="1690" spans="2:19" x14ac:dyDescent="0.2">
      <c r="B1690" s="205">
        <f t="shared" si="287"/>
        <v>4</v>
      </c>
      <c r="C1690" s="5"/>
      <c r="D1690" s="5"/>
      <c r="E1690" s="5"/>
      <c r="F1690" s="31"/>
      <c r="G1690" s="5"/>
      <c r="H1690" s="5" t="s">
        <v>341</v>
      </c>
      <c r="I1690" s="25">
        <f>5000+5000</f>
        <v>10000</v>
      </c>
      <c r="J1690" s="25"/>
      <c r="K1690" s="251">
        <f t="shared" si="291"/>
        <v>10000</v>
      </c>
      <c r="L1690" s="259"/>
      <c r="M1690" s="337"/>
      <c r="N1690" s="25"/>
      <c r="O1690" s="251">
        <f t="shared" si="292"/>
        <v>0</v>
      </c>
      <c r="P1690" s="259"/>
      <c r="Q1690" s="332">
        <f t="shared" si="288"/>
        <v>10000</v>
      </c>
      <c r="R1690" s="93">
        <f t="shared" si="289"/>
        <v>0</v>
      </c>
      <c r="S1690" s="93">
        <f t="shared" si="290"/>
        <v>10000</v>
      </c>
    </row>
    <row r="1691" spans="2:19" x14ac:dyDescent="0.2">
      <c r="B1691" s="205">
        <f t="shared" si="287"/>
        <v>5</v>
      </c>
      <c r="C1691" s="5"/>
      <c r="D1691" s="5"/>
      <c r="E1691" s="5"/>
      <c r="F1691" s="31"/>
      <c r="G1691" s="5"/>
      <c r="H1691" s="5" t="s">
        <v>342</v>
      </c>
      <c r="I1691" s="25">
        <v>5000</v>
      </c>
      <c r="J1691" s="25"/>
      <c r="K1691" s="251">
        <f t="shared" si="291"/>
        <v>5000</v>
      </c>
      <c r="L1691" s="259"/>
      <c r="M1691" s="337"/>
      <c r="N1691" s="25"/>
      <c r="O1691" s="251">
        <f t="shared" si="292"/>
        <v>0</v>
      </c>
      <c r="P1691" s="259"/>
      <c r="Q1691" s="332">
        <f t="shared" si="288"/>
        <v>5000</v>
      </c>
      <c r="R1691" s="93">
        <f t="shared" si="289"/>
        <v>0</v>
      </c>
      <c r="S1691" s="93">
        <f t="shared" si="290"/>
        <v>5000</v>
      </c>
    </row>
    <row r="1692" spans="2:19" ht="22.5" x14ac:dyDescent="0.2">
      <c r="B1692" s="205">
        <f t="shared" si="287"/>
        <v>6</v>
      </c>
      <c r="C1692" s="154"/>
      <c r="D1692" s="154"/>
      <c r="E1692" s="154"/>
      <c r="F1692" s="155"/>
      <c r="G1692" s="154"/>
      <c r="H1692" s="180" t="s">
        <v>489</v>
      </c>
      <c r="I1692" s="156">
        <v>6000</v>
      </c>
      <c r="J1692" s="156"/>
      <c r="K1692" s="256">
        <f t="shared" si="291"/>
        <v>6000</v>
      </c>
      <c r="L1692" s="259"/>
      <c r="M1692" s="338"/>
      <c r="N1692" s="156"/>
      <c r="O1692" s="256">
        <f t="shared" si="292"/>
        <v>0</v>
      </c>
      <c r="P1692" s="259"/>
      <c r="Q1692" s="341">
        <f t="shared" si="288"/>
        <v>6000</v>
      </c>
      <c r="R1692" s="157">
        <f t="shared" si="289"/>
        <v>0</v>
      </c>
      <c r="S1692" s="157">
        <f t="shared" si="290"/>
        <v>6000</v>
      </c>
    </row>
    <row r="1693" spans="2:19" x14ac:dyDescent="0.2">
      <c r="B1693" s="205">
        <f t="shared" si="287"/>
        <v>7</v>
      </c>
      <c r="C1693" s="5"/>
      <c r="D1693" s="5"/>
      <c r="E1693" s="5"/>
      <c r="F1693" s="31"/>
      <c r="G1693" s="5"/>
      <c r="H1693" s="5" t="s">
        <v>343</v>
      </c>
      <c r="I1693" s="25">
        <v>4000</v>
      </c>
      <c r="J1693" s="25"/>
      <c r="K1693" s="251">
        <f t="shared" si="291"/>
        <v>4000</v>
      </c>
      <c r="L1693" s="259"/>
      <c r="M1693" s="337"/>
      <c r="N1693" s="25"/>
      <c r="O1693" s="251">
        <f t="shared" si="292"/>
        <v>0</v>
      </c>
      <c r="P1693" s="259"/>
      <c r="Q1693" s="332">
        <f t="shared" si="288"/>
        <v>4000</v>
      </c>
      <c r="R1693" s="93">
        <f t="shared" si="289"/>
        <v>0</v>
      </c>
      <c r="S1693" s="93">
        <f t="shared" si="290"/>
        <v>4000</v>
      </c>
    </row>
    <row r="1694" spans="2:19" x14ac:dyDescent="0.2">
      <c r="B1694" s="205">
        <f t="shared" si="287"/>
        <v>8</v>
      </c>
      <c r="C1694" s="5"/>
      <c r="D1694" s="5"/>
      <c r="E1694" s="5"/>
      <c r="F1694" s="31"/>
      <c r="G1694" s="5"/>
      <c r="H1694" s="5" t="s">
        <v>430</v>
      </c>
      <c r="I1694" s="25">
        <v>4000</v>
      </c>
      <c r="J1694" s="25"/>
      <c r="K1694" s="251">
        <f t="shared" si="291"/>
        <v>4000</v>
      </c>
      <c r="L1694" s="259"/>
      <c r="M1694" s="337"/>
      <c r="N1694" s="25"/>
      <c r="O1694" s="251">
        <f t="shared" si="292"/>
        <v>0</v>
      </c>
      <c r="P1694" s="259"/>
      <c r="Q1694" s="332">
        <f t="shared" si="288"/>
        <v>4000</v>
      </c>
      <c r="R1694" s="93">
        <f t="shared" si="289"/>
        <v>0</v>
      </c>
      <c r="S1694" s="93">
        <f t="shared" si="290"/>
        <v>4000</v>
      </c>
    </row>
    <row r="1695" spans="2:19" x14ac:dyDescent="0.2">
      <c r="B1695" s="205">
        <f t="shared" si="287"/>
        <v>9</v>
      </c>
      <c r="C1695" s="5"/>
      <c r="D1695" s="5"/>
      <c r="E1695" s="5"/>
      <c r="F1695" s="31"/>
      <c r="G1695" s="5"/>
      <c r="H1695" s="5" t="s">
        <v>610</v>
      </c>
      <c r="I1695" s="25">
        <v>15000</v>
      </c>
      <c r="J1695" s="25"/>
      <c r="K1695" s="251">
        <f t="shared" si="291"/>
        <v>15000</v>
      </c>
      <c r="L1695" s="259"/>
      <c r="M1695" s="337"/>
      <c r="N1695" s="25"/>
      <c r="O1695" s="251">
        <f t="shared" si="292"/>
        <v>0</v>
      </c>
      <c r="P1695" s="259"/>
      <c r="Q1695" s="332">
        <f t="shared" si="288"/>
        <v>15000</v>
      </c>
      <c r="R1695" s="93">
        <f t="shared" si="289"/>
        <v>0</v>
      </c>
      <c r="S1695" s="93">
        <f t="shared" si="290"/>
        <v>15000</v>
      </c>
    </row>
    <row r="1696" spans="2:19" x14ac:dyDescent="0.2">
      <c r="B1696" s="205">
        <f t="shared" si="287"/>
        <v>10</v>
      </c>
      <c r="C1696" s="5"/>
      <c r="D1696" s="5"/>
      <c r="E1696" s="5"/>
      <c r="F1696" s="31"/>
      <c r="G1696" s="5"/>
      <c r="H1696" s="5" t="s">
        <v>293</v>
      </c>
      <c r="I1696" s="25">
        <f>50000-1500+2000+26600-3000-3000</f>
        <v>71100</v>
      </c>
      <c r="J1696" s="25"/>
      <c r="K1696" s="251">
        <f t="shared" si="291"/>
        <v>71100</v>
      </c>
      <c r="L1696" s="259"/>
      <c r="M1696" s="337"/>
      <c r="N1696" s="25"/>
      <c r="O1696" s="251">
        <f t="shared" si="292"/>
        <v>0</v>
      </c>
      <c r="P1696" s="259"/>
      <c r="Q1696" s="332">
        <f t="shared" si="288"/>
        <v>71100</v>
      </c>
      <c r="R1696" s="93">
        <f t="shared" si="289"/>
        <v>0</v>
      </c>
      <c r="S1696" s="93">
        <f t="shared" si="290"/>
        <v>71100</v>
      </c>
    </row>
    <row r="1697" spans="2:19" x14ac:dyDescent="0.2">
      <c r="B1697" s="205">
        <f t="shared" si="287"/>
        <v>11</v>
      </c>
      <c r="C1697" s="5"/>
      <c r="D1697" s="5"/>
      <c r="E1697" s="5"/>
      <c r="F1697" s="31"/>
      <c r="G1697" s="5"/>
      <c r="H1697" s="5" t="s">
        <v>339</v>
      </c>
      <c r="I1697" s="25">
        <v>20000</v>
      </c>
      <c r="J1697" s="25"/>
      <c r="K1697" s="251">
        <f t="shared" si="291"/>
        <v>20000</v>
      </c>
      <c r="L1697" s="259"/>
      <c r="M1697" s="337"/>
      <c r="N1697" s="25"/>
      <c r="O1697" s="251">
        <f t="shared" si="292"/>
        <v>0</v>
      </c>
      <c r="P1697" s="259"/>
      <c r="Q1697" s="332">
        <f t="shared" si="288"/>
        <v>20000</v>
      </c>
      <c r="R1697" s="93">
        <f t="shared" si="289"/>
        <v>0</v>
      </c>
      <c r="S1697" s="93">
        <f t="shared" si="290"/>
        <v>20000</v>
      </c>
    </row>
    <row r="1698" spans="2:19" x14ac:dyDescent="0.2">
      <c r="B1698" s="205">
        <f t="shared" si="287"/>
        <v>12</v>
      </c>
      <c r="C1698" s="5"/>
      <c r="D1698" s="5"/>
      <c r="E1698" s="5"/>
      <c r="F1698" s="31"/>
      <c r="G1698" s="5"/>
      <c r="H1698" s="5" t="s">
        <v>483</v>
      </c>
      <c r="I1698" s="25">
        <v>20000</v>
      </c>
      <c r="J1698" s="25"/>
      <c r="K1698" s="251">
        <f t="shared" si="291"/>
        <v>20000</v>
      </c>
      <c r="L1698" s="259"/>
      <c r="M1698" s="337"/>
      <c r="N1698" s="25"/>
      <c r="O1698" s="251">
        <f t="shared" si="292"/>
        <v>0</v>
      </c>
      <c r="P1698" s="259"/>
      <c r="Q1698" s="332">
        <f t="shared" si="288"/>
        <v>20000</v>
      </c>
      <c r="R1698" s="93">
        <f t="shared" si="289"/>
        <v>0</v>
      </c>
      <c r="S1698" s="93">
        <f t="shared" si="290"/>
        <v>20000</v>
      </c>
    </row>
    <row r="1699" spans="2:19" x14ac:dyDescent="0.2">
      <c r="B1699" s="205">
        <f t="shared" si="287"/>
        <v>13</v>
      </c>
      <c r="C1699" s="5"/>
      <c r="D1699" s="5"/>
      <c r="E1699" s="5"/>
      <c r="F1699" s="31"/>
      <c r="G1699" s="5"/>
      <c r="H1699" s="16" t="s">
        <v>566</v>
      </c>
      <c r="I1699" s="25">
        <v>1000</v>
      </c>
      <c r="J1699" s="25"/>
      <c r="K1699" s="251">
        <f t="shared" si="291"/>
        <v>1000</v>
      </c>
      <c r="L1699" s="259"/>
      <c r="M1699" s="337"/>
      <c r="N1699" s="25"/>
      <c r="O1699" s="251">
        <f t="shared" si="292"/>
        <v>0</v>
      </c>
      <c r="P1699" s="259"/>
      <c r="Q1699" s="332">
        <f t="shared" si="288"/>
        <v>1000</v>
      </c>
      <c r="R1699" s="93">
        <f t="shared" si="289"/>
        <v>0</v>
      </c>
      <c r="S1699" s="93">
        <f t="shared" si="290"/>
        <v>1000</v>
      </c>
    </row>
    <row r="1700" spans="2:19" x14ac:dyDescent="0.2">
      <c r="B1700" s="205">
        <f t="shared" si="287"/>
        <v>14</v>
      </c>
      <c r="C1700" s="5"/>
      <c r="D1700" s="5"/>
      <c r="E1700" s="5"/>
      <c r="F1700" s="31"/>
      <c r="G1700" s="5"/>
      <c r="H1700" s="16" t="s">
        <v>577</v>
      </c>
      <c r="I1700" s="25">
        <v>4500</v>
      </c>
      <c r="J1700" s="25"/>
      <c r="K1700" s="251">
        <f t="shared" si="291"/>
        <v>4500</v>
      </c>
      <c r="L1700" s="259"/>
      <c r="M1700" s="337"/>
      <c r="N1700" s="25"/>
      <c r="O1700" s="251">
        <f t="shared" si="292"/>
        <v>0</v>
      </c>
      <c r="P1700" s="259"/>
      <c r="Q1700" s="332">
        <f t="shared" si="288"/>
        <v>4500</v>
      </c>
      <c r="R1700" s="93">
        <f t="shared" si="289"/>
        <v>0</v>
      </c>
      <c r="S1700" s="93">
        <f t="shared" si="290"/>
        <v>4500</v>
      </c>
    </row>
    <row r="1701" spans="2:19" ht="22.5" x14ac:dyDescent="0.2">
      <c r="B1701" s="205">
        <f t="shared" si="287"/>
        <v>15</v>
      </c>
      <c r="C1701" s="154"/>
      <c r="D1701" s="154"/>
      <c r="E1701" s="154"/>
      <c r="F1701" s="155"/>
      <c r="G1701" s="154"/>
      <c r="H1701" s="159" t="s">
        <v>578</v>
      </c>
      <c r="I1701" s="156">
        <f>4000+1500</f>
        <v>5500</v>
      </c>
      <c r="J1701" s="156"/>
      <c r="K1701" s="256">
        <f t="shared" si="291"/>
        <v>5500</v>
      </c>
      <c r="L1701" s="259"/>
      <c r="M1701" s="338"/>
      <c r="N1701" s="156"/>
      <c r="O1701" s="256">
        <f t="shared" si="292"/>
        <v>0</v>
      </c>
      <c r="P1701" s="259"/>
      <c r="Q1701" s="341">
        <f t="shared" si="288"/>
        <v>5500</v>
      </c>
      <c r="R1701" s="157">
        <f t="shared" si="289"/>
        <v>0</v>
      </c>
      <c r="S1701" s="157">
        <f t="shared" si="290"/>
        <v>5500</v>
      </c>
    </row>
    <row r="1702" spans="2:19" x14ac:dyDescent="0.2">
      <c r="B1702" s="205">
        <f t="shared" si="287"/>
        <v>16</v>
      </c>
      <c r="C1702" s="5"/>
      <c r="D1702" s="5"/>
      <c r="E1702" s="5"/>
      <c r="F1702" s="31"/>
      <c r="G1702" s="5"/>
      <c r="H1702" s="16" t="s">
        <v>579</v>
      </c>
      <c r="I1702" s="25">
        <v>3900</v>
      </c>
      <c r="J1702" s="25"/>
      <c r="K1702" s="251">
        <f t="shared" si="291"/>
        <v>3900</v>
      </c>
      <c r="L1702" s="259"/>
      <c r="M1702" s="337"/>
      <c r="N1702" s="25"/>
      <c r="O1702" s="251">
        <f t="shared" si="292"/>
        <v>0</v>
      </c>
      <c r="P1702" s="259"/>
      <c r="Q1702" s="332">
        <f t="shared" si="288"/>
        <v>3900</v>
      </c>
      <c r="R1702" s="93">
        <f t="shared" si="289"/>
        <v>0</v>
      </c>
      <c r="S1702" s="93">
        <f t="shared" si="290"/>
        <v>3900</v>
      </c>
    </row>
    <row r="1703" spans="2:19" ht="22.5" x14ac:dyDescent="0.2">
      <c r="B1703" s="205">
        <f t="shared" si="287"/>
        <v>17</v>
      </c>
      <c r="C1703" s="154"/>
      <c r="D1703" s="154"/>
      <c r="E1703" s="154"/>
      <c r="F1703" s="155"/>
      <c r="G1703" s="154"/>
      <c r="H1703" s="159" t="s">
        <v>580</v>
      </c>
      <c r="I1703" s="156">
        <v>4000</v>
      </c>
      <c r="J1703" s="156"/>
      <c r="K1703" s="256">
        <f t="shared" si="291"/>
        <v>4000</v>
      </c>
      <c r="L1703" s="259"/>
      <c r="M1703" s="338"/>
      <c r="N1703" s="156"/>
      <c r="O1703" s="256">
        <f t="shared" si="292"/>
        <v>0</v>
      </c>
      <c r="P1703" s="259"/>
      <c r="Q1703" s="341">
        <f t="shared" si="288"/>
        <v>4000</v>
      </c>
      <c r="R1703" s="157">
        <f t="shared" si="289"/>
        <v>0</v>
      </c>
      <c r="S1703" s="157">
        <f t="shared" si="290"/>
        <v>4000</v>
      </c>
    </row>
    <row r="1704" spans="2:19" x14ac:dyDescent="0.2">
      <c r="B1704" s="205">
        <f t="shared" si="287"/>
        <v>18</v>
      </c>
      <c r="C1704" s="154"/>
      <c r="D1704" s="154"/>
      <c r="E1704" s="154"/>
      <c r="F1704" s="155"/>
      <c r="G1704" s="154"/>
      <c r="H1704" s="159" t="s">
        <v>614</v>
      </c>
      <c r="I1704" s="156">
        <v>4000</v>
      </c>
      <c r="J1704" s="156"/>
      <c r="K1704" s="256">
        <f t="shared" si="291"/>
        <v>4000</v>
      </c>
      <c r="L1704" s="259"/>
      <c r="M1704" s="338"/>
      <c r="N1704" s="156"/>
      <c r="O1704" s="256">
        <f t="shared" si="292"/>
        <v>0</v>
      </c>
      <c r="P1704" s="259"/>
      <c r="Q1704" s="341">
        <f t="shared" si="288"/>
        <v>4000</v>
      </c>
      <c r="R1704" s="157">
        <f t="shared" si="289"/>
        <v>0</v>
      </c>
      <c r="S1704" s="157">
        <f t="shared" si="290"/>
        <v>4000</v>
      </c>
    </row>
    <row r="1705" spans="2:19" x14ac:dyDescent="0.2">
      <c r="B1705" s="205">
        <f t="shared" si="287"/>
        <v>19</v>
      </c>
      <c r="C1705" s="154"/>
      <c r="D1705" s="154"/>
      <c r="E1705" s="154"/>
      <c r="F1705" s="155"/>
      <c r="G1705" s="154"/>
      <c r="H1705" s="159" t="s">
        <v>628</v>
      </c>
      <c r="I1705" s="156">
        <v>7000</v>
      </c>
      <c r="J1705" s="156"/>
      <c r="K1705" s="256">
        <f t="shared" si="291"/>
        <v>7000</v>
      </c>
      <c r="L1705" s="259"/>
      <c r="M1705" s="338"/>
      <c r="N1705" s="156"/>
      <c r="O1705" s="256">
        <f t="shared" si="292"/>
        <v>0</v>
      </c>
      <c r="P1705" s="259"/>
      <c r="Q1705" s="341">
        <f t="shared" si="288"/>
        <v>7000</v>
      </c>
      <c r="R1705" s="157">
        <f t="shared" si="289"/>
        <v>0</v>
      </c>
      <c r="S1705" s="157">
        <f t="shared" si="290"/>
        <v>7000</v>
      </c>
    </row>
    <row r="1706" spans="2:19" ht="22.5" x14ac:dyDescent="0.2">
      <c r="B1706" s="205">
        <f t="shared" si="287"/>
        <v>20</v>
      </c>
      <c r="C1706" s="154"/>
      <c r="D1706" s="154"/>
      <c r="E1706" s="154"/>
      <c r="F1706" s="155"/>
      <c r="G1706" s="154"/>
      <c r="H1706" s="159" t="s">
        <v>629</v>
      </c>
      <c r="I1706" s="156">
        <v>7000</v>
      </c>
      <c r="J1706" s="156"/>
      <c r="K1706" s="256">
        <f t="shared" si="291"/>
        <v>7000</v>
      </c>
      <c r="L1706" s="259"/>
      <c r="M1706" s="338"/>
      <c r="N1706" s="156"/>
      <c r="O1706" s="256">
        <f t="shared" si="292"/>
        <v>0</v>
      </c>
      <c r="P1706" s="259"/>
      <c r="Q1706" s="341">
        <f t="shared" si="288"/>
        <v>7000</v>
      </c>
      <c r="R1706" s="157">
        <f t="shared" si="289"/>
        <v>0</v>
      </c>
      <c r="S1706" s="157">
        <f t="shared" si="290"/>
        <v>7000</v>
      </c>
    </row>
    <row r="1707" spans="2:19" x14ac:dyDescent="0.2">
      <c r="B1707" s="205">
        <f t="shared" si="287"/>
        <v>21</v>
      </c>
      <c r="C1707" s="154"/>
      <c r="D1707" s="154"/>
      <c r="E1707" s="154"/>
      <c r="F1707" s="155"/>
      <c r="G1707" s="154"/>
      <c r="H1707" s="159" t="s">
        <v>641</v>
      </c>
      <c r="I1707" s="156">
        <v>1500</v>
      </c>
      <c r="J1707" s="156"/>
      <c r="K1707" s="256">
        <f t="shared" si="291"/>
        <v>1500</v>
      </c>
      <c r="L1707" s="259"/>
      <c r="M1707" s="338"/>
      <c r="N1707" s="156"/>
      <c r="O1707" s="256">
        <f t="shared" si="292"/>
        <v>0</v>
      </c>
      <c r="P1707" s="259"/>
      <c r="Q1707" s="341">
        <f t="shared" si="288"/>
        <v>1500</v>
      </c>
      <c r="R1707" s="157">
        <f t="shared" si="289"/>
        <v>0</v>
      </c>
      <c r="S1707" s="157">
        <f t="shared" si="290"/>
        <v>1500</v>
      </c>
    </row>
    <row r="1708" spans="2:19" ht="22.5" x14ac:dyDescent="0.2">
      <c r="B1708" s="205">
        <f t="shared" si="287"/>
        <v>22</v>
      </c>
      <c r="C1708" s="154"/>
      <c r="D1708" s="158"/>
      <c r="E1708" s="154"/>
      <c r="F1708" s="155"/>
      <c r="G1708" s="154"/>
      <c r="H1708" s="159" t="s">
        <v>666</v>
      </c>
      <c r="I1708" s="156">
        <v>1500</v>
      </c>
      <c r="J1708" s="156"/>
      <c r="K1708" s="256">
        <f t="shared" si="291"/>
        <v>1500</v>
      </c>
      <c r="L1708" s="259"/>
      <c r="M1708" s="338"/>
      <c r="N1708" s="156"/>
      <c r="O1708" s="256">
        <f t="shared" si="292"/>
        <v>0</v>
      </c>
      <c r="P1708" s="259"/>
      <c r="Q1708" s="341">
        <f t="shared" si="288"/>
        <v>1500</v>
      </c>
      <c r="R1708" s="157">
        <f t="shared" ref="R1708" si="293">J1708+N1708</f>
        <v>0</v>
      </c>
      <c r="S1708" s="157">
        <f t="shared" ref="S1708" si="294">K1708+O1708</f>
        <v>1500</v>
      </c>
    </row>
    <row r="1709" spans="2:19" ht="15" x14ac:dyDescent="0.2">
      <c r="B1709" s="205">
        <f t="shared" si="287"/>
        <v>23</v>
      </c>
      <c r="C1709" s="242">
        <v>2</v>
      </c>
      <c r="D1709" s="511" t="s">
        <v>185</v>
      </c>
      <c r="E1709" s="509"/>
      <c r="F1709" s="509"/>
      <c r="G1709" s="509"/>
      <c r="H1709" s="510"/>
      <c r="I1709" s="40">
        <f>I1710</f>
        <v>173600</v>
      </c>
      <c r="J1709" s="40">
        <f>J1710</f>
        <v>0</v>
      </c>
      <c r="K1709" s="248">
        <f t="shared" si="291"/>
        <v>173600</v>
      </c>
      <c r="L1709" s="259"/>
      <c r="M1709" s="318">
        <v>0</v>
      </c>
      <c r="N1709" s="40">
        <v>0</v>
      </c>
      <c r="O1709" s="248">
        <f t="shared" si="292"/>
        <v>0</v>
      </c>
      <c r="P1709" s="259"/>
      <c r="Q1709" s="313">
        <f t="shared" si="288"/>
        <v>173600</v>
      </c>
      <c r="R1709" s="89">
        <f t="shared" si="289"/>
        <v>0</v>
      </c>
      <c r="S1709" s="89">
        <f t="shared" si="290"/>
        <v>173600</v>
      </c>
    </row>
    <row r="1710" spans="2:19" x14ac:dyDescent="0.2">
      <c r="B1710" s="205">
        <f t="shared" si="287"/>
        <v>24</v>
      </c>
      <c r="C1710" s="10"/>
      <c r="D1710" s="10"/>
      <c r="E1710" s="10"/>
      <c r="F1710" s="29" t="s">
        <v>82</v>
      </c>
      <c r="G1710" s="10">
        <v>630</v>
      </c>
      <c r="H1710" s="10" t="s">
        <v>133</v>
      </c>
      <c r="I1710" s="27">
        <f>I1713+I1712+I1711</f>
        <v>173600</v>
      </c>
      <c r="J1710" s="27">
        <f>J1713+J1712+J1711</f>
        <v>0</v>
      </c>
      <c r="K1710" s="250">
        <f t="shared" si="291"/>
        <v>173600</v>
      </c>
      <c r="L1710" s="259"/>
      <c r="M1710" s="315"/>
      <c r="N1710" s="27"/>
      <c r="O1710" s="250">
        <f t="shared" si="292"/>
        <v>0</v>
      </c>
      <c r="P1710" s="259"/>
      <c r="Q1710" s="309">
        <f t="shared" si="288"/>
        <v>173600</v>
      </c>
      <c r="R1710" s="91">
        <f t="shared" si="289"/>
        <v>0</v>
      </c>
      <c r="S1710" s="91">
        <f t="shared" si="290"/>
        <v>173600</v>
      </c>
    </row>
    <row r="1711" spans="2:19" x14ac:dyDescent="0.2">
      <c r="B1711" s="205">
        <f t="shared" si="287"/>
        <v>25</v>
      </c>
      <c r="C1711" s="4"/>
      <c r="D1711" s="4"/>
      <c r="E1711" s="4"/>
      <c r="F1711" s="30" t="s">
        <v>82</v>
      </c>
      <c r="G1711" s="4">
        <v>633</v>
      </c>
      <c r="H1711" s="4" t="s">
        <v>137</v>
      </c>
      <c r="I1711" s="23">
        <f>3600+3300</f>
        <v>6900</v>
      </c>
      <c r="J1711" s="23"/>
      <c r="K1711" s="220">
        <f t="shared" si="291"/>
        <v>6900</v>
      </c>
      <c r="L1711" s="259"/>
      <c r="M1711" s="227"/>
      <c r="N1711" s="23"/>
      <c r="O1711" s="220">
        <f t="shared" si="292"/>
        <v>0</v>
      </c>
      <c r="P1711" s="259"/>
      <c r="Q1711" s="308">
        <f t="shared" si="288"/>
        <v>6900</v>
      </c>
      <c r="R1711" s="92">
        <f t="shared" si="289"/>
        <v>0</v>
      </c>
      <c r="S1711" s="92">
        <f t="shared" si="290"/>
        <v>6900</v>
      </c>
    </row>
    <row r="1712" spans="2:19" x14ac:dyDescent="0.2">
      <c r="B1712" s="206">
        <f t="shared" si="287"/>
        <v>26</v>
      </c>
      <c r="C1712" s="4"/>
      <c r="D1712" s="4"/>
      <c r="E1712" s="4"/>
      <c r="F1712" s="30" t="s">
        <v>82</v>
      </c>
      <c r="G1712" s="4">
        <v>636</v>
      </c>
      <c r="H1712" s="4" t="s">
        <v>138</v>
      </c>
      <c r="I1712" s="23">
        <f>1000+15000</f>
        <v>16000</v>
      </c>
      <c r="J1712" s="23">
        <v>-4700</v>
      </c>
      <c r="K1712" s="220">
        <f t="shared" si="291"/>
        <v>11300</v>
      </c>
      <c r="L1712" s="259"/>
      <c r="M1712" s="227"/>
      <c r="N1712" s="23"/>
      <c r="O1712" s="220">
        <f t="shared" si="292"/>
        <v>0</v>
      </c>
      <c r="P1712" s="259"/>
      <c r="Q1712" s="308">
        <f t="shared" si="288"/>
        <v>16000</v>
      </c>
      <c r="R1712" s="92">
        <f t="shared" si="289"/>
        <v>-4700</v>
      </c>
      <c r="S1712" s="92">
        <f t="shared" si="290"/>
        <v>11300</v>
      </c>
    </row>
    <row r="1713" spans="2:19" x14ac:dyDescent="0.2">
      <c r="B1713" s="206">
        <f t="shared" si="287"/>
        <v>27</v>
      </c>
      <c r="C1713" s="4"/>
      <c r="D1713" s="4"/>
      <c r="E1713" s="4"/>
      <c r="F1713" s="30" t="s">
        <v>82</v>
      </c>
      <c r="G1713" s="4">
        <v>637</v>
      </c>
      <c r="H1713" s="4" t="s">
        <v>134</v>
      </c>
      <c r="I1713" s="23">
        <f>147000-15000+18200+500</f>
        <v>150700</v>
      </c>
      <c r="J1713" s="23">
        <v>4700</v>
      </c>
      <c r="K1713" s="220">
        <f t="shared" si="291"/>
        <v>155400</v>
      </c>
      <c r="L1713" s="259"/>
      <c r="M1713" s="227"/>
      <c r="N1713" s="23"/>
      <c r="O1713" s="220">
        <f t="shared" si="292"/>
        <v>0</v>
      </c>
      <c r="P1713" s="259"/>
      <c r="Q1713" s="308">
        <f t="shared" si="288"/>
        <v>150700</v>
      </c>
      <c r="R1713" s="92">
        <f t="shared" si="289"/>
        <v>4700</v>
      </c>
      <c r="S1713" s="92">
        <f t="shared" si="290"/>
        <v>155400</v>
      </c>
    </row>
    <row r="1714" spans="2:19" ht="15" x14ac:dyDescent="0.2">
      <c r="B1714" s="206">
        <f t="shared" si="287"/>
        <v>28</v>
      </c>
      <c r="C1714" s="242">
        <v>3</v>
      </c>
      <c r="D1714" s="511" t="s">
        <v>149</v>
      </c>
      <c r="E1714" s="509"/>
      <c r="F1714" s="509"/>
      <c r="G1714" s="509"/>
      <c r="H1714" s="510"/>
      <c r="I1714" s="40">
        <f>I1715+I1716+I1721+I1726</f>
        <v>182020</v>
      </c>
      <c r="J1714" s="40">
        <f>J1715+J1716+J1721+J1726</f>
        <v>0</v>
      </c>
      <c r="K1714" s="248">
        <f t="shared" si="291"/>
        <v>182020</v>
      </c>
      <c r="L1714" s="259"/>
      <c r="M1714" s="318">
        <f>M1721</f>
        <v>49000</v>
      </c>
      <c r="N1714" s="40">
        <f>N1721</f>
        <v>0</v>
      </c>
      <c r="O1714" s="248">
        <f t="shared" si="292"/>
        <v>49000</v>
      </c>
      <c r="P1714" s="259"/>
      <c r="Q1714" s="313">
        <f t="shared" si="288"/>
        <v>231020</v>
      </c>
      <c r="R1714" s="89">
        <f t="shared" si="289"/>
        <v>0</v>
      </c>
      <c r="S1714" s="89">
        <f t="shared" si="290"/>
        <v>231020</v>
      </c>
    </row>
    <row r="1715" spans="2:19" x14ac:dyDescent="0.2">
      <c r="B1715" s="205">
        <f t="shared" si="287"/>
        <v>29</v>
      </c>
      <c r="C1715" s="10"/>
      <c r="D1715" s="10"/>
      <c r="E1715" s="10"/>
      <c r="F1715" s="29" t="s">
        <v>82</v>
      </c>
      <c r="G1715" s="10">
        <v>620</v>
      </c>
      <c r="H1715" s="10" t="s">
        <v>136</v>
      </c>
      <c r="I1715" s="27">
        <v>3050</v>
      </c>
      <c r="J1715" s="27"/>
      <c r="K1715" s="250">
        <f t="shared" si="291"/>
        <v>3050</v>
      </c>
      <c r="L1715" s="259"/>
      <c r="M1715" s="315"/>
      <c r="N1715" s="27"/>
      <c r="O1715" s="250">
        <f t="shared" si="292"/>
        <v>0</v>
      </c>
      <c r="P1715" s="259"/>
      <c r="Q1715" s="309">
        <f t="shared" si="288"/>
        <v>3050</v>
      </c>
      <c r="R1715" s="91">
        <f t="shared" si="289"/>
        <v>0</v>
      </c>
      <c r="S1715" s="91">
        <f t="shared" si="290"/>
        <v>3050</v>
      </c>
    </row>
    <row r="1716" spans="2:19" x14ac:dyDescent="0.2">
      <c r="B1716" s="205">
        <f t="shared" si="287"/>
        <v>30</v>
      </c>
      <c r="C1716" s="10"/>
      <c r="D1716" s="10"/>
      <c r="E1716" s="10"/>
      <c r="F1716" s="29" t="s">
        <v>82</v>
      </c>
      <c r="G1716" s="10">
        <v>630</v>
      </c>
      <c r="H1716" s="10" t="s">
        <v>133</v>
      </c>
      <c r="I1716" s="27">
        <f>I1720+I1719+I1718+I1717</f>
        <v>164970</v>
      </c>
      <c r="J1716" s="27">
        <f>J1720+J1719+J1718+J1717</f>
        <v>0</v>
      </c>
      <c r="K1716" s="250">
        <f t="shared" si="291"/>
        <v>164970</v>
      </c>
      <c r="L1716" s="259"/>
      <c r="M1716" s="315"/>
      <c r="N1716" s="27"/>
      <c r="O1716" s="250">
        <f t="shared" si="292"/>
        <v>0</v>
      </c>
      <c r="P1716" s="259"/>
      <c r="Q1716" s="309">
        <f t="shared" si="288"/>
        <v>164970</v>
      </c>
      <c r="R1716" s="91">
        <f t="shared" si="289"/>
        <v>0</v>
      </c>
      <c r="S1716" s="91">
        <f t="shared" si="290"/>
        <v>164970</v>
      </c>
    </row>
    <row r="1717" spans="2:19" x14ac:dyDescent="0.2">
      <c r="B1717" s="205">
        <f t="shared" si="287"/>
        <v>31</v>
      </c>
      <c r="C1717" s="4"/>
      <c r="D1717" s="4"/>
      <c r="E1717" s="4"/>
      <c r="F1717" s="30" t="s">
        <v>82</v>
      </c>
      <c r="G1717" s="4">
        <v>632</v>
      </c>
      <c r="H1717" s="4" t="s">
        <v>146</v>
      </c>
      <c r="I1717" s="23">
        <f>9300+121000-5000</f>
        <v>125300</v>
      </c>
      <c r="J1717" s="23"/>
      <c r="K1717" s="220">
        <f t="shared" si="291"/>
        <v>125300</v>
      </c>
      <c r="L1717" s="259"/>
      <c r="M1717" s="227"/>
      <c r="N1717" s="23"/>
      <c r="O1717" s="220">
        <f t="shared" si="292"/>
        <v>0</v>
      </c>
      <c r="P1717" s="259"/>
      <c r="Q1717" s="308">
        <f t="shared" si="288"/>
        <v>125300</v>
      </c>
      <c r="R1717" s="92">
        <f t="shared" si="289"/>
        <v>0</v>
      </c>
      <c r="S1717" s="92">
        <f t="shared" si="290"/>
        <v>125300</v>
      </c>
    </row>
    <row r="1718" spans="2:19" x14ac:dyDescent="0.2">
      <c r="B1718" s="205">
        <f t="shared" si="287"/>
        <v>32</v>
      </c>
      <c r="C1718" s="4"/>
      <c r="D1718" s="4"/>
      <c r="E1718" s="4"/>
      <c r="F1718" s="30" t="s">
        <v>82</v>
      </c>
      <c r="G1718" s="4">
        <v>633</v>
      </c>
      <c r="H1718" s="4" t="s">
        <v>137</v>
      </c>
      <c r="I1718" s="23">
        <f>5500+3500+3200</f>
        <v>12200</v>
      </c>
      <c r="J1718" s="23"/>
      <c r="K1718" s="220">
        <f t="shared" si="291"/>
        <v>12200</v>
      </c>
      <c r="L1718" s="259"/>
      <c r="M1718" s="227"/>
      <c r="N1718" s="23"/>
      <c r="O1718" s="220">
        <f t="shared" si="292"/>
        <v>0</v>
      </c>
      <c r="P1718" s="319"/>
      <c r="Q1718" s="308">
        <f t="shared" si="288"/>
        <v>12200</v>
      </c>
      <c r="R1718" s="92">
        <f t="shared" si="289"/>
        <v>0</v>
      </c>
      <c r="S1718" s="92">
        <f t="shared" si="290"/>
        <v>12200</v>
      </c>
    </row>
    <row r="1719" spans="2:19" x14ac:dyDescent="0.2">
      <c r="B1719" s="205">
        <f t="shared" si="287"/>
        <v>33</v>
      </c>
      <c r="C1719" s="4"/>
      <c r="D1719" s="4"/>
      <c r="E1719" s="4"/>
      <c r="F1719" s="30" t="s">
        <v>82</v>
      </c>
      <c r="G1719" s="4">
        <v>635</v>
      </c>
      <c r="H1719" s="4" t="s">
        <v>145</v>
      </c>
      <c r="I1719" s="23">
        <v>8000</v>
      </c>
      <c r="J1719" s="23"/>
      <c r="K1719" s="220">
        <f t="shared" si="291"/>
        <v>8000</v>
      </c>
      <c r="L1719" s="319"/>
      <c r="M1719" s="227"/>
      <c r="N1719" s="23"/>
      <c r="O1719" s="220">
        <f t="shared" si="292"/>
        <v>0</v>
      </c>
      <c r="P1719" s="260"/>
      <c r="Q1719" s="308">
        <f t="shared" si="288"/>
        <v>8000</v>
      </c>
      <c r="R1719" s="92">
        <f t="shared" si="289"/>
        <v>0</v>
      </c>
      <c r="S1719" s="92">
        <f t="shared" si="290"/>
        <v>8000</v>
      </c>
    </row>
    <row r="1720" spans="2:19" x14ac:dyDescent="0.2">
      <c r="B1720" s="205">
        <f t="shared" si="287"/>
        <v>34</v>
      </c>
      <c r="C1720" s="4"/>
      <c r="D1720" s="4"/>
      <c r="E1720" s="4"/>
      <c r="F1720" s="30" t="s">
        <v>82</v>
      </c>
      <c r="G1720" s="4">
        <v>637</v>
      </c>
      <c r="H1720" s="4" t="s">
        <v>134</v>
      </c>
      <c r="I1720" s="23">
        <f>14470+5000</f>
        <v>19470</v>
      </c>
      <c r="J1720" s="23"/>
      <c r="K1720" s="220">
        <f t="shared" si="291"/>
        <v>19470</v>
      </c>
      <c r="L1720" s="319"/>
      <c r="M1720" s="227"/>
      <c r="N1720" s="23"/>
      <c r="O1720" s="220">
        <f t="shared" si="292"/>
        <v>0</v>
      </c>
      <c r="P1720" s="259"/>
      <c r="Q1720" s="308">
        <f t="shared" si="288"/>
        <v>19470</v>
      </c>
      <c r="R1720" s="92">
        <f t="shared" si="289"/>
        <v>0</v>
      </c>
      <c r="S1720" s="92">
        <f t="shared" si="290"/>
        <v>19470</v>
      </c>
    </row>
    <row r="1721" spans="2:19" x14ac:dyDescent="0.2">
      <c r="B1721" s="205">
        <f t="shared" si="287"/>
        <v>35</v>
      </c>
      <c r="C1721" s="10"/>
      <c r="D1721" s="10"/>
      <c r="E1721" s="10"/>
      <c r="F1721" s="29" t="s">
        <v>82</v>
      </c>
      <c r="G1721" s="10">
        <v>710</v>
      </c>
      <c r="H1721" s="10" t="s">
        <v>188</v>
      </c>
      <c r="I1721" s="27"/>
      <c r="J1721" s="27"/>
      <c r="K1721" s="250">
        <f t="shared" si="291"/>
        <v>0</v>
      </c>
      <c r="L1721" s="259"/>
      <c r="M1721" s="315">
        <f>M1723+M1722</f>
        <v>49000</v>
      </c>
      <c r="N1721" s="27">
        <f>N1723+N1722</f>
        <v>0</v>
      </c>
      <c r="O1721" s="250">
        <f t="shared" si="292"/>
        <v>49000</v>
      </c>
      <c r="P1721" s="259"/>
      <c r="Q1721" s="309">
        <f t="shared" si="288"/>
        <v>49000</v>
      </c>
      <c r="R1721" s="91">
        <f t="shared" si="289"/>
        <v>0</v>
      </c>
      <c r="S1721" s="91">
        <f t="shared" si="290"/>
        <v>49000</v>
      </c>
    </row>
    <row r="1722" spans="2:19" x14ac:dyDescent="0.2">
      <c r="B1722" s="205">
        <f t="shared" si="287"/>
        <v>36</v>
      </c>
      <c r="C1722" s="10"/>
      <c r="D1722" s="10"/>
      <c r="E1722" s="10"/>
      <c r="F1722" s="190"/>
      <c r="G1722" s="56">
        <v>716</v>
      </c>
      <c r="H1722" s="56" t="s">
        <v>568</v>
      </c>
      <c r="I1722" s="24"/>
      <c r="J1722" s="24"/>
      <c r="K1722" s="257">
        <f t="shared" si="291"/>
        <v>0</v>
      </c>
      <c r="L1722" s="259"/>
      <c r="M1722" s="339">
        <v>24000</v>
      </c>
      <c r="N1722" s="24"/>
      <c r="O1722" s="257">
        <f t="shared" si="292"/>
        <v>24000</v>
      </c>
      <c r="P1722" s="259"/>
      <c r="Q1722" s="311">
        <f>M1722</f>
        <v>24000</v>
      </c>
      <c r="R1722" s="126">
        <f t="shared" ref="R1722:S1722" si="295">N1722</f>
        <v>0</v>
      </c>
      <c r="S1722" s="126">
        <f t="shared" si="295"/>
        <v>24000</v>
      </c>
    </row>
    <row r="1723" spans="2:19" x14ac:dyDescent="0.2">
      <c r="B1723" s="205">
        <f t="shared" si="287"/>
        <v>37</v>
      </c>
      <c r="C1723" s="4"/>
      <c r="D1723" s="4"/>
      <c r="E1723" s="4"/>
      <c r="F1723" s="30" t="s">
        <v>82</v>
      </c>
      <c r="G1723" s="4">
        <v>717</v>
      </c>
      <c r="H1723" s="4" t="s">
        <v>198</v>
      </c>
      <c r="I1723" s="23"/>
      <c r="J1723" s="23"/>
      <c r="K1723" s="220">
        <f t="shared" si="291"/>
        <v>0</v>
      </c>
      <c r="L1723" s="259"/>
      <c r="M1723" s="227">
        <f>M1724+M1725</f>
        <v>25000</v>
      </c>
      <c r="N1723" s="23">
        <f>N1724+N1725</f>
        <v>0</v>
      </c>
      <c r="O1723" s="220">
        <f t="shared" si="292"/>
        <v>25000</v>
      </c>
      <c r="P1723" s="259"/>
      <c r="Q1723" s="308">
        <f t="shared" si="288"/>
        <v>25000</v>
      </c>
      <c r="R1723" s="92">
        <f t="shared" ref="R1723:R1731" si="296">J1723+N1723</f>
        <v>0</v>
      </c>
      <c r="S1723" s="92">
        <f t="shared" ref="S1723:S1731" si="297">K1723+O1723</f>
        <v>25000</v>
      </c>
    </row>
    <row r="1724" spans="2:19" x14ac:dyDescent="0.2">
      <c r="B1724" s="205">
        <f t="shared" si="287"/>
        <v>38</v>
      </c>
      <c r="C1724" s="5"/>
      <c r="D1724" s="5"/>
      <c r="E1724" s="5"/>
      <c r="F1724" s="31"/>
      <c r="G1724" s="5"/>
      <c r="H1724" s="5" t="s">
        <v>340</v>
      </c>
      <c r="I1724" s="25"/>
      <c r="J1724" s="25"/>
      <c r="K1724" s="251">
        <f t="shared" si="291"/>
        <v>0</v>
      </c>
      <c r="L1724" s="259"/>
      <c r="M1724" s="337">
        <f>19000-9000</f>
        <v>10000</v>
      </c>
      <c r="N1724" s="25"/>
      <c r="O1724" s="251">
        <f t="shared" si="292"/>
        <v>10000</v>
      </c>
      <c r="P1724" s="259"/>
      <c r="Q1724" s="332">
        <f t="shared" si="288"/>
        <v>10000</v>
      </c>
      <c r="R1724" s="93">
        <f t="shared" si="296"/>
        <v>0</v>
      </c>
      <c r="S1724" s="93">
        <f t="shared" si="297"/>
        <v>10000</v>
      </c>
    </row>
    <row r="1725" spans="2:19" x14ac:dyDescent="0.2">
      <c r="B1725" s="205">
        <f t="shared" si="287"/>
        <v>39</v>
      </c>
      <c r="C1725" s="5"/>
      <c r="D1725" s="5"/>
      <c r="E1725" s="5"/>
      <c r="F1725" s="31"/>
      <c r="G1725" s="5"/>
      <c r="H1725" s="5" t="s">
        <v>537</v>
      </c>
      <c r="I1725" s="25"/>
      <c r="J1725" s="25"/>
      <c r="K1725" s="251">
        <f t="shared" si="291"/>
        <v>0</v>
      </c>
      <c r="L1725" s="259"/>
      <c r="M1725" s="337">
        <v>15000</v>
      </c>
      <c r="N1725" s="25"/>
      <c r="O1725" s="251">
        <f t="shared" si="292"/>
        <v>15000</v>
      </c>
      <c r="P1725" s="259"/>
      <c r="Q1725" s="332">
        <f t="shared" si="288"/>
        <v>15000</v>
      </c>
      <c r="R1725" s="93">
        <f t="shared" si="296"/>
        <v>0</v>
      </c>
      <c r="S1725" s="93">
        <f t="shared" si="297"/>
        <v>15000</v>
      </c>
    </row>
    <row r="1726" spans="2:19" ht="15" x14ac:dyDescent="0.25">
      <c r="B1726" s="205">
        <f t="shared" si="287"/>
        <v>40</v>
      </c>
      <c r="C1726" s="13"/>
      <c r="D1726" s="13"/>
      <c r="E1726" s="13">
        <v>2</v>
      </c>
      <c r="F1726" s="32"/>
      <c r="G1726" s="13"/>
      <c r="H1726" s="13" t="s">
        <v>402</v>
      </c>
      <c r="I1726" s="42">
        <f>I1727</f>
        <v>14000</v>
      </c>
      <c r="J1726" s="42">
        <f>J1727</f>
        <v>0</v>
      </c>
      <c r="K1726" s="255">
        <f t="shared" si="291"/>
        <v>14000</v>
      </c>
      <c r="L1726" s="259"/>
      <c r="M1726" s="317">
        <v>0</v>
      </c>
      <c r="N1726" s="42">
        <v>0</v>
      </c>
      <c r="O1726" s="255">
        <f t="shared" si="292"/>
        <v>0</v>
      </c>
      <c r="P1726" s="259"/>
      <c r="Q1726" s="312">
        <f t="shared" si="288"/>
        <v>14000</v>
      </c>
      <c r="R1726" s="99">
        <f t="shared" si="296"/>
        <v>0</v>
      </c>
      <c r="S1726" s="99">
        <f t="shared" si="297"/>
        <v>14000</v>
      </c>
    </row>
    <row r="1727" spans="2:19" x14ac:dyDescent="0.2">
      <c r="B1727" s="205">
        <f t="shared" si="287"/>
        <v>41</v>
      </c>
      <c r="C1727" s="10"/>
      <c r="D1727" s="10"/>
      <c r="E1727" s="10"/>
      <c r="F1727" s="29" t="s">
        <v>82</v>
      </c>
      <c r="G1727" s="10">
        <v>630</v>
      </c>
      <c r="H1727" s="10" t="s">
        <v>133</v>
      </c>
      <c r="I1727" s="27">
        <f>I1728</f>
        <v>14000</v>
      </c>
      <c r="J1727" s="27">
        <f>J1728</f>
        <v>0</v>
      </c>
      <c r="K1727" s="250">
        <f t="shared" si="291"/>
        <v>14000</v>
      </c>
      <c r="L1727" s="259"/>
      <c r="M1727" s="315"/>
      <c r="N1727" s="27"/>
      <c r="O1727" s="250">
        <f t="shared" si="292"/>
        <v>0</v>
      </c>
      <c r="P1727" s="259"/>
      <c r="Q1727" s="309">
        <f t="shared" si="288"/>
        <v>14000</v>
      </c>
      <c r="R1727" s="91">
        <f t="shared" si="296"/>
        <v>0</v>
      </c>
      <c r="S1727" s="91">
        <f t="shared" si="297"/>
        <v>14000</v>
      </c>
    </row>
    <row r="1728" spans="2:19" x14ac:dyDescent="0.2">
      <c r="B1728" s="205">
        <f t="shared" si="287"/>
        <v>42</v>
      </c>
      <c r="C1728" s="4"/>
      <c r="D1728" s="4"/>
      <c r="E1728" s="4"/>
      <c r="F1728" s="30" t="s">
        <v>82</v>
      </c>
      <c r="G1728" s="4">
        <v>632</v>
      </c>
      <c r="H1728" s="4" t="s">
        <v>146</v>
      </c>
      <c r="I1728" s="23">
        <v>14000</v>
      </c>
      <c r="J1728" s="23"/>
      <c r="K1728" s="220">
        <f t="shared" si="291"/>
        <v>14000</v>
      </c>
      <c r="L1728" s="259"/>
      <c r="M1728" s="227"/>
      <c r="N1728" s="23"/>
      <c r="O1728" s="220">
        <f t="shared" si="292"/>
        <v>0</v>
      </c>
      <c r="P1728" s="259"/>
      <c r="Q1728" s="308">
        <f t="shared" si="288"/>
        <v>14000</v>
      </c>
      <c r="R1728" s="92">
        <f t="shared" si="296"/>
        <v>0</v>
      </c>
      <c r="S1728" s="92">
        <f t="shared" si="297"/>
        <v>14000</v>
      </c>
    </row>
    <row r="1729" spans="2:19" ht="15" x14ac:dyDescent="0.2">
      <c r="B1729" s="205">
        <f t="shared" si="287"/>
        <v>43</v>
      </c>
      <c r="C1729" s="242">
        <v>4</v>
      </c>
      <c r="D1729" s="511" t="s">
        <v>5</v>
      </c>
      <c r="E1729" s="509"/>
      <c r="F1729" s="509"/>
      <c r="G1729" s="509"/>
      <c r="H1729" s="510"/>
      <c r="I1729" s="40">
        <v>0</v>
      </c>
      <c r="J1729" s="40">
        <v>0</v>
      </c>
      <c r="K1729" s="248">
        <f t="shared" si="291"/>
        <v>0</v>
      </c>
      <c r="L1729" s="259"/>
      <c r="M1729" s="318">
        <f>M1730</f>
        <v>18320</v>
      </c>
      <c r="N1729" s="40">
        <f>N1730</f>
        <v>0</v>
      </c>
      <c r="O1729" s="248">
        <f t="shared" si="292"/>
        <v>18320</v>
      </c>
      <c r="P1729" s="259"/>
      <c r="Q1729" s="313">
        <f t="shared" si="288"/>
        <v>18320</v>
      </c>
      <c r="R1729" s="89">
        <f t="shared" si="296"/>
        <v>0</v>
      </c>
      <c r="S1729" s="89">
        <f t="shared" si="297"/>
        <v>18320</v>
      </c>
    </row>
    <row r="1730" spans="2:19" x14ac:dyDescent="0.2">
      <c r="B1730" s="205">
        <f t="shared" si="287"/>
        <v>44</v>
      </c>
      <c r="C1730" s="10"/>
      <c r="D1730" s="10"/>
      <c r="E1730" s="10"/>
      <c r="F1730" s="29" t="s">
        <v>82</v>
      </c>
      <c r="G1730" s="10">
        <v>710</v>
      </c>
      <c r="H1730" s="10" t="s">
        <v>188</v>
      </c>
      <c r="I1730" s="27"/>
      <c r="J1730" s="27"/>
      <c r="K1730" s="250">
        <f t="shared" si="291"/>
        <v>0</v>
      </c>
      <c r="L1730" s="259"/>
      <c r="M1730" s="315">
        <f>M1731</f>
        <v>18320</v>
      </c>
      <c r="N1730" s="27">
        <f>N1731</f>
        <v>0</v>
      </c>
      <c r="O1730" s="250">
        <f t="shared" si="292"/>
        <v>18320</v>
      </c>
      <c r="P1730" s="259"/>
      <c r="Q1730" s="309">
        <f t="shared" si="288"/>
        <v>18320</v>
      </c>
      <c r="R1730" s="91">
        <f t="shared" si="296"/>
        <v>0</v>
      </c>
      <c r="S1730" s="91">
        <f t="shared" si="297"/>
        <v>18320</v>
      </c>
    </row>
    <row r="1731" spans="2:19" ht="13.5" thickBot="1" x14ac:dyDescent="0.25">
      <c r="B1731" s="205">
        <f t="shared" si="287"/>
        <v>45</v>
      </c>
      <c r="C1731" s="17"/>
      <c r="D1731" s="17"/>
      <c r="E1731" s="17"/>
      <c r="F1731" s="95" t="s">
        <v>82</v>
      </c>
      <c r="G1731" s="17">
        <v>717</v>
      </c>
      <c r="H1731" s="17" t="s">
        <v>198</v>
      </c>
      <c r="I1731" s="28"/>
      <c r="J1731" s="28"/>
      <c r="K1731" s="271">
        <f t="shared" si="291"/>
        <v>0</v>
      </c>
      <c r="L1731" s="259"/>
      <c r="M1731" s="340">
        <v>18320</v>
      </c>
      <c r="N1731" s="270"/>
      <c r="O1731" s="271">
        <f t="shared" si="292"/>
        <v>18320</v>
      </c>
      <c r="Q1731" s="272">
        <f t="shared" si="288"/>
        <v>18320</v>
      </c>
      <c r="R1731" s="307">
        <f t="shared" si="296"/>
        <v>0</v>
      </c>
      <c r="S1731" s="96">
        <f t="shared" si="297"/>
        <v>18320</v>
      </c>
    </row>
    <row r="1732" spans="2:19" x14ac:dyDescent="0.2">
      <c r="K1732" s="273"/>
      <c r="M1732" s="273"/>
      <c r="N1732" s="273"/>
      <c r="O1732" s="273"/>
      <c r="P1732" s="274"/>
      <c r="Q1732" s="273"/>
    </row>
    <row r="1733" spans="2:19" x14ac:dyDescent="0.2">
      <c r="K1733" s="49"/>
      <c r="M1733" s="49"/>
      <c r="N1733" s="49"/>
      <c r="O1733" s="49"/>
      <c r="Q1733" s="49"/>
    </row>
    <row r="1734" spans="2:19" x14ac:dyDescent="0.2">
      <c r="K1734" s="49"/>
      <c r="M1734" s="49"/>
      <c r="N1734" s="49"/>
      <c r="O1734" s="49"/>
      <c r="Q1734" s="49"/>
    </row>
    <row r="1735" spans="2:19" ht="27.75" thickBot="1" x14ac:dyDescent="0.4">
      <c r="B1735" s="480" t="s">
        <v>30</v>
      </c>
      <c r="C1735" s="481"/>
      <c r="D1735" s="481"/>
      <c r="E1735" s="481"/>
      <c r="F1735" s="481"/>
      <c r="G1735" s="481"/>
      <c r="H1735" s="481"/>
      <c r="I1735" s="481"/>
      <c r="J1735" s="481"/>
      <c r="K1735" s="481"/>
      <c r="L1735" s="481"/>
      <c r="M1735" s="481"/>
      <c r="N1735" s="481"/>
      <c r="O1735" s="481"/>
      <c r="P1735" s="481"/>
      <c r="Q1735" s="481"/>
    </row>
    <row r="1736" spans="2:19" ht="13.5" customHeight="1" thickBot="1" x14ac:dyDescent="0.25">
      <c r="B1736" s="482" t="s">
        <v>353</v>
      </c>
      <c r="C1736" s="483"/>
      <c r="D1736" s="483"/>
      <c r="E1736" s="483"/>
      <c r="F1736" s="483"/>
      <c r="G1736" s="483"/>
      <c r="H1736" s="483"/>
      <c r="I1736" s="484"/>
      <c r="J1736" s="484"/>
      <c r="K1736" s="484"/>
      <c r="L1736" s="484"/>
      <c r="M1736" s="484"/>
      <c r="N1736" s="244"/>
      <c r="O1736" s="244"/>
      <c r="P1736" s="259"/>
      <c r="Q1736" s="485" t="s">
        <v>651</v>
      </c>
      <c r="R1736" s="471" t="s">
        <v>648</v>
      </c>
      <c r="S1736" s="474" t="s">
        <v>652</v>
      </c>
    </row>
    <row r="1737" spans="2:19" ht="13.5" customHeight="1" thickBot="1" x14ac:dyDescent="0.25">
      <c r="B1737" s="488"/>
      <c r="C1737" s="489" t="s">
        <v>126</v>
      </c>
      <c r="D1737" s="489" t="s">
        <v>127</v>
      </c>
      <c r="E1737" s="489"/>
      <c r="F1737" s="489" t="s">
        <v>128</v>
      </c>
      <c r="G1737" s="492" t="s">
        <v>129</v>
      </c>
      <c r="H1737" s="495" t="s">
        <v>130</v>
      </c>
      <c r="I1737" s="496" t="s">
        <v>647</v>
      </c>
      <c r="J1737" s="502" t="s">
        <v>648</v>
      </c>
      <c r="K1737" s="474" t="s">
        <v>649</v>
      </c>
      <c r="M1737" s="498" t="s">
        <v>650</v>
      </c>
      <c r="N1737" s="471" t="s">
        <v>648</v>
      </c>
      <c r="O1737" s="477" t="s">
        <v>649</v>
      </c>
      <c r="P1737" s="259"/>
      <c r="Q1737" s="486"/>
      <c r="R1737" s="472"/>
      <c r="S1737" s="475"/>
    </row>
    <row r="1738" spans="2:19" ht="13.5" thickBot="1" x14ac:dyDescent="0.25">
      <c r="B1738" s="488"/>
      <c r="C1738" s="490"/>
      <c r="D1738" s="490"/>
      <c r="E1738" s="490"/>
      <c r="F1738" s="490"/>
      <c r="G1738" s="493"/>
      <c r="H1738" s="495"/>
      <c r="I1738" s="496"/>
      <c r="J1738" s="502"/>
      <c r="K1738" s="475"/>
      <c r="M1738" s="499"/>
      <c r="N1738" s="472"/>
      <c r="O1738" s="478"/>
      <c r="P1738" s="259"/>
      <c r="Q1738" s="486"/>
      <c r="R1738" s="472"/>
      <c r="S1738" s="475"/>
    </row>
    <row r="1739" spans="2:19" ht="13.5" thickBot="1" x14ac:dyDescent="0.25">
      <c r="B1739" s="488"/>
      <c r="C1739" s="490"/>
      <c r="D1739" s="490"/>
      <c r="E1739" s="490"/>
      <c r="F1739" s="490"/>
      <c r="G1739" s="493"/>
      <c r="H1739" s="495"/>
      <c r="I1739" s="496"/>
      <c r="J1739" s="502"/>
      <c r="K1739" s="478"/>
      <c r="L1739" s="259"/>
      <c r="M1739" s="500"/>
      <c r="N1739" s="472"/>
      <c r="O1739" s="478"/>
      <c r="P1739" s="259"/>
      <c r="Q1739" s="486"/>
      <c r="R1739" s="472"/>
      <c r="S1739" s="475"/>
    </row>
    <row r="1740" spans="2:19" ht="13.5" thickBot="1" x14ac:dyDescent="0.25">
      <c r="B1740" s="488"/>
      <c r="C1740" s="491"/>
      <c r="D1740" s="491"/>
      <c r="E1740" s="491"/>
      <c r="F1740" s="491"/>
      <c r="G1740" s="494"/>
      <c r="H1740" s="495"/>
      <c r="I1740" s="497"/>
      <c r="J1740" s="503"/>
      <c r="K1740" s="479"/>
      <c r="L1740" s="259"/>
      <c r="M1740" s="501"/>
      <c r="N1740" s="473"/>
      <c r="O1740" s="479"/>
      <c r="P1740" s="259"/>
      <c r="Q1740" s="487"/>
      <c r="R1740" s="473"/>
      <c r="S1740" s="476"/>
    </row>
    <row r="1741" spans="2:19" ht="16.5" thickTop="1" x14ac:dyDescent="0.2">
      <c r="B1741" s="88">
        <f t="shared" ref="B1741:B1804" si="298">B1740+1</f>
        <v>1</v>
      </c>
      <c r="C1741" s="505" t="s">
        <v>30</v>
      </c>
      <c r="D1741" s="506"/>
      <c r="E1741" s="506"/>
      <c r="F1741" s="506"/>
      <c r="G1741" s="506"/>
      <c r="H1741" s="507"/>
      <c r="I1741" s="39">
        <f>I1839+I1832+I1828+I1803+I1782+I1742</f>
        <v>4202805</v>
      </c>
      <c r="J1741" s="39">
        <f>J1839+J1832+J1828+J1803+J1782+J1742</f>
        <v>-85850</v>
      </c>
      <c r="K1741" s="39">
        <f>I1741+J1741</f>
        <v>4116955</v>
      </c>
      <c r="L1741" s="259"/>
      <c r="M1741" s="39">
        <f>M1742+M1782+M1803+M1828+M1832+M1839</f>
        <v>571826</v>
      </c>
      <c r="N1741" s="39">
        <f>N1742+N1782+N1803+N1828+N1832+N1839</f>
        <v>599535</v>
      </c>
      <c r="O1741" s="253">
        <f>M1741+N1741</f>
        <v>1171361</v>
      </c>
      <c r="P1741" s="259"/>
      <c r="Q1741" s="331">
        <f t="shared" ref="Q1741:Q1804" si="299">I1741+M1741</f>
        <v>4774631</v>
      </c>
      <c r="R1741" s="98">
        <f t="shared" ref="R1741:R1804" si="300">J1741+N1741</f>
        <v>513685</v>
      </c>
      <c r="S1741" s="98">
        <f t="shared" ref="S1741:S1804" si="301">K1741+O1741</f>
        <v>5288316</v>
      </c>
    </row>
    <row r="1742" spans="2:19" ht="15" x14ac:dyDescent="0.2">
      <c r="B1742" s="88">
        <f t="shared" si="298"/>
        <v>2</v>
      </c>
      <c r="C1742" s="242">
        <v>1</v>
      </c>
      <c r="D1742" s="511" t="s">
        <v>209</v>
      </c>
      <c r="E1742" s="509"/>
      <c r="F1742" s="509"/>
      <c r="G1742" s="509"/>
      <c r="H1742" s="510"/>
      <c r="I1742" s="40">
        <f>I1743+I1746+I1753</f>
        <v>1241550</v>
      </c>
      <c r="J1742" s="40">
        <f>J1743+J1746+J1753</f>
        <v>-7500</v>
      </c>
      <c r="K1742" s="40">
        <f t="shared" ref="K1742:K1805" si="302">I1742+J1742</f>
        <v>1234050</v>
      </c>
      <c r="L1742" s="259"/>
      <c r="M1742" s="40">
        <f>M1746+M1753</f>
        <v>62846</v>
      </c>
      <c r="N1742" s="40">
        <f>N1746+N1753</f>
        <v>410735</v>
      </c>
      <c r="O1742" s="248">
        <f t="shared" ref="O1742:O1805" si="303">M1742+N1742</f>
        <v>473581</v>
      </c>
      <c r="P1742" s="259"/>
      <c r="Q1742" s="313">
        <f t="shared" si="299"/>
        <v>1304396</v>
      </c>
      <c r="R1742" s="89">
        <f t="shared" si="300"/>
        <v>403235</v>
      </c>
      <c r="S1742" s="89">
        <f t="shared" si="301"/>
        <v>1707631</v>
      </c>
    </row>
    <row r="1743" spans="2:19" x14ac:dyDescent="0.2">
      <c r="B1743" s="88">
        <f>B1742+1</f>
        <v>3</v>
      </c>
      <c r="C1743" s="10"/>
      <c r="D1743" s="10"/>
      <c r="E1743" s="10"/>
      <c r="F1743" s="29" t="s">
        <v>208</v>
      </c>
      <c r="G1743" s="10">
        <v>630</v>
      </c>
      <c r="H1743" s="10" t="s">
        <v>133</v>
      </c>
      <c r="I1743" s="27">
        <f>SUM(I1744:I1745)</f>
        <v>411000</v>
      </c>
      <c r="J1743" s="27">
        <f>SUM(J1744:J1745)</f>
        <v>0</v>
      </c>
      <c r="K1743" s="27">
        <f t="shared" si="302"/>
        <v>411000</v>
      </c>
      <c r="L1743" s="259"/>
      <c r="M1743" s="27"/>
      <c r="N1743" s="27"/>
      <c r="O1743" s="250">
        <f t="shared" si="303"/>
        <v>0</v>
      </c>
      <c r="P1743" s="259"/>
      <c r="Q1743" s="309">
        <f t="shared" si="299"/>
        <v>411000</v>
      </c>
      <c r="R1743" s="91">
        <f t="shared" si="300"/>
        <v>0</v>
      </c>
      <c r="S1743" s="91">
        <f t="shared" si="301"/>
        <v>411000</v>
      </c>
    </row>
    <row r="1744" spans="2:19" x14ac:dyDescent="0.2">
      <c r="B1744" s="88">
        <f t="shared" si="298"/>
        <v>4</v>
      </c>
      <c r="C1744" s="4"/>
      <c r="D1744" s="4"/>
      <c r="E1744" s="4"/>
      <c r="F1744" s="30" t="s">
        <v>208</v>
      </c>
      <c r="G1744" s="4">
        <v>635</v>
      </c>
      <c r="H1744" s="4" t="s">
        <v>145</v>
      </c>
      <c r="I1744" s="23">
        <v>410000</v>
      </c>
      <c r="J1744" s="23"/>
      <c r="K1744" s="23">
        <f t="shared" si="302"/>
        <v>410000</v>
      </c>
      <c r="L1744" s="259"/>
      <c r="M1744" s="23"/>
      <c r="N1744" s="23"/>
      <c r="O1744" s="220">
        <f t="shared" si="303"/>
        <v>0</v>
      </c>
      <c r="P1744" s="259"/>
      <c r="Q1744" s="308">
        <f t="shared" si="299"/>
        <v>410000</v>
      </c>
      <c r="R1744" s="92">
        <f t="shared" si="300"/>
        <v>0</v>
      </c>
      <c r="S1744" s="92">
        <f t="shared" si="301"/>
        <v>410000</v>
      </c>
    </row>
    <row r="1745" spans="2:19" x14ac:dyDescent="0.2">
      <c r="B1745" s="88">
        <f t="shared" si="298"/>
        <v>5</v>
      </c>
      <c r="C1745" s="4"/>
      <c r="D1745" s="4"/>
      <c r="E1745" s="4"/>
      <c r="F1745" s="30" t="s">
        <v>208</v>
      </c>
      <c r="G1745" s="4">
        <v>637</v>
      </c>
      <c r="H1745" s="4" t="s">
        <v>134</v>
      </c>
      <c r="I1745" s="23">
        <v>1000</v>
      </c>
      <c r="J1745" s="23"/>
      <c r="K1745" s="92">
        <f t="shared" si="302"/>
        <v>1000</v>
      </c>
      <c r="L1745" s="276"/>
      <c r="M1745" s="23"/>
      <c r="N1745" s="23"/>
      <c r="O1745" s="220">
        <f t="shared" si="303"/>
        <v>0</v>
      </c>
      <c r="P1745" s="259"/>
      <c r="Q1745" s="308">
        <f t="shared" si="299"/>
        <v>1000</v>
      </c>
      <c r="R1745" s="92">
        <f t="shared" si="300"/>
        <v>0</v>
      </c>
      <c r="S1745" s="92">
        <f t="shared" si="301"/>
        <v>1000</v>
      </c>
    </row>
    <row r="1746" spans="2:19" x14ac:dyDescent="0.2">
      <c r="B1746" s="88">
        <f t="shared" si="298"/>
        <v>6</v>
      </c>
      <c r="C1746" s="10"/>
      <c r="D1746" s="10"/>
      <c r="E1746" s="10"/>
      <c r="F1746" s="29" t="s">
        <v>208</v>
      </c>
      <c r="G1746" s="10">
        <v>710</v>
      </c>
      <c r="H1746" s="10" t="s">
        <v>188</v>
      </c>
      <c r="I1746" s="27"/>
      <c r="J1746" s="27"/>
      <c r="K1746" s="91">
        <f t="shared" si="302"/>
        <v>0</v>
      </c>
      <c r="L1746" s="276"/>
      <c r="M1746" s="27">
        <f>M1747</f>
        <v>32046</v>
      </c>
      <c r="N1746" s="27">
        <f>N1747+N1751</f>
        <v>410735</v>
      </c>
      <c r="O1746" s="250">
        <f t="shared" si="303"/>
        <v>442781</v>
      </c>
      <c r="P1746" s="259"/>
      <c r="Q1746" s="309">
        <f t="shared" si="299"/>
        <v>32046</v>
      </c>
      <c r="R1746" s="91">
        <f t="shared" si="300"/>
        <v>410735</v>
      </c>
      <c r="S1746" s="91">
        <f t="shared" si="301"/>
        <v>442781</v>
      </c>
    </row>
    <row r="1747" spans="2:19" x14ac:dyDescent="0.2">
      <c r="B1747" s="88">
        <f t="shared" si="298"/>
        <v>7</v>
      </c>
      <c r="C1747" s="4"/>
      <c r="D1747" s="4"/>
      <c r="E1747" s="4"/>
      <c r="F1747" s="30" t="s">
        <v>208</v>
      </c>
      <c r="G1747" s="4">
        <v>716</v>
      </c>
      <c r="H1747" s="4" t="s">
        <v>232</v>
      </c>
      <c r="I1747" s="23"/>
      <c r="J1747" s="23"/>
      <c r="K1747" s="92">
        <f t="shared" si="302"/>
        <v>0</v>
      </c>
      <c r="L1747" s="276"/>
      <c r="M1747" s="23">
        <f>SUM(M1748:M1750)</f>
        <v>32046</v>
      </c>
      <c r="N1747" s="23">
        <f>SUM(N1748:N1750)</f>
        <v>0</v>
      </c>
      <c r="O1747" s="220">
        <f t="shared" si="303"/>
        <v>32046</v>
      </c>
      <c r="P1747" s="259"/>
      <c r="Q1747" s="308">
        <f t="shared" si="299"/>
        <v>32046</v>
      </c>
      <c r="R1747" s="92">
        <f t="shared" si="300"/>
        <v>0</v>
      </c>
      <c r="S1747" s="92">
        <f t="shared" si="301"/>
        <v>32046</v>
      </c>
    </row>
    <row r="1748" spans="2:19" x14ac:dyDescent="0.2">
      <c r="B1748" s="88">
        <f t="shared" si="298"/>
        <v>8</v>
      </c>
      <c r="C1748" s="5"/>
      <c r="D1748" s="5"/>
      <c r="E1748" s="5"/>
      <c r="F1748" s="31"/>
      <c r="G1748" s="5"/>
      <c r="H1748" s="5" t="s">
        <v>370</v>
      </c>
      <c r="I1748" s="25"/>
      <c r="J1748" s="25"/>
      <c r="K1748" s="93">
        <f t="shared" si="302"/>
        <v>0</v>
      </c>
      <c r="L1748" s="276"/>
      <c r="M1748" s="25">
        <v>4046</v>
      </c>
      <c r="N1748" s="25"/>
      <c r="O1748" s="251">
        <f t="shared" si="303"/>
        <v>4046</v>
      </c>
      <c r="P1748" s="259"/>
      <c r="Q1748" s="332">
        <f t="shared" si="299"/>
        <v>4046</v>
      </c>
      <c r="R1748" s="93">
        <f t="shared" si="300"/>
        <v>0</v>
      </c>
      <c r="S1748" s="93">
        <f t="shared" si="301"/>
        <v>4046</v>
      </c>
    </row>
    <row r="1749" spans="2:19" x14ac:dyDescent="0.2">
      <c r="B1749" s="88">
        <f t="shared" si="298"/>
        <v>9</v>
      </c>
      <c r="C1749" s="5"/>
      <c r="D1749" s="5"/>
      <c r="E1749" s="5"/>
      <c r="F1749" s="31"/>
      <c r="G1749" s="5"/>
      <c r="H1749" s="5" t="s">
        <v>501</v>
      </c>
      <c r="I1749" s="25"/>
      <c r="J1749" s="25"/>
      <c r="K1749" s="93">
        <f t="shared" si="302"/>
        <v>0</v>
      </c>
      <c r="L1749" s="276"/>
      <c r="M1749" s="25">
        <f>6000+2000</f>
        <v>8000</v>
      </c>
      <c r="N1749" s="25"/>
      <c r="O1749" s="251">
        <f t="shared" si="303"/>
        <v>8000</v>
      </c>
      <c r="P1749" s="259"/>
      <c r="Q1749" s="332">
        <f t="shared" si="299"/>
        <v>8000</v>
      </c>
      <c r="R1749" s="93">
        <f t="shared" si="300"/>
        <v>0</v>
      </c>
      <c r="S1749" s="93">
        <f t="shared" si="301"/>
        <v>8000</v>
      </c>
    </row>
    <row r="1750" spans="2:19" x14ac:dyDescent="0.2">
      <c r="B1750" s="88">
        <f t="shared" si="298"/>
        <v>10</v>
      </c>
      <c r="C1750" s="5"/>
      <c r="D1750" s="5"/>
      <c r="E1750" s="5"/>
      <c r="F1750" s="31"/>
      <c r="G1750" s="5"/>
      <c r="H1750" s="5" t="s">
        <v>600</v>
      </c>
      <c r="I1750" s="25"/>
      <c r="J1750" s="25"/>
      <c r="K1750" s="93">
        <f t="shared" si="302"/>
        <v>0</v>
      </c>
      <c r="L1750" s="276"/>
      <c r="M1750" s="25">
        <v>20000</v>
      </c>
      <c r="N1750" s="25"/>
      <c r="O1750" s="251">
        <f t="shared" si="303"/>
        <v>20000</v>
      </c>
      <c r="P1750" s="259"/>
      <c r="Q1750" s="332">
        <f t="shared" si="299"/>
        <v>20000</v>
      </c>
      <c r="R1750" s="93">
        <f t="shared" si="300"/>
        <v>0</v>
      </c>
      <c r="S1750" s="93">
        <f t="shared" si="301"/>
        <v>20000</v>
      </c>
    </row>
    <row r="1751" spans="2:19" x14ac:dyDescent="0.2">
      <c r="B1751" s="88">
        <f t="shared" si="298"/>
        <v>11</v>
      </c>
      <c r="C1751" s="5"/>
      <c r="D1751" s="5"/>
      <c r="E1751" s="5"/>
      <c r="F1751" s="30" t="s">
        <v>208</v>
      </c>
      <c r="G1751" s="4">
        <v>717</v>
      </c>
      <c r="H1751" s="4" t="s">
        <v>198</v>
      </c>
      <c r="I1751" s="23"/>
      <c r="J1751" s="23"/>
      <c r="K1751" s="92">
        <f t="shared" ref="K1751" si="304">I1751+J1751</f>
        <v>0</v>
      </c>
      <c r="L1751" s="276"/>
      <c r="M1751" s="23">
        <v>0</v>
      </c>
      <c r="N1751" s="23">
        <f>N1752</f>
        <v>410735</v>
      </c>
      <c r="O1751" s="220">
        <f t="shared" ref="O1751" si="305">M1751+N1751</f>
        <v>410735</v>
      </c>
      <c r="P1751" s="259"/>
      <c r="Q1751" s="308">
        <f t="shared" ref="Q1751" si="306">I1751+M1751</f>
        <v>0</v>
      </c>
      <c r="R1751" s="92">
        <f t="shared" ref="R1751" si="307">J1751+N1751</f>
        <v>410735</v>
      </c>
      <c r="S1751" s="92">
        <f t="shared" ref="S1751" si="308">K1751+O1751</f>
        <v>410735</v>
      </c>
    </row>
    <row r="1752" spans="2:19" x14ac:dyDescent="0.2">
      <c r="B1752" s="88">
        <f t="shared" si="298"/>
        <v>12</v>
      </c>
      <c r="C1752" s="5"/>
      <c r="D1752" s="5"/>
      <c r="E1752" s="5"/>
      <c r="F1752" s="31"/>
      <c r="G1752" s="5"/>
      <c r="H1752" s="5" t="s">
        <v>675</v>
      </c>
      <c r="I1752" s="25"/>
      <c r="J1752" s="25"/>
      <c r="K1752" s="93"/>
      <c r="L1752" s="276"/>
      <c r="M1752" s="25"/>
      <c r="N1752" s="25">
        <v>410735</v>
      </c>
      <c r="O1752" s="251">
        <f>N1752+M1752</f>
        <v>410735</v>
      </c>
      <c r="P1752" s="259"/>
      <c r="Q1752" s="332">
        <f t="shared" ref="Q1752" si="309">I1752+M1752</f>
        <v>0</v>
      </c>
      <c r="R1752" s="93">
        <f t="shared" ref="R1752" si="310">J1752+N1752</f>
        <v>410735</v>
      </c>
      <c r="S1752" s="93">
        <f t="shared" ref="S1752" si="311">K1752+O1752</f>
        <v>410735</v>
      </c>
    </row>
    <row r="1753" spans="2:19" ht="15" x14ac:dyDescent="0.25">
      <c r="B1753" s="88">
        <f t="shared" si="298"/>
        <v>13</v>
      </c>
      <c r="C1753" s="13"/>
      <c r="D1753" s="13"/>
      <c r="E1753" s="13">
        <v>2</v>
      </c>
      <c r="F1753" s="32"/>
      <c r="G1753" s="13"/>
      <c r="H1753" s="13" t="s">
        <v>402</v>
      </c>
      <c r="I1753" s="42">
        <f>I1754+I1755+I1756+I1763+I1764+I1765+I1766+I1777+I1778</f>
        <v>830550</v>
      </c>
      <c r="J1753" s="42">
        <f>J1754+J1755+J1756+J1763+J1764+J1765+J1766+J1777+J1778</f>
        <v>-7500</v>
      </c>
      <c r="K1753" s="99">
        <f t="shared" si="302"/>
        <v>823050</v>
      </c>
      <c r="L1753" s="276"/>
      <c r="M1753" s="42">
        <f>M1778</f>
        <v>30800</v>
      </c>
      <c r="N1753" s="42">
        <f>N1778</f>
        <v>0</v>
      </c>
      <c r="O1753" s="255">
        <f t="shared" si="303"/>
        <v>30800</v>
      </c>
      <c r="P1753" s="259"/>
      <c r="Q1753" s="312">
        <f t="shared" si="299"/>
        <v>861350</v>
      </c>
      <c r="R1753" s="99">
        <f t="shared" si="300"/>
        <v>-7500</v>
      </c>
      <c r="S1753" s="99">
        <f t="shared" si="301"/>
        <v>853850</v>
      </c>
    </row>
    <row r="1754" spans="2:19" x14ac:dyDescent="0.2">
      <c r="B1754" s="88">
        <f t="shared" si="298"/>
        <v>14</v>
      </c>
      <c r="C1754" s="10"/>
      <c r="D1754" s="10"/>
      <c r="E1754" s="10"/>
      <c r="F1754" s="29" t="s">
        <v>246</v>
      </c>
      <c r="G1754" s="10">
        <v>610</v>
      </c>
      <c r="H1754" s="10" t="s">
        <v>143</v>
      </c>
      <c r="I1754" s="27">
        <v>50720</v>
      </c>
      <c r="J1754" s="27"/>
      <c r="K1754" s="91">
        <f t="shared" si="302"/>
        <v>50720</v>
      </c>
      <c r="L1754" s="276"/>
      <c r="M1754" s="27"/>
      <c r="N1754" s="27"/>
      <c r="O1754" s="250">
        <f t="shared" si="303"/>
        <v>0</v>
      </c>
      <c r="P1754" s="259"/>
      <c r="Q1754" s="309">
        <f t="shared" si="299"/>
        <v>50720</v>
      </c>
      <c r="R1754" s="91">
        <f t="shared" si="300"/>
        <v>0</v>
      </c>
      <c r="S1754" s="91">
        <f t="shared" si="301"/>
        <v>50720</v>
      </c>
    </row>
    <row r="1755" spans="2:19" x14ac:dyDescent="0.2">
      <c r="B1755" s="88">
        <f t="shared" si="298"/>
        <v>15</v>
      </c>
      <c r="C1755" s="10"/>
      <c r="D1755" s="10"/>
      <c r="E1755" s="10"/>
      <c r="F1755" s="29" t="s">
        <v>246</v>
      </c>
      <c r="G1755" s="10">
        <v>620</v>
      </c>
      <c r="H1755" s="10" t="s">
        <v>136</v>
      </c>
      <c r="I1755" s="27">
        <v>17750</v>
      </c>
      <c r="J1755" s="27"/>
      <c r="K1755" s="91">
        <f t="shared" si="302"/>
        <v>17750</v>
      </c>
      <c r="L1755" s="276"/>
      <c r="M1755" s="27"/>
      <c r="N1755" s="27"/>
      <c r="O1755" s="250">
        <f t="shared" si="303"/>
        <v>0</v>
      </c>
      <c r="P1755" s="259"/>
      <c r="Q1755" s="309">
        <f t="shared" si="299"/>
        <v>17750</v>
      </c>
      <c r="R1755" s="91">
        <f t="shared" si="300"/>
        <v>0</v>
      </c>
      <c r="S1755" s="91">
        <f t="shared" si="301"/>
        <v>17750</v>
      </c>
    </row>
    <row r="1756" spans="2:19" x14ac:dyDescent="0.2">
      <c r="B1756" s="88">
        <f t="shared" si="298"/>
        <v>16</v>
      </c>
      <c r="C1756" s="10"/>
      <c r="D1756" s="10"/>
      <c r="E1756" s="10"/>
      <c r="F1756" s="29" t="s">
        <v>246</v>
      </c>
      <c r="G1756" s="10">
        <v>630</v>
      </c>
      <c r="H1756" s="10" t="s">
        <v>133</v>
      </c>
      <c r="I1756" s="27">
        <f>SUM(I1757:I1762)</f>
        <v>61200</v>
      </c>
      <c r="J1756" s="27">
        <f>SUM(J1757:J1762)</f>
        <v>0</v>
      </c>
      <c r="K1756" s="91">
        <f t="shared" si="302"/>
        <v>61200</v>
      </c>
      <c r="L1756" s="276"/>
      <c r="M1756" s="27"/>
      <c r="N1756" s="27"/>
      <c r="O1756" s="250">
        <f t="shared" si="303"/>
        <v>0</v>
      </c>
      <c r="P1756" s="259"/>
      <c r="Q1756" s="309">
        <f t="shared" si="299"/>
        <v>61200</v>
      </c>
      <c r="R1756" s="91">
        <f t="shared" si="300"/>
        <v>0</v>
      </c>
      <c r="S1756" s="91">
        <f t="shared" si="301"/>
        <v>61200</v>
      </c>
    </row>
    <row r="1757" spans="2:19" x14ac:dyDescent="0.2">
      <c r="B1757" s="88">
        <f t="shared" si="298"/>
        <v>17</v>
      </c>
      <c r="C1757" s="4"/>
      <c r="D1757" s="4"/>
      <c r="E1757" s="4"/>
      <c r="F1757" s="30" t="s">
        <v>246</v>
      </c>
      <c r="G1757" s="4">
        <v>631</v>
      </c>
      <c r="H1757" s="4" t="s">
        <v>139</v>
      </c>
      <c r="I1757" s="23">
        <v>50</v>
      </c>
      <c r="J1757" s="23"/>
      <c r="K1757" s="92">
        <f t="shared" si="302"/>
        <v>50</v>
      </c>
      <c r="L1757" s="276"/>
      <c r="M1757" s="23"/>
      <c r="N1757" s="23"/>
      <c r="O1757" s="220">
        <f t="shared" si="303"/>
        <v>0</v>
      </c>
      <c r="P1757" s="259"/>
      <c r="Q1757" s="308">
        <f t="shared" si="299"/>
        <v>50</v>
      </c>
      <c r="R1757" s="92">
        <f t="shared" si="300"/>
        <v>0</v>
      </c>
      <c r="S1757" s="92">
        <f t="shared" si="301"/>
        <v>50</v>
      </c>
    </row>
    <row r="1758" spans="2:19" x14ac:dyDescent="0.2">
      <c r="B1758" s="88">
        <f t="shared" si="298"/>
        <v>18</v>
      </c>
      <c r="C1758" s="4"/>
      <c r="D1758" s="4"/>
      <c r="E1758" s="4"/>
      <c r="F1758" s="30" t="s">
        <v>246</v>
      </c>
      <c r="G1758" s="4">
        <v>632</v>
      </c>
      <c r="H1758" s="4" t="s">
        <v>146</v>
      </c>
      <c r="I1758" s="23">
        <f>2100-1800+1500</f>
        <v>1800</v>
      </c>
      <c r="J1758" s="23"/>
      <c r="K1758" s="92">
        <f t="shared" si="302"/>
        <v>1800</v>
      </c>
      <c r="L1758" s="276"/>
      <c r="M1758" s="23"/>
      <c r="N1758" s="23"/>
      <c r="O1758" s="220">
        <f t="shared" si="303"/>
        <v>0</v>
      </c>
      <c r="P1758" s="259"/>
      <c r="Q1758" s="308">
        <f t="shared" si="299"/>
        <v>1800</v>
      </c>
      <c r="R1758" s="92">
        <f t="shared" si="300"/>
        <v>0</v>
      </c>
      <c r="S1758" s="92">
        <f t="shared" si="301"/>
        <v>1800</v>
      </c>
    </row>
    <row r="1759" spans="2:19" x14ac:dyDescent="0.2">
      <c r="B1759" s="88">
        <f t="shared" si="298"/>
        <v>19</v>
      </c>
      <c r="C1759" s="4"/>
      <c r="D1759" s="4"/>
      <c r="E1759" s="4"/>
      <c r="F1759" s="30" t="s">
        <v>246</v>
      </c>
      <c r="G1759" s="4">
        <v>633</v>
      </c>
      <c r="H1759" s="4" t="s">
        <v>137</v>
      </c>
      <c r="I1759" s="23">
        <f>15350-1000</f>
        <v>14350</v>
      </c>
      <c r="J1759" s="23"/>
      <c r="K1759" s="92">
        <f t="shared" si="302"/>
        <v>14350</v>
      </c>
      <c r="L1759" s="276"/>
      <c r="M1759" s="23"/>
      <c r="N1759" s="23"/>
      <c r="O1759" s="220">
        <f t="shared" si="303"/>
        <v>0</v>
      </c>
      <c r="P1759" s="259"/>
      <c r="Q1759" s="308">
        <f t="shared" si="299"/>
        <v>14350</v>
      </c>
      <c r="R1759" s="92">
        <f t="shared" si="300"/>
        <v>0</v>
      </c>
      <c r="S1759" s="92">
        <f t="shared" si="301"/>
        <v>14350</v>
      </c>
    </row>
    <row r="1760" spans="2:19" x14ac:dyDescent="0.2">
      <c r="B1760" s="88">
        <f t="shared" si="298"/>
        <v>20</v>
      </c>
      <c r="C1760" s="4"/>
      <c r="D1760" s="4"/>
      <c r="E1760" s="4"/>
      <c r="F1760" s="30" t="s">
        <v>246</v>
      </c>
      <c r="G1760" s="4">
        <v>634</v>
      </c>
      <c r="H1760" s="4" t="s">
        <v>144</v>
      </c>
      <c r="I1760" s="23">
        <v>3650</v>
      </c>
      <c r="J1760" s="23"/>
      <c r="K1760" s="92">
        <f t="shared" si="302"/>
        <v>3650</v>
      </c>
      <c r="L1760" s="276"/>
      <c r="M1760" s="23"/>
      <c r="N1760" s="23"/>
      <c r="O1760" s="220">
        <f t="shared" si="303"/>
        <v>0</v>
      </c>
      <c r="P1760" s="259"/>
      <c r="Q1760" s="308">
        <f t="shared" si="299"/>
        <v>3650</v>
      </c>
      <c r="R1760" s="92">
        <f t="shared" si="300"/>
        <v>0</v>
      </c>
      <c r="S1760" s="92">
        <f t="shared" si="301"/>
        <v>3650</v>
      </c>
    </row>
    <row r="1761" spans="2:19" x14ac:dyDescent="0.2">
      <c r="B1761" s="88">
        <f t="shared" si="298"/>
        <v>21</v>
      </c>
      <c r="C1761" s="4"/>
      <c r="D1761" s="4"/>
      <c r="E1761" s="4"/>
      <c r="F1761" s="30" t="s">
        <v>246</v>
      </c>
      <c r="G1761" s="4">
        <v>635</v>
      </c>
      <c r="H1761" s="4" t="s">
        <v>145</v>
      </c>
      <c r="I1761" s="23">
        <f>3250+4000</f>
        <v>7250</v>
      </c>
      <c r="J1761" s="23"/>
      <c r="K1761" s="92">
        <f t="shared" si="302"/>
        <v>7250</v>
      </c>
      <c r="L1761" s="276"/>
      <c r="M1761" s="23"/>
      <c r="N1761" s="23"/>
      <c r="O1761" s="220">
        <f t="shared" si="303"/>
        <v>0</v>
      </c>
      <c r="P1761" s="259"/>
      <c r="Q1761" s="308">
        <f t="shared" si="299"/>
        <v>7250</v>
      </c>
      <c r="R1761" s="92">
        <f t="shared" si="300"/>
        <v>0</v>
      </c>
      <c r="S1761" s="92">
        <f t="shared" si="301"/>
        <v>7250</v>
      </c>
    </row>
    <row r="1762" spans="2:19" x14ac:dyDescent="0.2">
      <c r="B1762" s="88">
        <f t="shared" si="298"/>
        <v>22</v>
      </c>
      <c r="C1762" s="4"/>
      <c r="D1762" s="4"/>
      <c r="E1762" s="4"/>
      <c r="F1762" s="30" t="s">
        <v>246</v>
      </c>
      <c r="G1762" s="4">
        <v>637</v>
      </c>
      <c r="H1762" s="4" t="s">
        <v>134</v>
      </c>
      <c r="I1762" s="23">
        <f>26600+7500</f>
        <v>34100</v>
      </c>
      <c r="J1762" s="23"/>
      <c r="K1762" s="92">
        <f t="shared" si="302"/>
        <v>34100</v>
      </c>
      <c r="L1762" s="276"/>
      <c r="M1762" s="23"/>
      <c r="N1762" s="23"/>
      <c r="O1762" s="220">
        <f t="shared" si="303"/>
        <v>0</v>
      </c>
      <c r="P1762" s="259"/>
      <c r="Q1762" s="308">
        <f t="shared" si="299"/>
        <v>34100</v>
      </c>
      <c r="R1762" s="92">
        <f t="shared" si="300"/>
        <v>0</v>
      </c>
      <c r="S1762" s="92">
        <f t="shared" si="301"/>
        <v>34100</v>
      </c>
    </row>
    <row r="1763" spans="2:19" x14ac:dyDescent="0.2">
      <c r="B1763" s="88">
        <f t="shared" si="298"/>
        <v>23</v>
      </c>
      <c r="C1763" s="10"/>
      <c r="D1763" s="10"/>
      <c r="E1763" s="10"/>
      <c r="F1763" s="29" t="s">
        <v>246</v>
      </c>
      <c r="G1763" s="10">
        <v>640</v>
      </c>
      <c r="H1763" s="10" t="s">
        <v>141</v>
      </c>
      <c r="I1763" s="27">
        <v>850</v>
      </c>
      <c r="J1763" s="27"/>
      <c r="K1763" s="91">
        <f t="shared" si="302"/>
        <v>850</v>
      </c>
      <c r="L1763" s="276"/>
      <c r="M1763" s="27"/>
      <c r="N1763" s="27"/>
      <c r="O1763" s="250">
        <f t="shared" si="303"/>
        <v>0</v>
      </c>
      <c r="P1763" s="259"/>
      <c r="Q1763" s="309">
        <f t="shared" si="299"/>
        <v>850</v>
      </c>
      <c r="R1763" s="91">
        <f t="shared" si="300"/>
        <v>0</v>
      </c>
      <c r="S1763" s="91">
        <f t="shared" si="301"/>
        <v>850</v>
      </c>
    </row>
    <row r="1764" spans="2:19" x14ac:dyDescent="0.2">
      <c r="B1764" s="88">
        <f t="shared" si="298"/>
        <v>24</v>
      </c>
      <c r="C1764" s="10"/>
      <c r="D1764" s="10"/>
      <c r="E1764" s="10"/>
      <c r="F1764" s="29" t="s">
        <v>208</v>
      </c>
      <c r="G1764" s="10">
        <v>610</v>
      </c>
      <c r="H1764" s="10" t="s">
        <v>143</v>
      </c>
      <c r="I1764" s="27">
        <v>91580</v>
      </c>
      <c r="J1764" s="27"/>
      <c r="K1764" s="91">
        <f t="shared" si="302"/>
        <v>91580</v>
      </c>
      <c r="L1764" s="276"/>
      <c r="M1764" s="27"/>
      <c r="N1764" s="27"/>
      <c r="O1764" s="250">
        <f t="shared" si="303"/>
        <v>0</v>
      </c>
      <c r="P1764" s="259"/>
      <c r="Q1764" s="309">
        <f t="shared" si="299"/>
        <v>91580</v>
      </c>
      <c r="R1764" s="91">
        <f t="shared" si="300"/>
        <v>0</v>
      </c>
      <c r="S1764" s="91">
        <f t="shared" si="301"/>
        <v>91580</v>
      </c>
    </row>
    <row r="1765" spans="2:19" x14ac:dyDescent="0.2">
      <c r="B1765" s="88">
        <f t="shared" si="298"/>
        <v>25</v>
      </c>
      <c r="C1765" s="10"/>
      <c r="D1765" s="10"/>
      <c r="E1765" s="10"/>
      <c r="F1765" s="29" t="s">
        <v>208</v>
      </c>
      <c r="G1765" s="10">
        <v>620</v>
      </c>
      <c r="H1765" s="10" t="s">
        <v>136</v>
      </c>
      <c r="I1765" s="27">
        <v>35000</v>
      </c>
      <c r="J1765" s="27"/>
      <c r="K1765" s="91">
        <f t="shared" si="302"/>
        <v>35000</v>
      </c>
      <c r="L1765" s="276"/>
      <c r="M1765" s="27"/>
      <c r="N1765" s="27"/>
      <c r="O1765" s="250">
        <f t="shared" si="303"/>
        <v>0</v>
      </c>
      <c r="P1765" s="259"/>
      <c r="Q1765" s="309">
        <f t="shared" si="299"/>
        <v>35000</v>
      </c>
      <c r="R1765" s="91">
        <f t="shared" si="300"/>
        <v>0</v>
      </c>
      <c r="S1765" s="91">
        <f t="shared" si="301"/>
        <v>35000</v>
      </c>
    </row>
    <row r="1766" spans="2:19" x14ac:dyDescent="0.2">
      <c r="B1766" s="88">
        <f t="shared" si="298"/>
        <v>26</v>
      </c>
      <c r="C1766" s="10"/>
      <c r="D1766" s="10"/>
      <c r="E1766" s="10"/>
      <c r="F1766" s="29" t="s">
        <v>208</v>
      </c>
      <c r="G1766" s="10">
        <v>630</v>
      </c>
      <c r="H1766" s="10" t="s">
        <v>133</v>
      </c>
      <c r="I1766" s="27">
        <f>SUM(I1767:I1776)</f>
        <v>573100</v>
      </c>
      <c r="J1766" s="27">
        <f>SUM(J1767:J1776)</f>
        <v>-7500</v>
      </c>
      <c r="K1766" s="91">
        <f t="shared" si="302"/>
        <v>565600</v>
      </c>
      <c r="L1766" s="276"/>
      <c r="M1766" s="27"/>
      <c r="N1766" s="27"/>
      <c r="O1766" s="250">
        <f t="shared" si="303"/>
        <v>0</v>
      </c>
      <c r="P1766" s="259"/>
      <c r="Q1766" s="309">
        <f t="shared" si="299"/>
        <v>573100</v>
      </c>
      <c r="R1766" s="91">
        <f t="shared" si="300"/>
        <v>-7500</v>
      </c>
      <c r="S1766" s="91">
        <f t="shared" si="301"/>
        <v>565600</v>
      </c>
    </row>
    <row r="1767" spans="2:19" x14ac:dyDescent="0.2">
      <c r="B1767" s="88">
        <f t="shared" si="298"/>
        <v>27</v>
      </c>
      <c r="C1767" s="4"/>
      <c r="D1767" s="4"/>
      <c r="E1767" s="4"/>
      <c r="F1767" s="30" t="s">
        <v>208</v>
      </c>
      <c r="G1767" s="4">
        <v>633</v>
      </c>
      <c r="H1767" s="4" t="s">
        <v>137</v>
      </c>
      <c r="I1767" s="23">
        <f>73300+5000</f>
        <v>78300</v>
      </c>
      <c r="J1767" s="23"/>
      <c r="K1767" s="92">
        <f t="shared" si="302"/>
        <v>78300</v>
      </c>
      <c r="L1767" s="276"/>
      <c r="M1767" s="23"/>
      <c r="N1767" s="23"/>
      <c r="O1767" s="220">
        <f t="shared" si="303"/>
        <v>0</v>
      </c>
      <c r="P1767" s="259"/>
      <c r="Q1767" s="308">
        <f t="shared" si="299"/>
        <v>78300</v>
      </c>
      <c r="R1767" s="92">
        <f t="shared" si="300"/>
        <v>0</v>
      </c>
      <c r="S1767" s="92">
        <f t="shared" si="301"/>
        <v>78300</v>
      </c>
    </row>
    <row r="1768" spans="2:19" x14ac:dyDescent="0.2">
      <c r="B1768" s="88">
        <f t="shared" si="298"/>
        <v>28</v>
      </c>
      <c r="C1768" s="4"/>
      <c r="D1768" s="4"/>
      <c r="E1768" s="4"/>
      <c r="F1768" s="30" t="s">
        <v>208</v>
      </c>
      <c r="G1768" s="4">
        <v>634</v>
      </c>
      <c r="H1768" s="4" t="s">
        <v>144</v>
      </c>
      <c r="I1768" s="23">
        <v>22200</v>
      </c>
      <c r="J1768" s="23"/>
      <c r="K1768" s="92">
        <f t="shared" si="302"/>
        <v>22200</v>
      </c>
      <c r="L1768" s="276"/>
      <c r="M1768" s="23"/>
      <c r="N1768" s="23"/>
      <c r="O1768" s="220">
        <f t="shared" si="303"/>
        <v>0</v>
      </c>
      <c r="P1768" s="259"/>
      <c r="Q1768" s="308">
        <f t="shared" si="299"/>
        <v>22200</v>
      </c>
      <c r="R1768" s="92">
        <f t="shared" si="300"/>
        <v>0</v>
      </c>
      <c r="S1768" s="92">
        <f t="shared" si="301"/>
        <v>22200</v>
      </c>
    </row>
    <row r="1769" spans="2:19" x14ac:dyDescent="0.2">
      <c r="B1769" s="88">
        <f t="shared" si="298"/>
        <v>29</v>
      </c>
      <c r="C1769" s="4"/>
      <c r="D1769" s="4"/>
      <c r="E1769" s="4"/>
      <c r="F1769" s="30" t="s">
        <v>208</v>
      </c>
      <c r="G1769" s="4">
        <v>635</v>
      </c>
      <c r="H1769" s="4" t="s">
        <v>145</v>
      </c>
      <c r="I1769" s="23">
        <f>83500+25000-1500-2300+7500-23100</f>
        <v>89100</v>
      </c>
      <c r="J1769" s="23"/>
      <c r="K1769" s="92">
        <f t="shared" si="302"/>
        <v>89100</v>
      </c>
      <c r="L1769" s="276"/>
      <c r="M1769" s="23"/>
      <c r="N1769" s="23"/>
      <c r="O1769" s="220">
        <f t="shared" si="303"/>
        <v>0</v>
      </c>
      <c r="P1769" s="259"/>
      <c r="Q1769" s="308">
        <f t="shared" si="299"/>
        <v>89100</v>
      </c>
      <c r="R1769" s="92">
        <f t="shared" si="300"/>
        <v>0</v>
      </c>
      <c r="S1769" s="92">
        <f t="shared" si="301"/>
        <v>89100</v>
      </c>
    </row>
    <row r="1770" spans="2:19" x14ac:dyDescent="0.2">
      <c r="B1770" s="88">
        <f t="shared" si="298"/>
        <v>30</v>
      </c>
      <c r="C1770" s="4"/>
      <c r="D1770" s="4"/>
      <c r="E1770" s="4"/>
      <c r="F1770" s="30" t="s">
        <v>208</v>
      </c>
      <c r="G1770" s="4">
        <v>635</v>
      </c>
      <c r="H1770" s="60" t="s">
        <v>424</v>
      </c>
      <c r="I1770" s="68">
        <f>350000-60800</f>
        <v>289200</v>
      </c>
      <c r="J1770" s="68"/>
      <c r="K1770" s="178">
        <f t="shared" si="302"/>
        <v>289200</v>
      </c>
      <c r="L1770" s="276"/>
      <c r="M1770" s="23"/>
      <c r="N1770" s="23"/>
      <c r="O1770" s="220">
        <f t="shared" si="303"/>
        <v>0</v>
      </c>
      <c r="P1770" s="259"/>
      <c r="Q1770" s="308">
        <f t="shared" si="299"/>
        <v>289200</v>
      </c>
      <c r="R1770" s="92">
        <f t="shared" si="300"/>
        <v>0</v>
      </c>
      <c r="S1770" s="92">
        <f t="shared" si="301"/>
        <v>289200</v>
      </c>
    </row>
    <row r="1771" spans="2:19" x14ac:dyDescent="0.2">
      <c r="B1771" s="88">
        <f t="shared" si="298"/>
        <v>31</v>
      </c>
      <c r="C1771" s="4"/>
      <c r="D1771" s="4"/>
      <c r="E1771" s="4"/>
      <c r="F1771" s="30" t="s">
        <v>208</v>
      </c>
      <c r="G1771" s="4">
        <v>635</v>
      </c>
      <c r="H1771" s="60" t="s">
        <v>617</v>
      </c>
      <c r="I1771" s="68">
        <v>25000</v>
      </c>
      <c r="J1771" s="68"/>
      <c r="K1771" s="178">
        <f t="shared" si="302"/>
        <v>25000</v>
      </c>
      <c r="L1771" s="276"/>
      <c r="M1771" s="23"/>
      <c r="N1771" s="23"/>
      <c r="O1771" s="220">
        <f t="shared" si="303"/>
        <v>0</v>
      </c>
      <c r="P1771" s="259"/>
      <c r="Q1771" s="308">
        <f t="shared" si="299"/>
        <v>25000</v>
      </c>
      <c r="R1771" s="92">
        <f t="shared" si="300"/>
        <v>0</v>
      </c>
      <c r="S1771" s="92">
        <f t="shared" si="301"/>
        <v>25000</v>
      </c>
    </row>
    <row r="1772" spans="2:19" x14ac:dyDescent="0.2">
      <c r="B1772" s="88">
        <f t="shared" si="298"/>
        <v>32</v>
      </c>
      <c r="C1772" s="4"/>
      <c r="D1772" s="4"/>
      <c r="E1772" s="4"/>
      <c r="F1772" s="30" t="s">
        <v>208</v>
      </c>
      <c r="G1772" s="4">
        <v>635</v>
      </c>
      <c r="H1772" s="60" t="s">
        <v>618</v>
      </c>
      <c r="I1772" s="68">
        <v>14500</v>
      </c>
      <c r="J1772" s="68"/>
      <c r="K1772" s="178">
        <f t="shared" si="302"/>
        <v>14500</v>
      </c>
      <c r="L1772" s="276"/>
      <c r="M1772" s="23"/>
      <c r="N1772" s="23"/>
      <c r="O1772" s="220">
        <f t="shared" si="303"/>
        <v>0</v>
      </c>
      <c r="P1772" s="259"/>
      <c r="Q1772" s="308">
        <f t="shared" si="299"/>
        <v>14500</v>
      </c>
      <c r="R1772" s="92">
        <f t="shared" si="300"/>
        <v>0</v>
      </c>
      <c r="S1772" s="92">
        <f t="shared" si="301"/>
        <v>14500</v>
      </c>
    </row>
    <row r="1773" spans="2:19" x14ac:dyDescent="0.2">
      <c r="B1773" s="88">
        <f t="shared" si="298"/>
        <v>33</v>
      </c>
      <c r="C1773" s="4"/>
      <c r="D1773" s="4"/>
      <c r="E1773" s="4"/>
      <c r="F1773" s="30" t="s">
        <v>208</v>
      </c>
      <c r="G1773" s="4">
        <v>635</v>
      </c>
      <c r="H1773" s="60" t="s">
        <v>504</v>
      </c>
      <c r="I1773" s="68">
        <v>10500</v>
      </c>
      <c r="J1773" s="68"/>
      <c r="K1773" s="178">
        <f t="shared" si="302"/>
        <v>10500</v>
      </c>
      <c r="L1773" s="276"/>
      <c r="M1773" s="23"/>
      <c r="N1773" s="23"/>
      <c r="O1773" s="220">
        <f t="shared" si="303"/>
        <v>0</v>
      </c>
      <c r="P1773" s="259"/>
      <c r="Q1773" s="308">
        <f t="shared" si="299"/>
        <v>10500</v>
      </c>
      <c r="R1773" s="92">
        <f t="shared" si="300"/>
        <v>0</v>
      </c>
      <c r="S1773" s="92">
        <f t="shared" si="301"/>
        <v>10500</v>
      </c>
    </row>
    <row r="1774" spans="2:19" x14ac:dyDescent="0.2">
      <c r="B1774" s="88">
        <f t="shared" si="298"/>
        <v>34</v>
      </c>
      <c r="C1774" s="4"/>
      <c r="D1774" s="4"/>
      <c r="E1774" s="4"/>
      <c r="F1774" s="30" t="s">
        <v>208</v>
      </c>
      <c r="G1774" s="4">
        <v>635</v>
      </c>
      <c r="H1774" s="60" t="s">
        <v>638</v>
      </c>
      <c r="I1774" s="68">
        <v>8000</v>
      </c>
      <c r="J1774" s="68"/>
      <c r="K1774" s="178">
        <f t="shared" si="302"/>
        <v>8000</v>
      </c>
      <c r="L1774" s="276"/>
      <c r="M1774" s="23"/>
      <c r="N1774" s="23"/>
      <c r="O1774" s="220">
        <f t="shared" si="303"/>
        <v>0</v>
      </c>
      <c r="P1774" s="259"/>
      <c r="Q1774" s="308">
        <f t="shared" si="299"/>
        <v>8000</v>
      </c>
      <c r="R1774" s="92">
        <f t="shared" si="300"/>
        <v>0</v>
      </c>
      <c r="S1774" s="92">
        <f t="shared" si="301"/>
        <v>8000</v>
      </c>
    </row>
    <row r="1775" spans="2:19" x14ac:dyDescent="0.2">
      <c r="B1775" s="88">
        <f t="shared" si="298"/>
        <v>35</v>
      </c>
      <c r="C1775" s="4"/>
      <c r="D1775" s="4"/>
      <c r="E1775" s="4"/>
      <c r="F1775" s="30" t="s">
        <v>208</v>
      </c>
      <c r="G1775" s="4">
        <v>636</v>
      </c>
      <c r="H1775" s="4" t="s">
        <v>138</v>
      </c>
      <c r="I1775" s="23">
        <v>700</v>
      </c>
      <c r="J1775" s="23"/>
      <c r="K1775" s="92">
        <f t="shared" si="302"/>
        <v>700</v>
      </c>
      <c r="L1775" s="276"/>
      <c r="M1775" s="23"/>
      <c r="N1775" s="23"/>
      <c r="O1775" s="220">
        <f t="shared" si="303"/>
        <v>0</v>
      </c>
      <c r="P1775" s="259"/>
      <c r="Q1775" s="308">
        <f t="shared" si="299"/>
        <v>700</v>
      </c>
      <c r="R1775" s="92">
        <f t="shared" si="300"/>
        <v>0</v>
      </c>
      <c r="S1775" s="92">
        <f t="shared" si="301"/>
        <v>700</v>
      </c>
    </row>
    <row r="1776" spans="2:19" x14ac:dyDescent="0.2">
      <c r="B1776" s="88">
        <f t="shared" si="298"/>
        <v>36</v>
      </c>
      <c r="C1776" s="4"/>
      <c r="D1776" s="4"/>
      <c r="E1776" s="4"/>
      <c r="F1776" s="30" t="s">
        <v>208</v>
      </c>
      <c r="G1776" s="4">
        <v>637</v>
      </c>
      <c r="H1776" s="4" t="s">
        <v>134</v>
      </c>
      <c r="I1776" s="23">
        <f>25600+35000-25000</f>
        <v>35600</v>
      </c>
      <c r="J1776" s="23">
        <v>-7500</v>
      </c>
      <c r="K1776" s="92">
        <f t="shared" si="302"/>
        <v>28100</v>
      </c>
      <c r="L1776" s="276"/>
      <c r="M1776" s="23"/>
      <c r="N1776" s="23"/>
      <c r="O1776" s="220">
        <f t="shared" si="303"/>
        <v>0</v>
      </c>
      <c r="P1776" s="259"/>
      <c r="Q1776" s="308">
        <f t="shared" si="299"/>
        <v>35600</v>
      </c>
      <c r="R1776" s="92">
        <f t="shared" si="300"/>
        <v>-7500</v>
      </c>
      <c r="S1776" s="92">
        <f t="shared" si="301"/>
        <v>28100</v>
      </c>
    </row>
    <row r="1777" spans="2:19" x14ac:dyDescent="0.2">
      <c r="B1777" s="88">
        <f t="shared" si="298"/>
        <v>37</v>
      </c>
      <c r="C1777" s="10"/>
      <c r="D1777" s="10"/>
      <c r="E1777" s="10"/>
      <c r="F1777" s="29" t="s">
        <v>208</v>
      </c>
      <c r="G1777" s="10">
        <v>640</v>
      </c>
      <c r="H1777" s="10" t="s">
        <v>141</v>
      </c>
      <c r="I1777" s="27">
        <v>350</v>
      </c>
      <c r="J1777" s="27"/>
      <c r="K1777" s="91">
        <f t="shared" si="302"/>
        <v>350</v>
      </c>
      <c r="L1777" s="276"/>
      <c r="M1777" s="27"/>
      <c r="N1777" s="27"/>
      <c r="O1777" s="250">
        <f t="shared" si="303"/>
        <v>0</v>
      </c>
      <c r="P1777" s="259"/>
      <c r="Q1777" s="309">
        <f t="shared" si="299"/>
        <v>350</v>
      </c>
      <c r="R1777" s="91">
        <f t="shared" si="300"/>
        <v>0</v>
      </c>
      <c r="S1777" s="91">
        <f t="shared" si="301"/>
        <v>350</v>
      </c>
    </row>
    <row r="1778" spans="2:19" x14ac:dyDescent="0.2">
      <c r="B1778" s="88">
        <f t="shared" si="298"/>
        <v>38</v>
      </c>
      <c r="C1778" s="10"/>
      <c r="D1778" s="10"/>
      <c r="E1778" s="10"/>
      <c r="F1778" s="29" t="s">
        <v>246</v>
      </c>
      <c r="G1778" s="10">
        <v>710</v>
      </c>
      <c r="H1778" s="10" t="s">
        <v>188</v>
      </c>
      <c r="I1778" s="27"/>
      <c r="J1778" s="27"/>
      <c r="K1778" s="91">
        <f t="shared" si="302"/>
        <v>0</v>
      </c>
      <c r="L1778" s="276"/>
      <c r="M1778" s="27">
        <f>M1779</f>
        <v>30800</v>
      </c>
      <c r="N1778" s="27">
        <f>N1779</f>
        <v>0</v>
      </c>
      <c r="O1778" s="250">
        <f t="shared" si="303"/>
        <v>30800</v>
      </c>
      <c r="P1778" s="259"/>
      <c r="Q1778" s="309">
        <f t="shared" si="299"/>
        <v>30800</v>
      </c>
      <c r="R1778" s="91">
        <f t="shared" si="300"/>
        <v>0</v>
      </c>
      <c r="S1778" s="91">
        <f t="shared" si="301"/>
        <v>30800</v>
      </c>
    </row>
    <row r="1779" spans="2:19" x14ac:dyDescent="0.2">
      <c r="B1779" s="88">
        <f t="shared" si="298"/>
        <v>39</v>
      </c>
      <c r="C1779" s="4"/>
      <c r="D1779" s="4"/>
      <c r="E1779" s="4"/>
      <c r="F1779" s="30" t="s">
        <v>208</v>
      </c>
      <c r="G1779" s="4">
        <v>714</v>
      </c>
      <c r="H1779" s="4" t="s">
        <v>189</v>
      </c>
      <c r="I1779" s="23"/>
      <c r="J1779" s="23"/>
      <c r="K1779" s="92">
        <f t="shared" si="302"/>
        <v>0</v>
      </c>
      <c r="L1779" s="276"/>
      <c r="M1779" s="23">
        <f>M1780+M1781</f>
        <v>30800</v>
      </c>
      <c r="N1779" s="23">
        <f>N1780+N1781</f>
        <v>0</v>
      </c>
      <c r="O1779" s="220">
        <f t="shared" si="303"/>
        <v>30800</v>
      </c>
      <c r="P1779" s="259"/>
      <c r="Q1779" s="308">
        <f t="shared" si="299"/>
        <v>30800</v>
      </c>
      <c r="R1779" s="92">
        <f t="shared" si="300"/>
        <v>0</v>
      </c>
      <c r="S1779" s="92">
        <f t="shared" si="301"/>
        <v>30800</v>
      </c>
    </row>
    <row r="1780" spans="2:19" x14ac:dyDescent="0.2">
      <c r="B1780" s="88">
        <f t="shared" si="298"/>
        <v>40</v>
      </c>
      <c r="C1780" s="5"/>
      <c r="D1780" s="5"/>
      <c r="E1780" s="5"/>
      <c r="F1780" s="35"/>
      <c r="G1780" s="5"/>
      <c r="H1780" s="16" t="s">
        <v>451</v>
      </c>
      <c r="I1780" s="25"/>
      <c r="J1780" s="25"/>
      <c r="K1780" s="93">
        <f t="shared" si="302"/>
        <v>0</v>
      </c>
      <c r="L1780" s="276"/>
      <c r="M1780" s="25">
        <v>4500</v>
      </c>
      <c r="N1780" s="25"/>
      <c r="O1780" s="251">
        <f t="shared" si="303"/>
        <v>4500</v>
      </c>
      <c r="P1780" s="259"/>
      <c r="Q1780" s="332">
        <f t="shared" si="299"/>
        <v>4500</v>
      </c>
      <c r="R1780" s="93">
        <f t="shared" si="300"/>
        <v>0</v>
      </c>
      <c r="S1780" s="93">
        <f t="shared" si="301"/>
        <v>4500</v>
      </c>
    </row>
    <row r="1781" spans="2:19" x14ac:dyDescent="0.2">
      <c r="B1781" s="88">
        <f t="shared" si="298"/>
        <v>41</v>
      </c>
      <c r="C1781" s="5"/>
      <c r="D1781" s="5"/>
      <c r="E1781" s="5"/>
      <c r="F1781" s="35"/>
      <c r="G1781" s="5"/>
      <c r="H1781" s="16" t="s">
        <v>619</v>
      </c>
      <c r="I1781" s="25"/>
      <c r="J1781" s="25"/>
      <c r="K1781" s="93">
        <f t="shared" si="302"/>
        <v>0</v>
      </c>
      <c r="L1781" s="276"/>
      <c r="M1781" s="25">
        <v>26300</v>
      </c>
      <c r="N1781" s="25"/>
      <c r="O1781" s="251">
        <f t="shared" si="303"/>
        <v>26300</v>
      </c>
      <c r="P1781" s="259"/>
      <c r="Q1781" s="332">
        <f t="shared" si="299"/>
        <v>26300</v>
      </c>
      <c r="R1781" s="93">
        <f t="shared" si="300"/>
        <v>0</v>
      </c>
      <c r="S1781" s="93">
        <f t="shared" si="301"/>
        <v>26300</v>
      </c>
    </row>
    <row r="1782" spans="2:19" ht="15" x14ac:dyDescent="0.2">
      <c r="B1782" s="88">
        <f t="shared" si="298"/>
        <v>42</v>
      </c>
      <c r="C1782" s="242">
        <v>2</v>
      </c>
      <c r="D1782" s="511" t="s">
        <v>152</v>
      </c>
      <c r="E1782" s="509"/>
      <c r="F1782" s="509"/>
      <c r="G1782" s="509"/>
      <c r="H1782" s="510"/>
      <c r="I1782" s="40">
        <f>I1797+I1783</f>
        <v>2251300</v>
      </c>
      <c r="J1782" s="40">
        <f>J1797+J1783</f>
        <v>0</v>
      </c>
      <c r="K1782" s="89">
        <f t="shared" si="302"/>
        <v>2251300</v>
      </c>
      <c r="L1782" s="276"/>
      <c r="M1782" s="40">
        <f>M1783+M1797</f>
        <v>454060</v>
      </c>
      <c r="N1782" s="40">
        <f>N1783+N1797</f>
        <v>0</v>
      </c>
      <c r="O1782" s="248">
        <f t="shared" si="303"/>
        <v>454060</v>
      </c>
      <c r="P1782" s="259"/>
      <c r="Q1782" s="313">
        <f t="shared" si="299"/>
        <v>2705360</v>
      </c>
      <c r="R1782" s="89">
        <f t="shared" si="300"/>
        <v>0</v>
      </c>
      <c r="S1782" s="89">
        <f t="shared" si="301"/>
        <v>2705360</v>
      </c>
    </row>
    <row r="1783" spans="2:19" ht="15" x14ac:dyDescent="0.25">
      <c r="B1783" s="88">
        <f t="shared" si="298"/>
        <v>43</v>
      </c>
      <c r="C1783" s="243"/>
      <c r="D1783" s="243">
        <v>1</v>
      </c>
      <c r="E1783" s="508" t="s">
        <v>151</v>
      </c>
      <c r="F1783" s="509"/>
      <c r="G1783" s="509"/>
      <c r="H1783" s="510"/>
      <c r="I1783" s="41">
        <f>I1784+I1786</f>
        <v>2249000</v>
      </c>
      <c r="J1783" s="41">
        <f>J1784+J1786</f>
        <v>0</v>
      </c>
      <c r="K1783" s="90">
        <f t="shared" si="302"/>
        <v>2249000</v>
      </c>
      <c r="L1783" s="276"/>
      <c r="M1783" s="41">
        <f>M1786</f>
        <v>389000</v>
      </c>
      <c r="N1783" s="41">
        <f>N1786</f>
        <v>0</v>
      </c>
      <c r="O1783" s="249">
        <f t="shared" si="303"/>
        <v>389000</v>
      </c>
      <c r="P1783" s="259"/>
      <c r="Q1783" s="310">
        <f t="shared" si="299"/>
        <v>2638000</v>
      </c>
      <c r="R1783" s="90">
        <f t="shared" si="300"/>
        <v>0</v>
      </c>
      <c r="S1783" s="90">
        <f t="shared" si="301"/>
        <v>2638000</v>
      </c>
    </row>
    <row r="1784" spans="2:19" x14ac:dyDescent="0.2">
      <c r="B1784" s="88">
        <f t="shared" si="298"/>
        <v>44</v>
      </c>
      <c r="C1784" s="10"/>
      <c r="D1784" s="10"/>
      <c r="E1784" s="10"/>
      <c r="F1784" s="29" t="s">
        <v>150</v>
      </c>
      <c r="G1784" s="10">
        <v>630</v>
      </c>
      <c r="H1784" s="10" t="s">
        <v>133</v>
      </c>
      <c r="I1784" s="27">
        <f>I1785</f>
        <v>2249000</v>
      </c>
      <c r="J1784" s="27">
        <f>J1785</f>
        <v>0</v>
      </c>
      <c r="K1784" s="91">
        <f t="shared" si="302"/>
        <v>2249000</v>
      </c>
      <c r="L1784" s="276"/>
      <c r="M1784" s="27"/>
      <c r="N1784" s="27"/>
      <c r="O1784" s="250">
        <f t="shared" si="303"/>
        <v>0</v>
      </c>
      <c r="P1784" s="259"/>
      <c r="Q1784" s="309">
        <f t="shared" si="299"/>
        <v>2249000</v>
      </c>
      <c r="R1784" s="91">
        <f t="shared" si="300"/>
        <v>0</v>
      </c>
      <c r="S1784" s="91">
        <f t="shared" si="301"/>
        <v>2249000</v>
      </c>
    </row>
    <row r="1785" spans="2:19" x14ac:dyDescent="0.2">
      <c r="B1785" s="88">
        <f t="shared" si="298"/>
        <v>45</v>
      </c>
      <c r="C1785" s="4"/>
      <c r="D1785" s="4"/>
      <c r="E1785" s="4"/>
      <c r="F1785" s="30" t="s">
        <v>150</v>
      </c>
      <c r="G1785" s="4">
        <v>637</v>
      </c>
      <c r="H1785" s="4" t="s">
        <v>134</v>
      </c>
      <c r="I1785" s="23">
        <f>2544000-200000-24000-13000-3000-55000</f>
        <v>2249000</v>
      </c>
      <c r="J1785" s="23"/>
      <c r="K1785" s="92">
        <f t="shared" si="302"/>
        <v>2249000</v>
      </c>
      <c r="L1785" s="276"/>
      <c r="M1785" s="23"/>
      <c r="N1785" s="23"/>
      <c r="O1785" s="220">
        <f t="shared" si="303"/>
        <v>0</v>
      </c>
      <c r="P1785" s="259"/>
      <c r="Q1785" s="308">
        <f t="shared" si="299"/>
        <v>2249000</v>
      </c>
      <c r="R1785" s="92">
        <f t="shared" si="300"/>
        <v>0</v>
      </c>
      <c r="S1785" s="92">
        <f t="shared" si="301"/>
        <v>2249000</v>
      </c>
    </row>
    <row r="1786" spans="2:19" x14ac:dyDescent="0.2">
      <c r="B1786" s="88">
        <f t="shared" si="298"/>
        <v>46</v>
      </c>
      <c r="C1786" s="10"/>
      <c r="D1786" s="10"/>
      <c r="E1786" s="10"/>
      <c r="F1786" s="29" t="s">
        <v>150</v>
      </c>
      <c r="G1786" s="10">
        <v>710</v>
      </c>
      <c r="H1786" s="10" t="s">
        <v>188</v>
      </c>
      <c r="I1786" s="27"/>
      <c r="J1786" s="27"/>
      <c r="K1786" s="91">
        <f t="shared" si="302"/>
        <v>0</v>
      </c>
      <c r="L1786" s="276"/>
      <c r="M1786" s="27">
        <f>M1787+M1792</f>
        <v>389000</v>
      </c>
      <c r="N1786" s="27">
        <f>N1787+N1792</f>
        <v>0</v>
      </c>
      <c r="O1786" s="250">
        <f t="shared" si="303"/>
        <v>389000</v>
      </c>
      <c r="P1786" s="259"/>
      <c r="Q1786" s="309">
        <f t="shared" si="299"/>
        <v>389000</v>
      </c>
      <c r="R1786" s="91">
        <f t="shared" si="300"/>
        <v>0</v>
      </c>
      <c r="S1786" s="91">
        <f t="shared" si="301"/>
        <v>389000</v>
      </c>
    </row>
    <row r="1787" spans="2:19" x14ac:dyDescent="0.2">
      <c r="B1787" s="88">
        <f t="shared" si="298"/>
        <v>47</v>
      </c>
      <c r="C1787" s="4"/>
      <c r="D1787" s="4"/>
      <c r="E1787" s="4"/>
      <c r="F1787" s="30" t="s">
        <v>150</v>
      </c>
      <c r="G1787" s="4">
        <v>716</v>
      </c>
      <c r="H1787" s="4" t="s">
        <v>232</v>
      </c>
      <c r="I1787" s="23"/>
      <c r="J1787" s="23"/>
      <c r="K1787" s="92">
        <f t="shared" si="302"/>
        <v>0</v>
      </c>
      <c r="L1787" s="276"/>
      <c r="M1787" s="23">
        <f>M1790+M1788+M1789+M1791</f>
        <v>14000</v>
      </c>
      <c r="N1787" s="23">
        <f>N1790+N1788+N1789+N1791</f>
        <v>0</v>
      </c>
      <c r="O1787" s="220">
        <f t="shared" si="303"/>
        <v>14000</v>
      </c>
      <c r="P1787" s="259"/>
      <c r="Q1787" s="308">
        <f t="shared" si="299"/>
        <v>14000</v>
      </c>
      <c r="R1787" s="92">
        <f t="shared" si="300"/>
        <v>0</v>
      </c>
      <c r="S1787" s="92">
        <f t="shared" si="301"/>
        <v>14000</v>
      </c>
    </row>
    <row r="1788" spans="2:19" x14ac:dyDescent="0.2">
      <c r="B1788" s="88">
        <f t="shared" si="298"/>
        <v>48</v>
      </c>
      <c r="C1788" s="4"/>
      <c r="D1788" s="4"/>
      <c r="E1788" s="4"/>
      <c r="F1788" s="30"/>
      <c r="G1788" s="4"/>
      <c r="H1788" s="153" t="s">
        <v>474</v>
      </c>
      <c r="I1788" s="25"/>
      <c r="J1788" s="25"/>
      <c r="K1788" s="93">
        <f t="shared" si="302"/>
        <v>0</v>
      </c>
      <c r="L1788" s="276"/>
      <c r="M1788" s="25">
        <v>5000</v>
      </c>
      <c r="N1788" s="25"/>
      <c r="O1788" s="251">
        <f t="shared" si="303"/>
        <v>5000</v>
      </c>
      <c r="P1788" s="259"/>
      <c r="Q1788" s="332">
        <f t="shared" si="299"/>
        <v>5000</v>
      </c>
      <c r="R1788" s="93">
        <f t="shared" si="300"/>
        <v>0</v>
      </c>
      <c r="S1788" s="93">
        <f t="shared" si="301"/>
        <v>5000</v>
      </c>
    </row>
    <row r="1789" spans="2:19" x14ac:dyDescent="0.2">
      <c r="B1789" s="88">
        <f t="shared" si="298"/>
        <v>49</v>
      </c>
      <c r="C1789" s="4"/>
      <c r="D1789" s="4"/>
      <c r="E1789" s="4"/>
      <c r="F1789" s="30"/>
      <c r="G1789" s="4"/>
      <c r="H1789" s="153" t="s">
        <v>485</v>
      </c>
      <c r="I1789" s="25"/>
      <c r="J1789" s="25"/>
      <c r="K1789" s="93">
        <f t="shared" si="302"/>
        <v>0</v>
      </c>
      <c r="L1789" s="276"/>
      <c r="M1789" s="25">
        <v>3000</v>
      </c>
      <c r="N1789" s="25"/>
      <c r="O1789" s="251">
        <f t="shared" si="303"/>
        <v>3000</v>
      </c>
      <c r="P1789" s="259"/>
      <c r="Q1789" s="332">
        <f t="shared" si="299"/>
        <v>3000</v>
      </c>
      <c r="R1789" s="93">
        <f t="shared" si="300"/>
        <v>0</v>
      </c>
      <c r="S1789" s="93">
        <f t="shared" si="301"/>
        <v>3000</v>
      </c>
    </row>
    <row r="1790" spans="2:19" x14ac:dyDescent="0.2">
      <c r="B1790" s="88">
        <f t="shared" si="298"/>
        <v>50</v>
      </c>
      <c r="C1790" s="5"/>
      <c r="D1790" s="5"/>
      <c r="E1790" s="5"/>
      <c r="F1790" s="31"/>
      <c r="G1790" s="5"/>
      <c r="H1790" s="5" t="s">
        <v>372</v>
      </c>
      <c r="I1790" s="25"/>
      <c r="J1790" s="25"/>
      <c r="K1790" s="93">
        <f t="shared" si="302"/>
        <v>0</v>
      </c>
      <c r="L1790" s="276"/>
      <c r="M1790" s="25">
        <v>4000</v>
      </c>
      <c r="N1790" s="25"/>
      <c r="O1790" s="251">
        <f t="shared" si="303"/>
        <v>4000</v>
      </c>
      <c r="P1790" s="259"/>
      <c r="Q1790" s="332">
        <f t="shared" si="299"/>
        <v>4000</v>
      </c>
      <c r="R1790" s="93">
        <f t="shared" si="300"/>
        <v>0</v>
      </c>
      <c r="S1790" s="93">
        <f t="shared" si="301"/>
        <v>4000</v>
      </c>
    </row>
    <row r="1791" spans="2:19" x14ac:dyDescent="0.2">
      <c r="B1791" s="88">
        <f t="shared" si="298"/>
        <v>51</v>
      </c>
      <c r="C1791" s="5"/>
      <c r="D1791" s="5"/>
      <c r="E1791" s="5"/>
      <c r="F1791" s="31"/>
      <c r="G1791" s="5"/>
      <c r="H1791" s="5" t="s">
        <v>601</v>
      </c>
      <c r="I1791" s="25"/>
      <c r="J1791" s="25"/>
      <c r="K1791" s="93">
        <f t="shared" si="302"/>
        <v>0</v>
      </c>
      <c r="L1791" s="276"/>
      <c r="M1791" s="25">
        <v>2000</v>
      </c>
      <c r="N1791" s="25"/>
      <c r="O1791" s="251">
        <f t="shared" si="303"/>
        <v>2000</v>
      </c>
      <c r="P1791" s="259"/>
      <c r="Q1791" s="332">
        <f t="shared" si="299"/>
        <v>2000</v>
      </c>
      <c r="R1791" s="93">
        <f t="shared" si="300"/>
        <v>0</v>
      </c>
      <c r="S1791" s="93">
        <f t="shared" si="301"/>
        <v>2000</v>
      </c>
    </row>
    <row r="1792" spans="2:19" x14ac:dyDescent="0.2">
      <c r="B1792" s="88">
        <f t="shared" si="298"/>
        <v>52</v>
      </c>
      <c r="C1792" s="4"/>
      <c r="D1792" s="4"/>
      <c r="E1792" s="4"/>
      <c r="F1792" s="30" t="s">
        <v>150</v>
      </c>
      <c r="G1792" s="4">
        <v>717</v>
      </c>
      <c r="H1792" s="4" t="s">
        <v>198</v>
      </c>
      <c r="I1792" s="23"/>
      <c r="J1792" s="23"/>
      <c r="K1792" s="92">
        <f t="shared" si="302"/>
        <v>0</v>
      </c>
      <c r="L1792" s="276"/>
      <c r="M1792" s="23">
        <f>SUM(M1793:M1796)</f>
        <v>375000</v>
      </c>
      <c r="N1792" s="23">
        <f>SUM(N1793:N1796)</f>
        <v>0</v>
      </c>
      <c r="O1792" s="220">
        <f t="shared" si="303"/>
        <v>375000</v>
      </c>
      <c r="P1792" s="259"/>
      <c r="Q1792" s="308">
        <f t="shared" si="299"/>
        <v>375000</v>
      </c>
      <c r="R1792" s="92">
        <f t="shared" si="300"/>
        <v>0</v>
      </c>
      <c r="S1792" s="92">
        <f t="shared" si="301"/>
        <v>375000</v>
      </c>
    </row>
    <row r="1793" spans="2:19" x14ac:dyDescent="0.2">
      <c r="B1793" s="88">
        <f t="shared" si="298"/>
        <v>53</v>
      </c>
      <c r="C1793" s="5"/>
      <c r="D1793" s="5"/>
      <c r="E1793" s="5"/>
      <c r="F1793" s="31"/>
      <c r="G1793" s="5"/>
      <c r="H1793" s="16" t="s">
        <v>372</v>
      </c>
      <c r="I1793" s="25"/>
      <c r="J1793" s="25"/>
      <c r="K1793" s="93">
        <f t="shared" si="302"/>
        <v>0</v>
      </c>
      <c r="L1793" s="276"/>
      <c r="M1793" s="25">
        <f>130000+12000</f>
        <v>142000</v>
      </c>
      <c r="N1793" s="25"/>
      <c r="O1793" s="251">
        <f t="shared" si="303"/>
        <v>142000</v>
      </c>
      <c r="P1793" s="259"/>
      <c r="Q1793" s="332">
        <f t="shared" si="299"/>
        <v>142000</v>
      </c>
      <c r="R1793" s="93">
        <f t="shared" si="300"/>
        <v>0</v>
      </c>
      <c r="S1793" s="93">
        <f t="shared" si="301"/>
        <v>142000</v>
      </c>
    </row>
    <row r="1794" spans="2:19" x14ac:dyDescent="0.2">
      <c r="B1794" s="88">
        <f t="shared" si="298"/>
        <v>54</v>
      </c>
      <c r="C1794" s="5"/>
      <c r="D1794" s="5"/>
      <c r="E1794" s="5"/>
      <c r="F1794" s="31"/>
      <c r="G1794" s="5"/>
      <c r="H1794" s="153" t="s">
        <v>474</v>
      </c>
      <c r="I1794" s="25"/>
      <c r="J1794" s="25"/>
      <c r="K1794" s="93">
        <f t="shared" si="302"/>
        <v>0</v>
      </c>
      <c r="L1794" s="276"/>
      <c r="M1794" s="25">
        <f>146000-5000</f>
        <v>141000</v>
      </c>
      <c r="N1794" s="25"/>
      <c r="O1794" s="251">
        <f t="shared" si="303"/>
        <v>141000</v>
      </c>
      <c r="P1794" s="259"/>
      <c r="Q1794" s="332">
        <f t="shared" si="299"/>
        <v>141000</v>
      </c>
      <c r="R1794" s="93">
        <f t="shared" si="300"/>
        <v>0</v>
      </c>
      <c r="S1794" s="93">
        <f t="shared" si="301"/>
        <v>141000</v>
      </c>
    </row>
    <row r="1795" spans="2:19" x14ac:dyDescent="0.2">
      <c r="B1795" s="88">
        <f t="shared" si="298"/>
        <v>55</v>
      </c>
      <c r="C1795" s="5"/>
      <c r="D1795" s="5"/>
      <c r="E1795" s="5"/>
      <c r="F1795" s="31"/>
      <c r="G1795" s="5"/>
      <c r="H1795" s="153" t="s">
        <v>485</v>
      </c>
      <c r="I1795" s="25"/>
      <c r="J1795" s="25"/>
      <c r="K1795" s="93">
        <f t="shared" si="302"/>
        <v>0</v>
      </c>
      <c r="L1795" s="276"/>
      <c r="M1795" s="25">
        <f>60000-3000+13000</f>
        <v>70000</v>
      </c>
      <c r="N1795" s="25"/>
      <c r="O1795" s="251">
        <f t="shared" si="303"/>
        <v>70000</v>
      </c>
      <c r="P1795" s="259"/>
      <c r="Q1795" s="332">
        <f t="shared" si="299"/>
        <v>70000</v>
      </c>
      <c r="R1795" s="93">
        <f t="shared" si="300"/>
        <v>0</v>
      </c>
      <c r="S1795" s="93">
        <f t="shared" si="301"/>
        <v>70000</v>
      </c>
    </row>
    <row r="1796" spans="2:19" x14ac:dyDescent="0.2">
      <c r="B1796" s="88">
        <f t="shared" si="298"/>
        <v>56</v>
      </c>
      <c r="C1796" s="5"/>
      <c r="D1796" s="5"/>
      <c r="E1796" s="5"/>
      <c r="F1796" s="31"/>
      <c r="G1796" s="5"/>
      <c r="H1796" s="153" t="s">
        <v>601</v>
      </c>
      <c r="I1796" s="25"/>
      <c r="J1796" s="25"/>
      <c r="K1796" s="93">
        <f t="shared" si="302"/>
        <v>0</v>
      </c>
      <c r="L1796" s="276"/>
      <c r="M1796" s="25">
        <v>22000</v>
      </c>
      <c r="N1796" s="25"/>
      <c r="O1796" s="251">
        <f t="shared" si="303"/>
        <v>22000</v>
      </c>
      <c r="P1796" s="259"/>
      <c r="Q1796" s="332">
        <f t="shared" si="299"/>
        <v>22000</v>
      </c>
      <c r="R1796" s="93">
        <f t="shared" si="300"/>
        <v>0</v>
      </c>
      <c r="S1796" s="93">
        <f t="shared" si="301"/>
        <v>22000</v>
      </c>
    </row>
    <row r="1797" spans="2:19" ht="15" x14ac:dyDescent="0.25">
      <c r="B1797" s="88">
        <f t="shared" si="298"/>
        <v>57</v>
      </c>
      <c r="C1797" s="243"/>
      <c r="D1797" s="243">
        <v>2</v>
      </c>
      <c r="E1797" s="508" t="s">
        <v>257</v>
      </c>
      <c r="F1797" s="509"/>
      <c r="G1797" s="509"/>
      <c r="H1797" s="510"/>
      <c r="I1797" s="41">
        <f>I1798+I1800</f>
        <v>2300</v>
      </c>
      <c r="J1797" s="41">
        <f>J1798+J1800</f>
        <v>0</v>
      </c>
      <c r="K1797" s="90">
        <f t="shared" si="302"/>
        <v>2300</v>
      </c>
      <c r="L1797" s="276"/>
      <c r="M1797" s="41">
        <f>M1800</f>
        <v>65060</v>
      </c>
      <c r="N1797" s="41">
        <f>N1800</f>
        <v>0</v>
      </c>
      <c r="O1797" s="249">
        <f t="shared" si="303"/>
        <v>65060</v>
      </c>
      <c r="P1797" s="259"/>
      <c r="Q1797" s="310">
        <f t="shared" si="299"/>
        <v>67360</v>
      </c>
      <c r="R1797" s="90">
        <f t="shared" si="300"/>
        <v>0</v>
      </c>
      <c r="S1797" s="90">
        <f t="shared" si="301"/>
        <v>67360</v>
      </c>
    </row>
    <row r="1798" spans="2:19" x14ac:dyDescent="0.2">
      <c r="B1798" s="88">
        <f t="shared" si="298"/>
        <v>58</v>
      </c>
      <c r="C1798" s="10"/>
      <c r="D1798" s="10"/>
      <c r="E1798" s="10"/>
      <c r="F1798" s="29" t="s">
        <v>150</v>
      </c>
      <c r="G1798" s="10">
        <v>630</v>
      </c>
      <c r="H1798" s="10" t="s">
        <v>133</v>
      </c>
      <c r="I1798" s="27">
        <f>I1799</f>
        <v>2300</v>
      </c>
      <c r="J1798" s="27">
        <f>J1799</f>
        <v>0</v>
      </c>
      <c r="K1798" s="91">
        <f t="shared" si="302"/>
        <v>2300</v>
      </c>
      <c r="L1798" s="276"/>
      <c r="M1798" s="27"/>
      <c r="N1798" s="27"/>
      <c r="O1798" s="250">
        <f t="shared" si="303"/>
        <v>0</v>
      </c>
      <c r="P1798" s="259"/>
      <c r="Q1798" s="309">
        <f t="shared" si="299"/>
        <v>2300</v>
      </c>
      <c r="R1798" s="91">
        <f t="shared" si="300"/>
        <v>0</v>
      </c>
      <c r="S1798" s="91">
        <f t="shared" si="301"/>
        <v>2300</v>
      </c>
    </row>
    <row r="1799" spans="2:19" x14ac:dyDescent="0.2">
      <c r="B1799" s="88">
        <f t="shared" si="298"/>
        <v>59</v>
      </c>
      <c r="C1799" s="4"/>
      <c r="D1799" s="4"/>
      <c r="E1799" s="4"/>
      <c r="F1799" s="30" t="s">
        <v>150</v>
      </c>
      <c r="G1799" s="4">
        <v>637</v>
      </c>
      <c r="H1799" s="4" t="s">
        <v>134</v>
      </c>
      <c r="I1799" s="23">
        <v>2300</v>
      </c>
      <c r="J1799" s="23"/>
      <c r="K1799" s="92">
        <f t="shared" si="302"/>
        <v>2300</v>
      </c>
      <c r="L1799" s="276"/>
      <c r="M1799" s="23"/>
      <c r="N1799" s="23"/>
      <c r="O1799" s="220">
        <f t="shared" si="303"/>
        <v>0</v>
      </c>
      <c r="P1799" s="259"/>
      <c r="Q1799" s="308">
        <f t="shared" si="299"/>
        <v>2300</v>
      </c>
      <c r="R1799" s="92">
        <f t="shared" si="300"/>
        <v>0</v>
      </c>
      <c r="S1799" s="92">
        <f t="shared" si="301"/>
        <v>2300</v>
      </c>
    </row>
    <row r="1800" spans="2:19" x14ac:dyDescent="0.2">
      <c r="B1800" s="88">
        <f t="shared" si="298"/>
        <v>60</v>
      </c>
      <c r="C1800" s="10"/>
      <c r="D1800" s="10"/>
      <c r="E1800" s="10"/>
      <c r="F1800" s="29" t="s">
        <v>150</v>
      </c>
      <c r="G1800" s="10">
        <v>710</v>
      </c>
      <c r="H1800" s="10" t="s">
        <v>188</v>
      </c>
      <c r="I1800" s="27"/>
      <c r="J1800" s="27"/>
      <c r="K1800" s="91">
        <f t="shared" si="302"/>
        <v>0</v>
      </c>
      <c r="L1800" s="276"/>
      <c r="M1800" s="27">
        <f>M1801</f>
        <v>65060</v>
      </c>
      <c r="N1800" s="27">
        <f>N1801</f>
        <v>0</v>
      </c>
      <c r="O1800" s="250">
        <f t="shared" si="303"/>
        <v>65060</v>
      </c>
      <c r="P1800" s="259"/>
      <c r="Q1800" s="309">
        <f t="shared" si="299"/>
        <v>65060</v>
      </c>
      <c r="R1800" s="91">
        <f t="shared" si="300"/>
        <v>0</v>
      </c>
      <c r="S1800" s="91">
        <f t="shared" si="301"/>
        <v>65060</v>
      </c>
    </row>
    <row r="1801" spans="2:19" x14ac:dyDescent="0.2">
      <c r="B1801" s="88">
        <f t="shared" si="298"/>
        <v>61</v>
      </c>
      <c r="C1801" s="4"/>
      <c r="D1801" s="4"/>
      <c r="E1801" s="4"/>
      <c r="F1801" s="30" t="s">
        <v>150</v>
      </c>
      <c r="G1801" s="4">
        <v>717</v>
      </c>
      <c r="H1801" s="4" t="s">
        <v>198</v>
      </c>
      <c r="I1801" s="23"/>
      <c r="J1801" s="23"/>
      <c r="K1801" s="92">
        <f t="shared" si="302"/>
        <v>0</v>
      </c>
      <c r="L1801" s="276"/>
      <c r="M1801" s="23">
        <f>M1802</f>
        <v>65060</v>
      </c>
      <c r="N1801" s="23">
        <f>N1802</f>
        <v>0</v>
      </c>
      <c r="O1801" s="220">
        <f t="shared" si="303"/>
        <v>65060</v>
      </c>
      <c r="P1801" s="259"/>
      <c r="Q1801" s="308">
        <f t="shared" si="299"/>
        <v>65060</v>
      </c>
      <c r="R1801" s="92">
        <f t="shared" si="300"/>
        <v>0</v>
      </c>
      <c r="S1801" s="92">
        <f t="shared" si="301"/>
        <v>65060</v>
      </c>
    </row>
    <row r="1802" spans="2:19" x14ac:dyDescent="0.2">
      <c r="B1802" s="88">
        <f t="shared" si="298"/>
        <v>62</v>
      </c>
      <c r="C1802" s="5"/>
      <c r="D1802" s="5"/>
      <c r="E1802" s="5"/>
      <c r="F1802" s="31"/>
      <c r="G1802" s="5"/>
      <c r="H1802" s="5" t="s">
        <v>262</v>
      </c>
      <c r="I1802" s="25"/>
      <c r="J1802" s="25"/>
      <c r="K1802" s="93">
        <f t="shared" si="302"/>
        <v>0</v>
      </c>
      <c r="L1802" s="276"/>
      <c r="M1802" s="25">
        <v>65060</v>
      </c>
      <c r="N1802" s="25"/>
      <c r="O1802" s="251">
        <f t="shared" si="303"/>
        <v>65060</v>
      </c>
      <c r="P1802" s="259"/>
      <c r="Q1802" s="332">
        <f t="shared" si="299"/>
        <v>65060</v>
      </c>
      <c r="R1802" s="93">
        <f t="shared" si="300"/>
        <v>0</v>
      </c>
      <c r="S1802" s="93">
        <f t="shared" si="301"/>
        <v>65060</v>
      </c>
    </row>
    <row r="1803" spans="2:19" ht="15" x14ac:dyDescent="0.2">
      <c r="B1803" s="88">
        <f t="shared" si="298"/>
        <v>63</v>
      </c>
      <c r="C1803" s="242">
        <v>3</v>
      </c>
      <c r="D1803" s="511" t="s">
        <v>525</v>
      </c>
      <c r="E1803" s="509"/>
      <c r="F1803" s="509"/>
      <c r="G1803" s="509"/>
      <c r="H1803" s="510"/>
      <c r="I1803" s="40">
        <f>I1804+I1808+I1812+I1817+I1825+I1815</f>
        <v>170550</v>
      </c>
      <c r="J1803" s="40">
        <f>J1804+J1808+J1812+J1817+J1825+J1815</f>
        <v>-76000</v>
      </c>
      <c r="K1803" s="89">
        <f t="shared" si="302"/>
        <v>94550</v>
      </c>
      <c r="L1803" s="276"/>
      <c r="M1803" s="40">
        <f>M1817</f>
        <v>15720</v>
      </c>
      <c r="N1803" s="40">
        <f>N1817</f>
        <v>188800</v>
      </c>
      <c r="O1803" s="248">
        <f t="shared" si="303"/>
        <v>204520</v>
      </c>
      <c r="P1803" s="259"/>
      <c r="Q1803" s="313">
        <f t="shared" si="299"/>
        <v>186270</v>
      </c>
      <c r="R1803" s="89">
        <f t="shared" si="300"/>
        <v>112800</v>
      </c>
      <c r="S1803" s="89">
        <f t="shared" si="301"/>
        <v>299070</v>
      </c>
    </row>
    <row r="1804" spans="2:19" x14ac:dyDescent="0.2">
      <c r="B1804" s="88">
        <f t="shared" si="298"/>
        <v>64</v>
      </c>
      <c r="C1804" s="10"/>
      <c r="D1804" s="10"/>
      <c r="E1804" s="10"/>
      <c r="F1804" s="29" t="s">
        <v>259</v>
      </c>
      <c r="G1804" s="10">
        <v>630</v>
      </c>
      <c r="H1804" s="10" t="s">
        <v>133</v>
      </c>
      <c r="I1804" s="27">
        <f>I1806+I1805+I1807</f>
        <v>101100</v>
      </c>
      <c r="J1804" s="27">
        <f>J1806+J1805+J1807</f>
        <v>-85000</v>
      </c>
      <c r="K1804" s="91">
        <f t="shared" si="302"/>
        <v>16100</v>
      </c>
      <c r="L1804" s="276"/>
      <c r="M1804" s="27"/>
      <c r="N1804" s="27"/>
      <c r="O1804" s="250">
        <f t="shared" si="303"/>
        <v>0</v>
      </c>
      <c r="P1804" s="259"/>
      <c r="Q1804" s="309">
        <f t="shared" si="299"/>
        <v>101100</v>
      </c>
      <c r="R1804" s="91">
        <f t="shared" si="300"/>
        <v>-85000</v>
      </c>
      <c r="S1804" s="91">
        <f t="shared" si="301"/>
        <v>16100</v>
      </c>
    </row>
    <row r="1805" spans="2:19" x14ac:dyDescent="0.2">
      <c r="B1805" s="88">
        <f t="shared" ref="B1805:B1854" si="312">B1804+1</f>
        <v>65</v>
      </c>
      <c r="C1805" s="4"/>
      <c r="D1805" s="4"/>
      <c r="E1805" s="4"/>
      <c r="F1805" s="30" t="s">
        <v>259</v>
      </c>
      <c r="G1805" s="4">
        <v>633</v>
      </c>
      <c r="H1805" s="4" t="s">
        <v>137</v>
      </c>
      <c r="I1805" s="23">
        <v>100</v>
      </c>
      <c r="J1805" s="23"/>
      <c r="K1805" s="92">
        <f t="shared" si="302"/>
        <v>100</v>
      </c>
      <c r="L1805" s="276"/>
      <c r="M1805" s="23"/>
      <c r="N1805" s="23"/>
      <c r="O1805" s="220">
        <f t="shared" si="303"/>
        <v>0</v>
      </c>
      <c r="P1805" s="259"/>
      <c r="Q1805" s="308">
        <f t="shared" ref="Q1805:Q1855" si="313">I1805+M1805</f>
        <v>100</v>
      </c>
      <c r="R1805" s="92">
        <f t="shared" ref="R1805:R1855" si="314">J1805+N1805</f>
        <v>0</v>
      </c>
      <c r="S1805" s="92">
        <f t="shared" ref="S1805:S1855" si="315">K1805+O1805</f>
        <v>100</v>
      </c>
    </row>
    <row r="1806" spans="2:19" x14ac:dyDescent="0.2">
      <c r="B1806" s="88">
        <f t="shared" si="312"/>
        <v>66</v>
      </c>
      <c r="C1806" s="4"/>
      <c r="D1806" s="4"/>
      <c r="E1806" s="4"/>
      <c r="F1806" s="30" t="s">
        <v>259</v>
      </c>
      <c r="G1806" s="4">
        <v>637</v>
      </c>
      <c r="H1806" s="4" t="s">
        <v>134</v>
      </c>
      <c r="I1806" s="23">
        <f>93500-85000+2500+2000+3000</f>
        <v>16000</v>
      </c>
      <c r="J1806" s="23"/>
      <c r="K1806" s="92">
        <f t="shared" ref="K1806:K1855" si="316">I1806+J1806</f>
        <v>16000</v>
      </c>
      <c r="L1806" s="276"/>
      <c r="M1806" s="23"/>
      <c r="N1806" s="23"/>
      <c r="O1806" s="220">
        <f t="shared" ref="O1806:O1855" si="317">M1806+N1806</f>
        <v>0</v>
      </c>
      <c r="P1806" s="259"/>
      <c r="Q1806" s="308">
        <f t="shared" si="313"/>
        <v>16000</v>
      </c>
      <c r="R1806" s="92">
        <f t="shared" si="314"/>
        <v>0</v>
      </c>
      <c r="S1806" s="92">
        <f t="shared" si="315"/>
        <v>16000</v>
      </c>
    </row>
    <row r="1807" spans="2:19" x14ac:dyDescent="0.2">
      <c r="B1807" s="88">
        <f t="shared" si="312"/>
        <v>67</v>
      </c>
      <c r="C1807" s="4"/>
      <c r="D1807" s="4"/>
      <c r="E1807" s="4"/>
      <c r="F1807" s="30" t="s">
        <v>259</v>
      </c>
      <c r="G1807" s="4">
        <v>637</v>
      </c>
      <c r="H1807" s="4" t="s">
        <v>431</v>
      </c>
      <c r="I1807" s="23">
        <v>85000</v>
      </c>
      <c r="J1807" s="23">
        <v>-85000</v>
      </c>
      <c r="K1807" s="92">
        <f t="shared" si="316"/>
        <v>0</v>
      </c>
      <c r="L1807" s="276"/>
      <c r="M1807" s="23"/>
      <c r="N1807" s="23"/>
      <c r="O1807" s="220">
        <f t="shared" si="317"/>
        <v>0</v>
      </c>
      <c r="P1807" s="259"/>
      <c r="Q1807" s="308">
        <f t="shared" si="313"/>
        <v>85000</v>
      </c>
      <c r="R1807" s="92">
        <f t="shared" si="314"/>
        <v>-85000</v>
      </c>
      <c r="S1807" s="92">
        <f t="shared" si="315"/>
        <v>0</v>
      </c>
    </row>
    <row r="1808" spans="2:19" x14ac:dyDescent="0.2">
      <c r="B1808" s="88">
        <f t="shared" si="312"/>
        <v>68</v>
      </c>
      <c r="C1808" s="10"/>
      <c r="D1808" s="10"/>
      <c r="E1808" s="10"/>
      <c r="F1808" s="29" t="s">
        <v>82</v>
      </c>
      <c r="G1808" s="10">
        <v>630</v>
      </c>
      <c r="H1808" s="10" t="s">
        <v>133</v>
      </c>
      <c r="I1808" s="27">
        <f>I1809+I1810+I1811</f>
        <v>49050</v>
      </c>
      <c r="J1808" s="27">
        <f t="shared" ref="J1808:K1808" si="318">J1809+J1810+J1811</f>
        <v>9000</v>
      </c>
      <c r="K1808" s="91">
        <f t="shared" si="318"/>
        <v>58050</v>
      </c>
      <c r="L1808" s="276"/>
      <c r="M1808" s="27"/>
      <c r="N1808" s="27"/>
      <c r="O1808" s="250">
        <f t="shared" si="317"/>
        <v>0</v>
      </c>
      <c r="P1808" s="259"/>
      <c r="Q1808" s="309">
        <f t="shared" si="313"/>
        <v>49050</v>
      </c>
      <c r="R1808" s="91">
        <f t="shared" si="314"/>
        <v>9000</v>
      </c>
      <c r="S1808" s="91">
        <f t="shared" si="315"/>
        <v>58050</v>
      </c>
    </row>
    <row r="1809" spans="2:43" x14ac:dyDescent="0.2">
      <c r="B1809" s="88">
        <f t="shared" si="312"/>
        <v>69</v>
      </c>
      <c r="C1809" s="4"/>
      <c r="D1809" s="4"/>
      <c r="E1809" s="4"/>
      <c r="F1809" s="30" t="s">
        <v>82</v>
      </c>
      <c r="G1809" s="4">
        <v>637</v>
      </c>
      <c r="H1809" s="60" t="s">
        <v>378</v>
      </c>
      <c r="I1809" s="68">
        <f>15000+29950</f>
        <v>44950</v>
      </c>
      <c r="J1809" s="68"/>
      <c r="K1809" s="178">
        <f t="shared" si="316"/>
        <v>44950</v>
      </c>
      <c r="L1809" s="276"/>
      <c r="M1809" s="23"/>
      <c r="N1809" s="23"/>
      <c r="O1809" s="220">
        <f t="shared" si="317"/>
        <v>0</v>
      </c>
      <c r="P1809" s="259"/>
      <c r="Q1809" s="308">
        <f t="shared" si="313"/>
        <v>44950</v>
      </c>
      <c r="R1809" s="92">
        <f t="shared" si="314"/>
        <v>0</v>
      </c>
      <c r="S1809" s="92">
        <f t="shared" si="315"/>
        <v>44950</v>
      </c>
    </row>
    <row r="1810" spans="2:43" x14ac:dyDescent="0.2">
      <c r="B1810" s="88">
        <f t="shared" si="312"/>
        <v>70</v>
      </c>
      <c r="C1810" s="4"/>
      <c r="D1810" s="4"/>
      <c r="E1810" s="4"/>
      <c r="F1810" s="30" t="s">
        <v>82</v>
      </c>
      <c r="G1810" s="4">
        <v>637</v>
      </c>
      <c r="H1810" s="4" t="s">
        <v>444</v>
      </c>
      <c r="I1810" s="68">
        <f>6450-2350</f>
        <v>4100</v>
      </c>
      <c r="J1810" s="68"/>
      <c r="K1810" s="178">
        <f t="shared" si="316"/>
        <v>4100</v>
      </c>
      <c r="L1810" s="276"/>
      <c r="M1810" s="23"/>
      <c r="N1810" s="23"/>
      <c r="O1810" s="220">
        <f t="shared" si="317"/>
        <v>0</v>
      </c>
      <c r="P1810" s="259"/>
      <c r="Q1810" s="308">
        <f t="shared" si="313"/>
        <v>4100</v>
      </c>
      <c r="R1810" s="92">
        <f t="shared" si="314"/>
        <v>0</v>
      </c>
      <c r="S1810" s="92">
        <f t="shared" si="315"/>
        <v>4100</v>
      </c>
    </row>
    <row r="1811" spans="2:43" s="47" customFormat="1" ht="24" x14ac:dyDescent="0.2">
      <c r="B1811" s="299">
        <f t="shared" si="312"/>
        <v>71</v>
      </c>
      <c r="C1811" s="52"/>
      <c r="D1811" s="52"/>
      <c r="E1811" s="52"/>
      <c r="F1811" s="173" t="s">
        <v>82</v>
      </c>
      <c r="G1811" s="52">
        <v>637</v>
      </c>
      <c r="H1811" s="174" t="s">
        <v>656</v>
      </c>
      <c r="I1811" s="97">
        <v>0</v>
      </c>
      <c r="J1811" s="97">
        <v>9000</v>
      </c>
      <c r="K1811" s="434">
        <f t="shared" si="316"/>
        <v>9000</v>
      </c>
      <c r="L1811" s="435"/>
      <c r="M1811" s="55"/>
      <c r="N1811" s="55"/>
      <c r="O1811" s="346">
        <f t="shared" si="317"/>
        <v>0</v>
      </c>
      <c r="P1811" s="335"/>
      <c r="Q1811" s="357">
        <f t="shared" ref="Q1811" si="319">I1811+M1811</f>
        <v>0</v>
      </c>
      <c r="R1811" s="115">
        <f t="shared" ref="R1811" si="320">J1811+N1811</f>
        <v>9000</v>
      </c>
      <c r="S1811" s="115">
        <f t="shared" ref="S1811" si="321">K1811+O1811</f>
        <v>9000</v>
      </c>
      <c r="T1811" s="301"/>
      <c r="U1811" s="301"/>
      <c r="V1811" s="301"/>
      <c r="W1811" s="301"/>
      <c r="X1811" s="301"/>
      <c r="Y1811" s="301"/>
      <c r="Z1811" s="301"/>
      <c r="AA1811" s="301"/>
      <c r="AB1811" s="301"/>
      <c r="AC1811" s="301"/>
      <c r="AD1811" s="301"/>
      <c r="AE1811" s="301"/>
      <c r="AF1811" s="301"/>
      <c r="AG1811" s="301"/>
      <c r="AH1811" s="301"/>
      <c r="AI1811" s="301"/>
      <c r="AJ1811" s="301"/>
      <c r="AK1811" s="301"/>
      <c r="AL1811" s="301"/>
      <c r="AM1811" s="301"/>
      <c r="AN1811" s="301"/>
      <c r="AO1811" s="301"/>
      <c r="AP1811" s="301"/>
      <c r="AQ1811" s="301"/>
    </row>
    <row r="1812" spans="2:43" x14ac:dyDescent="0.2">
      <c r="B1812" s="88">
        <f t="shared" si="312"/>
        <v>72</v>
      </c>
      <c r="C1812" s="10"/>
      <c r="D1812" s="10"/>
      <c r="E1812" s="10"/>
      <c r="F1812" s="29" t="s">
        <v>259</v>
      </c>
      <c r="G1812" s="10">
        <v>640</v>
      </c>
      <c r="H1812" s="10" t="s">
        <v>141</v>
      </c>
      <c r="I1812" s="27">
        <f>I1813+I1814</f>
        <v>7200</v>
      </c>
      <c r="J1812" s="27">
        <f>J1813+J1814</f>
        <v>0</v>
      </c>
      <c r="K1812" s="91">
        <f t="shared" si="316"/>
        <v>7200</v>
      </c>
      <c r="L1812" s="276"/>
      <c r="M1812" s="27"/>
      <c r="N1812" s="27"/>
      <c r="O1812" s="250">
        <f t="shared" si="317"/>
        <v>0</v>
      </c>
      <c r="P1812" s="259"/>
      <c r="Q1812" s="309">
        <f t="shared" si="313"/>
        <v>7200</v>
      </c>
      <c r="R1812" s="91">
        <f t="shared" si="314"/>
        <v>0</v>
      </c>
      <c r="S1812" s="91">
        <f t="shared" si="315"/>
        <v>7200</v>
      </c>
    </row>
    <row r="1813" spans="2:43" x14ac:dyDescent="0.2">
      <c r="B1813" s="88">
        <f t="shared" si="312"/>
        <v>73</v>
      </c>
      <c r="C1813" s="4"/>
      <c r="D1813" s="4"/>
      <c r="E1813" s="4"/>
      <c r="F1813" s="30"/>
      <c r="G1813" s="4"/>
      <c r="H1813" s="5" t="s">
        <v>293</v>
      </c>
      <c r="I1813" s="25">
        <v>3200</v>
      </c>
      <c r="J1813" s="25"/>
      <c r="K1813" s="93">
        <f t="shared" si="316"/>
        <v>3200</v>
      </c>
      <c r="L1813" s="276"/>
      <c r="M1813" s="23"/>
      <c r="N1813" s="23"/>
      <c r="O1813" s="220">
        <f t="shared" si="317"/>
        <v>0</v>
      </c>
      <c r="P1813" s="259"/>
      <c r="Q1813" s="308">
        <f t="shared" si="313"/>
        <v>3200</v>
      </c>
      <c r="R1813" s="92">
        <f t="shared" si="314"/>
        <v>0</v>
      </c>
      <c r="S1813" s="92">
        <f t="shared" si="315"/>
        <v>3200</v>
      </c>
    </row>
    <row r="1814" spans="2:43" x14ac:dyDescent="0.2">
      <c r="B1814" s="88">
        <f t="shared" si="312"/>
        <v>74</v>
      </c>
      <c r="C1814" s="5"/>
      <c r="D1814" s="5"/>
      <c r="E1814" s="5"/>
      <c r="F1814" s="31"/>
      <c r="G1814" s="5"/>
      <c r="H1814" s="5" t="s">
        <v>506</v>
      </c>
      <c r="I1814" s="25">
        <v>4000</v>
      </c>
      <c r="J1814" s="25"/>
      <c r="K1814" s="93">
        <f t="shared" si="316"/>
        <v>4000</v>
      </c>
      <c r="L1814" s="276"/>
      <c r="M1814" s="25"/>
      <c r="N1814" s="25"/>
      <c r="O1814" s="251">
        <f t="shared" si="317"/>
        <v>0</v>
      </c>
      <c r="P1814" s="259"/>
      <c r="Q1814" s="332">
        <f t="shared" si="313"/>
        <v>4000</v>
      </c>
      <c r="R1814" s="93">
        <f t="shared" si="314"/>
        <v>0</v>
      </c>
      <c r="S1814" s="93">
        <f t="shared" si="315"/>
        <v>4000</v>
      </c>
    </row>
    <row r="1815" spans="2:43" x14ac:dyDescent="0.2">
      <c r="B1815" s="88">
        <f t="shared" si="312"/>
        <v>75</v>
      </c>
      <c r="C1815" s="5"/>
      <c r="D1815" s="5"/>
      <c r="E1815" s="5"/>
      <c r="F1815" s="29" t="s">
        <v>156</v>
      </c>
      <c r="G1815" s="10">
        <v>640</v>
      </c>
      <c r="H1815" s="10" t="s">
        <v>141</v>
      </c>
      <c r="I1815" s="27">
        <f>I1816+I1817</f>
        <v>3200</v>
      </c>
      <c r="J1815" s="27">
        <f>J1816+J1817</f>
        <v>0</v>
      </c>
      <c r="K1815" s="91">
        <f t="shared" si="316"/>
        <v>3200</v>
      </c>
      <c r="L1815" s="276"/>
      <c r="M1815" s="27"/>
      <c r="N1815" s="27"/>
      <c r="O1815" s="250">
        <f t="shared" si="317"/>
        <v>0</v>
      </c>
      <c r="P1815" s="259"/>
      <c r="Q1815" s="309">
        <f t="shared" si="313"/>
        <v>3200</v>
      </c>
      <c r="R1815" s="91">
        <f t="shared" si="314"/>
        <v>0</v>
      </c>
      <c r="S1815" s="91">
        <f t="shared" si="315"/>
        <v>3200</v>
      </c>
    </row>
    <row r="1816" spans="2:43" x14ac:dyDescent="0.2">
      <c r="B1816" s="88">
        <f t="shared" si="312"/>
        <v>76</v>
      </c>
      <c r="C1816" s="5"/>
      <c r="D1816" s="5"/>
      <c r="E1816" s="5"/>
      <c r="F1816" s="30"/>
      <c r="G1816" s="4"/>
      <c r="H1816" s="5" t="s">
        <v>620</v>
      </c>
      <c r="I1816" s="25">
        <v>3200</v>
      </c>
      <c r="J1816" s="25"/>
      <c r="K1816" s="93">
        <f t="shared" si="316"/>
        <v>3200</v>
      </c>
      <c r="L1816" s="276"/>
      <c r="M1816" s="23"/>
      <c r="N1816" s="23"/>
      <c r="O1816" s="220">
        <f t="shared" si="317"/>
        <v>0</v>
      </c>
      <c r="P1816" s="259"/>
      <c r="Q1816" s="308">
        <f t="shared" si="313"/>
        <v>3200</v>
      </c>
      <c r="R1816" s="92">
        <f t="shared" si="314"/>
        <v>0</v>
      </c>
      <c r="S1816" s="92">
        <f t="shared" si="315"/>
        <v>3200</v>
      </c>
    </row>
    <row r="1817" spans="2:43" x14ac:dyDescent="0.2">
      <c r="B1817" s="88">
        <f t="shared" si="312"/>
        <v>77</v>
      </c>
      <c r="C1817" s="10"/>
      <c r="D1817" s="10"/>
      <c r="E1817" s="10"/>
      <c r="F1817" s="29" t="s">
        <v>259</v>
      </c>
      <c r="G1817" s="10">
        <v>710</v>
      </c>
      <c r="H1817" s="10" t="s">
        <v>188</v>
      </c>
      <c r="I1817" s="27"/>
      <c r="J1817" s="27"/>
      <c r="K1817" s="91">
        <f t="shared" si="316"/>
        <v>0</v>
      </c>
      <c r="L1817" s="276"/>
      <c r="M1817" s="27">
        <f>M1822</f>
        <v>15720</v>
      </c>
      <c r="N1817" s="27">
        <f>N1818+N1821</f>
        <v>188800</v>
      </c>
      <c r="O1817" s="250">
        <f t="shared" si="317"/>
        <v>204520</v>
      </c>
      <c r="P1817" s="259"/>
      <c r="Q1817" s="309">
        <f t="shared" si="313"/>
        <v>15720</v>
      </c>
      <c r="R1817" s="91">
        <f t="shared" si="314"/>
        <v>188800</v>
      </c>
      <c r="S1817" s="91">
        <f t="shared" si="315"/>
        <v>204520</v>
      </c>
    </row>
    <row r="1818" spans="2:43" x14ac:dyDescent="0.2">
      <c r="B1818" s="88">
        <f t="shared" si="312"/>
        <v>78</v>
      </c>
      <c r="C1818" s="10"/>
      <c r="D1818" s="10"/>
      <c r="E1818" s="10"/>
      <c r="F1818" s="30" t="s">
        <v>259</v>
      </c>
      <c r="G1818" s="4">
        <v>711</v>
      </c>
      <c r="H1818" s="4" t="s">
        <v>225</v>
      </c>
      <c r="I1818" s="23"/>
      <c r="J1818" s="23"/>
      <c r="K1818" s="92">
        <f t="shared" ref="K1818:K1819" si="322">I1818+J1818</f>
        <v>0</v>
      </c>
      <c r="L1818" s="276"/>
      <c r="M1818" s="23">
        <v>0</v>
      </c>
      <c r="N1818" s="23">
        <f>N1819+N1822</f>
        <v>85000</v>
      </c>
      <c r="O1818" s="220">
        <f t="shared" ref="O1818:O1819" si="323">M1818+N1818</f>
        <v>85000</v>
      </c>
      <c r="P1818" s="259"/>
      <c r="Q1818" s="308">
        <f t="shared" ref="Q1818:Q1819" si="324">I1818+M1818</f>
        <v>0</v>
      </c>
      <c r="R1818" s="92">
        <f t="shared" ref="R1818:R1819" si="325">J1818+N1818</f>
        <v>85000</v>
      </c>
      <c r="S1818" s="92">
        <f t="shared" ref="S1818:S1819" si="326">K1818+O1818</f>
        <v>85000</v>
      </c>
    </row>
    <row r="1819" spans="2:43" x14ac:dyDescent="0.2">
      <c r="B1819" s="88">
        <f t="shared" si="312"/>
        <v>79</v>
      </c>
      <c r="C1819" s="10"/>
      <c r="D1819" s="10"/>
      <c r="E1819" s="10"/>
      <c r="F1819" s="31"/>
      <c r="G1819" s="5"/>
      <c r="H1819" s="5" t="s">
        <v>431</v>
      </c>
      <c r="I1819" s="25"/>
      <c r="J1819" s="25"/>
      <c r="K1819" s="93">
        <f t="shared" si="322"/>
        <v>0</v>
      </c>
      <c r="L1819" s="276"/>
      <c r="M1819" s="25"/>
      <c r="N1819" s="25">
        <v>85000</v>
      </c>
      <c r="O1819" s="251">
        <f t="shared" si="323"/>
        <v>85000</v>
      </c>
      <c r="P1819" s="259"/>
      <c r="Q1819" s="332">
        <f t="shared" si="324"/>
        <v>0</v>
      </c>
      <c r="R1819" s="93">
        <f t="shared" si="325"/>
        <v>85000</v>
      </c>
      <c r="S1819" s="93">
        <f t="shared" si="326"/>
        <v>85000</v>
      </c>
    </row>
    <row r="1820" spans="2:43" x14ac:dyDescent="0.2">
      <c r="B1820" s="88">
        <f t="shared" si="312"/>
        <v>80</v>
      </c>
      <c r="C1820" s="10"/>
      <c r="D1820" s="10"/>
      <c r="E1820" s="10"/>
      <c r="F1820" s="30" t="s">
        <v>208</v>
      </c>
      <c r="G1820" s="4">
        <v>711</v>
      </c>
      <c r="H1820" s="4" t="s">
        <v>225</v>
      </c>
      <c r="I1820" s="23"/>
      <c r="J1820" s="23"/>
      <c r="K1820" s="92">
        <f t="shared" ref="K1820:K1821" si="327">I1820+J1820</f>
        <v>0</v>
      </c>
      <c r="L1820" s="276"/>
      <c r="M1820" s="23">
        <v>0</v>
      </c>
      <c r="N1820" s="23">
        <f>N1821+N1824</f>
        <v>103800</v>
      </c>
      <c r="O1820" s="220">
        <f t="shared" ref="O1820:O1821" si="328">M1820+N1820</f>
        <v>103800</v>
      </c>
      <c r="P1820" s="259"/>
      <c r="Q1820" s="308">
        <f t="shared" ref="Q1820:Q1821" si="329">I1820+M1820</f>
        <v>0</v>
      </c>
      <c r="R1820" s="92">
        <f t="shared" ref="R1820:R1821" si="330">J1820+N1820</f>
        <v>103800</v>
      </c>
      <c r="S1820" s="92">
        <f t="shared" ref="S1820:S1821" si="331">K1820+O1820</f>
        <v>103800</v>
      </c>
    </row>
    <row r="1821" spans="2:43" x14ac:dyDescent="0.2">
      <c r="B1821" s="88">
        <f t="shared" si="312"/>
        <v>81</v>
      </c>
      <c r="C1821" s="10"/>
      <c r="D1821" s="10"/>
      <c r="E1821" s="10"/>
      <c r="F1821" s="31"/>
      <c r="G1821" s="5"/>
      <c r="H1821" s="5" t="s">
        <v>676</v>
      </c>
      <c r="I1821" s="25"/>
      <c r="J1821" s="25"/>
      <c r="K1821" s="93">
        <f t="shared" si="327"/>
        <v>0</v>
      </c>
      <c r="L1821" s="276"/>
      <c r="M1821" s="25"/>
      <c r="N1821" s="25">
        <v>103800</v>
      </c>
      <c r="O1821" s="251">
        <f t="shared" si="328"/>
        <v>103800</v>
      </c>
      <c r="P1821" s="259"/>
      <c r="Q1821" s="332">
        <f t="shared" si="329"/>
        <v>0</v>
      </c>
      <c r="R1821" s="93">
        <f t="shared" si="330"/>
        <v>103800</v>
      </c>
      <c r="S1821" s="93">
        <f t="shared" si="331"/>
        <v>103800</v>
      </c>
    </row>
    <row r="1822" spans="2:43" x14ac:dyDescent="0.2">
      <c r="B1822" s="88">
        <f t="shared" si="312"/>
        <v>82</v>
      </c>
      <c r="C1822" s="4"/>
      <c r="D1822" s="4"/>
      <c r="E1822" s="4"/>
      <c r="F1822" s="30" t="s">
        <v>259</v>
      </c>
      <c r="G1822" s="4">
        <v>716</v>
      </c>
      <c r="H1822" s="4" t="s">
        <v>232</v>
      </c>
      <c r="I1822" s="23"/>
      <c r="J1822" s="23"/>
      <c r="K1822" s="92">
        <f t="shared" si="316"/>
        <v>0</v>
      </c>
      <c r="L1822" s="276"/>
      <c r="M1822" s="23">
        <f>M1823+M1824</f>
        <v>15720</v>
      </c>
      <c r="N1822" s="23">
        <f>N1823+N1824</f>
        <v>0</v>
      </c>
      <c r="O1822" s="220">
        <f t="shared" si="317"/>
        <v>15720</v>
      </c>
      <c r="P1822" s="259"/>
      <c r="Q1822" s="308">
        <f t="shared" si="313"/>
        <v>15720</v>
      </c>
      <c r="R1822" s="92">
        <f t="shared" si="314"/>
        <v>0</v>
      </c>
      <c r="S1822" s="92">
        <f t="shared" si="315"/>
        <v>15720</v>
      </c>
    </row>
    <row r="1823" spans="2:43" x14ac:dyDescent="0.2">
      <c r="B1823" s="88">
        <f t="shared" si="312"/>
        <v>83</v>
      </c>
      <c r="C1823" s="5"/>
      <c r="D1823" s="5"/>
      <c r="E1823" s="5"/>
      <c r="F1823" s="31"/>
      <c r="G1823" s="5"/>
      <c r="H1823" s="5" t="s">
        <v>381</v>
      </c>
      <c r="I1823" s="25"/>
      <c r="J1823" s="25"/>
      <c r="K1823" s="93">
        <f t="shared" si="316"/>
        <v>0</v>
      </c>
      <c r="L1823" s="276"/>
      <c r="M1823" s="25">
        <v>6000</v>
      </c>
      <c r="N1823" s="25"/>
      <c r="O1823" s="251">
        <f t="shared" si="317"/>
        <v>6000</v>
      </c>
      <c r="P1823" s="259"/>
      <c r="Q1823" s="332">
        <f t="shared" si="313"/>
        <v>6000</v>
      </c>
      <c r="R1823" s="93">
        <f t="shared" si="314"/>
        <v>0</v>
      </c>
      <c r="S1823" s="93">
        <f t="shared" si="315"/>
        <v>6000</v>
      </c>
    </row>
    <row r="1824" spans="2:43" x14ac:dyDescent="0.2">
      <c r="B1824" s="88">
        <f t="shared" si="312"/>
        <v>84</v>
      </c>
      <c r="C1824" s="5"/>
      <c r="D1824" s="5"/>
      <c r="E1824" s="5"/>
      <c r="F1824" s="31"/>
      <c r="G1824" s="5"/>
      <c r="H1824" s="5" t="s">
        <v>631</v>
      </c>
      <c r="I1824" s="25"/>
      <c r="J1824" s="25"/>
      <c r="K1824" s="93">
        <f t="shared" si="316"/>
        <v>0</v>
      </c>
      <c r="L1824" s="278"/>
      <c r="M1824" s="25">
        <v>9720</v>
      </c>
      <c r="N1824" s="25"/>
      <c r="O1824" s="251">
        <f t="shared" si="317"/>
        <v>9720</v>
      </c>
      <c r="P1824" s="266"/>
      <c r="Q1824" s="332">
        <f t="shared" si="313"/>
        <v>9720</v>
      </c>
      <c r="R1824" s="93">
        <f t="shared" si="314"/>
        <v>0</v>
      </c>
      <c r="S1824" s="93">
        <f t="shared" si="315"/>
        <v>9720</v>
      </c>
    </row>
    <row r="1825" spans="2:19" ht="15" x14ac:dyDescent="0.25">
      <c r="B1825" s="88">
        <f t="shared" si="312"/>
        <v>85</v>
      </c>
      <c r="C1825" s="13"/>
      <c r="D1825" s="13"/>
      <c r="E1825" s="13">
        <v>2</v>
      </c>
      <c r="F1825" s="32"/>
      <c r="G1825" s="13"/>
      <c r="H1825" s="13" t="s">
        <v>402</v>
      </c>
      <c r="I1825" s="42">
        <f>I1826</f>
        <v>10000</v>
      </c>
      <c r="J1825" s="42">
        <f>J1826</f>
        <v>0</v>
      </c>
      <c r="K1825" s="99">
        <f t="shared" si="316"/>
        <v>10000</v>
      </c>
      <c r="L1825" s="276"/>
      <c r="M1825" s="42">
        <v>0</v>
      </c>
      <c r="N1825" s="42">
        <v>0</v>
      </c>
      <c r="O1825" s="255">
        <f t="shared" si="317"/>
        <v>0</v>
      </c>
      <c r="P1825" s="259"/>
      <c r="Q1825" s="312">
        <f t="shared" si="313"/>
        <v>10000</v>
      </c>
      <c r="R1825" s="99">
        <f t="shared" si="314"/>
        <v>0</v>
      </c>
      <c r="S1825" s="99">
        <f t="shared" si="315"/>
        <v>10000</v>
      </c>
    </row>
    <row r="1826" spans="2:19" x14ac:dyDescent="0.2">
      <c r="B1826" s="88">
        <f t="shared" si="312"/>
        <v>86</v>
      </c>
      <c r="C1826" s="10"/>
      <c r="D1826" s="10"/>
      <c r="E1826" s="10"/>
      <c r="F1826" s="29" t="s">
        <v>208</v>
      </c>
      <c r="G1826" s="10">
        <v>630</v>
      </c>
      <c r="H1826" s="10" t="s">
        <v>133</v>
      </c>
      <c r="I1826" s="27">
        <f>I1827</f>
        <v>10000</v>
      </c>
      <c r="J1826" s="27">
        <f>J1827</f>
        <v>0</v>
      </c>
      <c r="K1826" s="91">
        <f t="shared" si="316"/>
        <v>10000</v>
      </c>
      <c r="L1826" s="276"/>
      <c r="M1826" s="27"/>
      <c r="N1826" s="27"/>
      <c r="O1826" s="250">
        <f t="shared" si="317"/>
        <v>0</v>
      </c>
      <c r="P1826" s="259"/>
      <c r="Q1826" s="309">
        <f t="shared" si="313"/>
        <v>10000</v>
      </c>
      <c r="R1826" s="91">
        <f t="shared" si="314"/>
        <v>0</v>
      </c>
      <c r="S1826" s="91">
        <f t="shared" si="315"/>
        <v>10000</v>
      </c>
    </row>
    <row r="1827" spans="2:19" x14ac:dyDescent="0.2">
      <c r="B1827" s="88">
        <f t="shared" si="312"/>
        <v>87</v>
      </c>
      <c r="C1827" s="4"/>
      <c r="D1827" s="4"/>
      <c r="E1827" s="4"/>
      <c r="F1827" s="30" t="s">
        <v>208</v>
      </c>
      <c r="G1827" s="4">
        <v>635</v>
      </c>
      <c r="H1827" s="4" t="s">
        <v>145</v>
      </c>
      <c r="I1827" s="23">
        <v>10000</v>
      </c>
      <c r="J1827" s="23"/>
      <c r="K1827" s="92">
        <f t="shared" si="316"/>
        <v>10000</v>
      </c>
      <c r="L1827" s="276"/>
      <c r="M1827" s="23"/>
      <c r="N1827" s="23"/>
      <c r="O1827" s="220">
        <f t="shared" si="317"/>
        <v>0</v>
      </c>
      <c r="P1827" s="259"/>
      <c r="Q1827" s="308">
        <f t="shared" si="313"/>
        <v>10000</v>
      </c>
      <c r="R1827" s="92">
        <f t="shared" si="314"/>
        <v>0</v>
      </c>
      <c r="S1827" s="92">
        <f t="shared" si="315"/>
        <v>10000</v>
      </c>
    </row>
    <row r="1828" spans="2:19" ht="15" x14ac:dyDescent="0.2">
      <c r="B1828" s="88">
        <f t="shared" si="312"/>
        <v>88</v>
      </c>
      <c r="C1828" s="242">
        <v>4</v>
      </c>
      <c r="D1828" s="511" t="s">
        <v>70</v>
      </c>
      <c r="E1828" s="509"/>
      <c r="F1828" s="509"/>
      <c r="G1828" s="509"/>
      <c r="H1828" s="510"/>
      <c r="I1828" s="40">
        <f t="shared" ref="I1828:J1830" si="332">I1829</f>
        <v>22000</v>
      </c>
      <c r="J1828" s="40">
        <f t="shared" si="332"/>
        <v>0</v>
      </c>
      <c r="K1828" s="89">
        <f t="shared" si="316"/>
        <v>22000</v>
      </c>
      <c r="L1828" s="276"/>
      <c r="M1828" s="40">
        <v>0</v>
      </c>
      <c r="N1828" s="40">
        <v>0</v>
      </c>
      <c r="O1828" s="248">
        <f t="shared" si="317"/>
        <v>0</v>
      </c>
      <c r="P1828" s="259"/>
      <c r="Q1828" s="313">
        <f t="shared" si="313"/>
        <v>22000</v>
      </c>
      <c r="R1828" s="89">
        <f t="shared" si="314"/>
        <v>0</v>
      </c>
      <c r="S1828" s="89">
        <f t="shared" si="315"/>
        <v>22000</v>
      </c>
    </row>
    <row r="1829" spans="2:19" x14ac:dyDescent="0.2">
      <c r="B1829" s="88">
        <f t="shared" si="312"/>
        <v>89</v>
      </c>
      <c r="C1829" s="10"/>
      <c r="D1829" s="10"/>
      <c r="E1829" s="10"/>
      <c r="F1829" s="29" t="s">
        <v>208</v>
      </c>
      <c r="G1829" s="10">
        <v>640</v>
      </c>
      <c r="H1829" s="10" t="s">
        <v>141</v>
      </c>
      <c r="I1829" s="27">
        <f t="shared" si="332"/>
        <v>22000</v>
      </c>
      <c r="J1829" s="27">
        <f t="shared" si="332"/>
        <v>0</v>
      </c>
      <c r="K1829" s="91">
        <f t="shared" si="316"/>
        <v>22000</v>
      </c>
      <c r="L1829" s="276"/>
      <c r="M1829" s="27"/>
      <c r="N1829" s="27"/>
      <c r="O1829" s="250">
        <f t="shared" si="317"/>
        <v>0</v>
      </c>
      <c r="P1829" s="259"/>
      <c r="Q1829" s="309">
        <f t="shared" si="313"/>
        <v>22000</v>
      </c>
      <c r="R1829" s="91">
        <f t="shared" si="314"/>
        <v>0</v>
      </c>
      <c r="S1829" s="91">
        <f t="shared" si="315"/>
        <v>22000</v>
      </c>
    </row>
    <row r="1830" spans="2:19" x14ac:dyDescent="0.2">
      <c r="B1830" s="88">
        <f t="shared" si="312"/>
        <v>90</v>
      </c>
      <c r="C1830" s="4"/>
      <c r="D1830" s="4"/>
      <c r="E1830" s="4"/>
      <c r="F1830" s="30" t="s">
        <v>208</v>
      </c>
      <c r="G1830" s="4">
        <v>642</v>
      </c>
      <c r="H1830" s="4" t="s">
        <v>142</v>
      </c>
      <c r="I1830" s="23">
        <f t="shared" si="332"/>
        <v>22000</v>
      </c>
      <c r="J1830" s="23">
        <f t="shared" si="332"/>
        <v>0</v>
      </c>
      <c r="K1830" s="92">
        <f t="shared" si="316"/>
        <v>22000</v>
      </c>
      <c r="L1830" s="276"/>
      <c r="M1830" s="23"/>
      <c r="N1830" s="23"/>
      <c r="O1830" s="220">
        <f t="shared" si="317"/>
        <v>0</v>
      </c>
      <c r="P1830" s="259"/>
      <c r="Q1830" s="308">
        <f t="shared" si="313"/>
        <v>22000</v>
      </c>
      <c r="R1830" s="92">
        <f t="shared" si="314"/>
        <v>0</v>
      </c>
      <c r="S1830" s="92">
        <f t="shared" si="315"/>
        <v>22000</v>
      </c>
    </row>
    <row r="1831" spans="2:19" x14ac:dyDescent="0.2">
      <c r="B1831" s="88">
        <f t="shared" si="312"/>
        <v>91</v>
      </c>
      <c r="C1831" s="5"/>
      <c r="D1831" s="5"/>
      <c r="E1831" s="5"/>
      <c r="F1831" s="31"/>
      <c r="G1831" s="5"/>
      <c r="H1831" s="5" t="s">
        <v>344</v>
      </c>
      <c r="I1831" s="25">
        <v>22000</v>
      </c>
      <c r="J1831" s="25"/>
      <c r="K1831" s="93">
        <f t="shared" si="316"/>
        <v>22000</v>
      </c>
      <c r="L1831" s="276"/>
      <c r="M1831" s="25"/>
      <c r="N1831" s="25"/>
      <c r="O1831" s="251">
        <f t="shared" si="317"/>
        <v>0</v>
      </c>
      <c r="P1831" s="259"/>
      <c r="Q1831" s="332">
        <f t="shared" si="313"/>
        <v>22000</v>
      </c>
      <c r="R1831" s="93">
        <f t="shared" si="314"/>
        <v>0</v>
      </c>
      <c r="S1831" s="93">
        <f t="shared" si="315"/>
        <v>22000</v>
      </c>
    </row>
    <row r="1832" spans="2:19" ht="15" x14ac:dyDescent="0.2">
      <c r="B1832" s="88">
        <f t="shared" si="312"/>
        <v>92</v>
      </c>
      <c r="C1832" s="242">
        <v>5</v>
      </c>
      <c r="D1832" s="511" t="s">
        <v>49</v>
      </c>
      <c r="E1832" s="509"/>
      <c r="F1832" s="509"/>
      <c r="G1832" s="509"/>
      <c r="H1832" s="510"/>
      <c r="I1832" s="40">
        <f>I1833</f>
        <v>13600</v>
      </c>
      <c r="J1832" s="40">
        <f>J1833</f>
        <v>0</v>
      </c>
      <c r="K1832" s="89">
        <f t="shared" si="316"/>
        <v>13600</v>
      </c>
      <c r="L1832" s="276"/>
      <c r="M1832" s="40">
        <v>0</v>
      </c>
      <c r="N1832" s="40">
        <v>0</v>
      </c>
      <c r="O1832" s="248">
        <f t="shared" si="317"/>
        <v>0</v>
      </c>
      <c r="P1832" s="259"/>
      <c r="Q1832" s="313">
        <f t="shared" si="313"/>
        <v>13600</v>
      </c>
      <c r="R1832" s="89">
        <f t="shared" si="314"/>
        <v>0</v>
      </c>
      <c r="S1832" s="89">
        <f t="shared" si="315"/>
        <v>13600</v>
      </c>
    </row>
    <row r="1833" spans="2:19" ht="15" x14ac:dyDescent="0.25">
      <c r="B1833" s="88">
        <f t="shared" si="312"/>
        <v>93</v>
      </c>
      <c r="C1833" s="13"/>
      <c r="D1833" s="13"/>
      <c r="E1833" s="13">
        <v>2</v>
      </c>
      <c r="F1833" s="32"/>
      <c r="G1833" s="13"/>
      <c r="H1833" s="13" t="s">
        <v>402</v>
      </c>
      <c r="I1833" s="42">
        <f>I1834</f>
        <v>13600</v>
      </c>
      <c r="J1833" s="42">
        <f>J1834</f>
        <v>0</v>
      </c>
      <c r="K1833" s="99">
        <f t="shared" si="316"/>
        <v>13600</v>
      </c>
      <c r="L1833" s="276"/>
      <c r="M1833" s="42"/>
      <c r="N1833" s="42"/>
      <c r="O1833" s="255">
        <f t="shared" si="317"/>
        <v>0</v>
      </c>
      <c r="P1833" s="259"/>
      <c r="Q1833" s="312">
        <f t="shared" si="313"/>
        <v>13600</v>
      </c>
      <c r="R1833" s="99">
        <f t="shared" si="314"/>
        <v>0</v>
      </c>
      <c r="S1833" s="99">
        <f t="shared" si="315"/>
        <v>13600</v>
      </c>
    </row>
    <row r="1834" spans="2:19" x14ac:dyDescent="0.2">
      <c r="B1834" s="88">
        <f t="shared" si="312"/>
        <v>94</v>
      </c>
      <c r="C1834" s="10"/>
      <c r="D1834" s="10"/>
      <c r="E1834" s="10"/>
      <c r="F1834" s="29" t="s">
        <v>208</v>
      </c>
      <c r="G1834" s="10">
        <v>630</v>
      </c>
      <c r="H1834" s="10" t="s">
        <v>133</v>
      </c>
      <c r="I1834" s="27">
        <f>SUM(I1835:I1838)</f>
        <v>13600</v>
      </c>
      <c r="J1834" s="27">
        <f>SUM(J1835:J1838)</f>
        <v>0</v>
      </c>
      <c r="K1834" s="91">
        <f t="shared" si="316"/>
        <v>13600</v>
      </c>
      <c r="L1834" s="276"/>
      <c r="M1834" s="27"/>
      <c r="N1834" s="27"/>
      <c r="O1834" s="250">
        <f t="shared" si="317"/>
        <v>0</v>
      </c>
      <c r="P1834" s="259"/>
      <c r="Q1834" s="309">
        <f t="shared" si="313"/>
        <v>13600</v>
      </c>
      <c r="R1834" s="91">
        <f t="shared" si="314"/>
        <v>0</v>
      </c>
      <c r="S1834" s="91">
        <f t="shared" si="315"/>
        <v>13600</v>
      </c>
    </row>
    <row r="1835" spans="2:19" x14ac:dyDescent="0.2">
      <c r="B1835" s="88">
        <f t="shared" si="312"/>
        <v>95</v>
      </c>
      <c r="C1835" s="4"/>
      <c r="D1835" s="4"/>
      <c r="E1835" s="4"/>
      <c r="F1835" s="30" t="s">
        <v>208</v>
      </c>
      <c r="G1835" s="4">
        <v>632</v>
      </c>
      <c r="H1835" s="4" t="s">
        <v>146</v>
      </c>
      <c r="I1835" s="23">
        <v>10300</v>
      </c>
      <c r="J1835" s="23"/>
      <c r="K1835" s="92">
        <f t="shared" si="316"/>
        <v>10300</v>
      </c>
      <c r="L1835" s="276"/>
      <c r="M1835" s="23"/>
      <c r="N1835" s="23"/>
      <c r="O1835" s="220">
        <f t="shared" si="317"/>
        <v>0</v>
      </c>
      <c r="P1835" s="259"/>
      <c r="Q1835" s="308">
        <f t="shared" si="313"/>
        <v>10300</v>
      </c>
      <c r="R1835" s="92">
        <f t="shared" si="314"/>
        <v>0</v>
      </c>
      <c r="S1835" s="92">
        <f t="shared" si="315"/>
        <v>10300</v>
      </c>
    </row>
    <row r="1836" spans="2:19" x14ac:dyDescent="0.2">
      <c r="B1836" s="88">
        <f t="shared" si="312"/>
        <v>96</v>
      </c>
      <c r="C1836" s="4"/>
      <c r="D1836" s="4"/>
      <c r="E1836" s="4"/>
      <c r="F1836" s="30" t="s">
        <v>208</v>
      </c>
      <c r="G1836" s="4">
        <v>633</v>
      </c>
      <c r="H1836" s="4" t="s">
        <v>137</v>
      </c>
      <c r="I1836" s="23">
        <v>2000</v>
      </c>
      <c r="J1836" s="23"/>
      <c r="K1836" s="92">
        <f t="shared" si="316"/>
        <v>2000</v>
      </c>
      <c r="L1836" s="276"/>
      <c r="M1836" s="23"/>
      <c r="N1836" s="23"/>
      <c r="O1836" s="220">
        <f t="shared" si="317"/>
        <v>0</v>
      </c>
      <c r="P1836" s="259"/>
      <c r="Q1836" s="308">
        <f t="shared" si="313"/>
        <v>2000</v>
      </c>
      <c r="R1836" s="92">
        <f t="shared" si="314"/>
        <v>0</v>
      </c>
      <c r="S1836" s="92">
        <f t="shared" si="315"/>
        <v>2000</v>
      </c>
    </row>
    <row r="1837" spans="2:19" x14ac:dyDescent="0.2">
      <c r="B1837" s="88">
        <f t="shared" si="312"/>
        <v>97</v>
      </c>
      <c r="C1837" s="4"/>
      <c r="D1837" s="4"/>
      <c r="E1837" s="4"/>
      <c r="F1837" s="30" t="s">
        <v>208</v>
      </c>
      <c r="G1837" s="4">
        <v>635</v>
      </c>
      <c r="H1837" s="4" t="s">
        <v>145</v>
      </c>
      <c r="I1837" s="23">
        <v>400</v>
      </c>
      <c r="J1837" s="23"/>
      <c r="K1837" s="92">
        <f t="shared" si="316"/>
        <v>400</v>
      </c>
      <c r="L1837" s="276"/>
      <c r="M1837" s="23"/>
      <c r="N1837" s="23"/>
      <c r="O1837" s="220">
        <f t="shared" si="317"/>
        <v>0</v>
      </c>
      <c r="P1837" s="259"/>
      <c r="Q1837" s="308">
        <f t="shared" si="313"/>
        <v>400</v>
      </c>
      <c r="R1837" s="92">
        <f t="shared" si="314"/>
        <v>0</v>
      </c>
      <c r="S1837" s="92">
        <f t="shared" si="315"/>
        <v>400</v>
      </c>
    </row>
    <row r="1838" spans="2:19" x14ac:dyDescent="0.2">
      <c r="B1838" s="88">
        <f t="shared" si="312"/>
        <v>98</v>
      </c>
      <c r="C1838" s="4"/>
      <c r="D1838" s="4"/>
      <c r="E1838" s="4"/>
      <c r="F1838" s="30" t="s">
        <v>208</v>
      </c>
      <c r="G1838" s="4">
        <v>637</v>
      </c>
      <c r="H1838" s="4" t="s">
        <v>134</v>
      </c>
      <c r="I1838" s="23">
        <v>900</v>
      </c>
      <c r="J1838" s="23"/>
      <c r="K1838" s="92">
        <f t="shared" si="316"/>
        <v>900</v>
      </c>
      <c r="L1838" s="276"/>
      <c r="M1838" s="23"/>
      <c r="N1838" s="23"/>
      <c r="O1838" s="220">
        <f t="shared" si="317"/>
        <v>0</v>
      </c>
      <c r="P1838" s="259"/>
      <c r="Q1838" s="308">
        <f t="shared" si="313"/>
        <v>900</v>
      </c>
      <c r="R1838" s="92">
        <f t="shared" si="314"/>
        <v>0</v>
      </c>
      <c r="S1838" s="92">
        <f t="shared" si="315"/>
        <v>900</v>
      </c>
    </row>
    <row r="1839" spans="2:19" ht="15" x14ac:dyDescent="0.2">
      <c r="B1839" s="88">
        <f t="shared" si="312"/>
        <v>99</v>
      </c>
      <c r="C1839" s="242">
        <v>6</v>
      </c>
      <c r="D1839" s="511" t="s">
        <v>64</v>
      </c>
      <c r="E1839" s="509"/>
      <c r="F1839" s="509"/>
      <c r="G1839" s="509"/>
      <c r="H1839" s="510"/>
      <c r="I1839" s="40">
        <f>I1840</f>
        <v>503805</v>
      </c>
      <c r="J1839" s="40">
        <f>J1840</f>
        <v>-2350</v>
      </c>
      <c r="K1839" s="89">
        <f t="shared" si="316"/>
        <v>501455</v>
      </c>
      <c r="L1839" s="276"/>
      <c r="M1839" s="40">
        <f>M1840</f>
        <v>39200</v>
      </c>
      <c r="N1839" s="40">
        <f>N1840</f>
        <v>0</v>
      </c>
      <c r="O1839" s="248">
        <f t="shared" si="317"/>
        <v>39200</v>
      </c>
      <c r="P1839" s="259"/>
      <c r="Q1839" s="313">
        <f t="shared" si="313"/>
        <v>543005</v>
      </c>
      <c r="R1839" s="89">
        <f t="shared" si="314"/>
        <v>-2350</v>
      </c>
      <c r="S1839" s="89">
        <f t="shared" si="315"/>
        <v>540655</v>
      </c>
    </row>
    <row r="1840" spans="2:19" ht="15" x14ac:dyDescent="0.25">
      <c r="B1840" s="88">
        <f t="shared" si="312"/>
        <v>100</v>
      </c>
      <c r="C1840" s="13"/>
      <c r="D1840" s="13"/>
      <c r="E1840" s="13">
        <v>2</v>
      </c>
      <c r="F1840" s="32"/>
      <c r="G1840" s="13"/>
      <c r="H1840" s="13" t="s">
        <v>402</v>
      </c>
      <c r="I1840" s="42">
        <f>I1841+I1842+I1843+I1850+I1851</f>
        <v>503805</v>
      </c>
      <c r="J1840" s="42">
        <f>J1841+J1842+J1843+J1850+J1851</f>
        <v>-2350</v>
      </c>
      <c r="K1840" s="99">
        <f t="shared" si="316"/>
        <v>501455</v>
      </c>
      <c r="L1840" s="276"/>
      <c r="M1840" s="42">
        <f>M1851</f>
        <v>39200</v>
      </c>
      <c r="N1840" s="42">
        <f>N1851</f>
        <v>0</v>
      </c>
      <c r="O1840" s="255">
        <f t="shared" si="317"/>
        <v>39200</v>
      </c>
      <c r="P1840" s="259"/>
      <c r="Q1840" s="312">
        <f t="shared" si="313"/>
        <v>543005</v>
      </c>
      <c r="R1840" s="99">
        <f t="shared" si="314"/>
        <v>-2350</v>
      </c>
      <c r="S1840" s="99">
        <f t="shared" si="315"/>
        <v>540655</v>
      </c>
    </row>
    <row r="1841" spans="2:19" x14ac:dyDescent="0.2">
      <c r="B1841" s="88">
        <f t="shared" si="312"/>
        <v>101</v>
      </c>
      <c r="C1841" s="10"/>
      <c r="D1841" s="10"/>
      <c r="E1841" s="10"/>
      <c r="F1841" s="29" t="s">
        <v>208</v>
      </c>
      <c r="G1841" s="10">
        <v>610</v>
      </c>
      <c r="H1841" s="10" t="s">
        <v>143</v>
      </c>
      <c r="I1841" s="27">
        <f>85400+100000+52195+34300</f>
        <v>271895</v>
      </c>
      <c r="J1841" s="27"/>
      <c r="K1841" s="91">
        <f t="shared" si="316"/>
        <v>271895</v>
      </c>
      <c r="L1841" s="276"/>
      <c r="M1841" s="27"/>
      <c r="N1841" s="27"/>
      <c r="O1841" s="250">
        <f t="shared" si="317"/>
        <v>0</v>
      </c>
      <c r="P1841" s="259"/>
      <c r="Q1841" s="309">
        <f t="shared" si="313"/>
        <v>271895</v>
      </c>
      <c r="R1841" s="91">
        <f t="shared" si="314"/>
        <v>0</v>
      </c>
      <c r="S1841" s="91">
        <f t="shared" si="315"/>
        <v>271895</v>
      </c>
    </row>
    <row r="1842" spans="2:19" x14ac:dyDescent="0.2">
      <c r="B1842" s="88">
        <f t="shared" si="312"/>
        <v>102</v>
      </c>
      <c r="C1842" s="10"/>
      <c r="D1842" s="10"/>
      <c r="E1842" s="10"/>
      <c r="F1842" s="29" t="s">
        <v>208</v>
      </c>
      <c r="G1842" s="10">
        <v>620</v>
      </c>
      <c r="H1842" s="10" t="s">
        <v>136</v>
      </c>
      <c r="I1842" s="27">
        <f>45700+40000+20145+13000</f>
        <v>118845</v>
      </c>
      <c r="J1842" s="27"/>
      <c r="K1842" s="91">
        <f t="shared" si="316"/>
        <v>118845</v>
      </c>
      <c r="M1842" s="27"/>
      <c r="N1842" s="27"/>
      <c r="O1842" s="250">
        <f t="shared" si="317"/>
        <v>0</v>
      </c>
      <c r="P1842" s="259"/>
      <c r="Q1842" s="309">
        <f t="shared" si="313"/>
        <v>118845</v>
      </c>
      <c r="R1842" s="91">
        <f t="shared" si="314"/>
        <v>0</v>
      </c>
      <c r="S1842" s="91">
        <f t="shared" si="315"/>
        <v>118845</v>
      </c>
    </row>
    <row r="1843" spans="2:19" x14ac:dyDescent="0.2">
      <c r="B1843" s="88">
        <f t="shared" si="312"/>
        <v>103</v>
      </c>
      <c r="C1843" s="10"/>
      <c r="D1843" s="10"/>
      <c r="E1843" s="10"/>
      <c r="F1843" s="29" t="s">
        <v>208</v>
      </c>
      <c r="G1843" s="10">
        <v>630</v>
      </c>
      <c r="H1843" s="10" t="s">
        <v>133</v>
      </c>
      <c r="I1843" s="27">
        <f>SUM(I1844:I1849)</f>
        <v>110200</v>
      </c>
      <c r="J1843" s="27">
        <f>SUM(J1844:J1849)</f>
        <v>-2350</v>
      </c>
      <c r="K1843" s="91">
        <f t="shared" si="316"/>
        <v>107850</v>
      </c>
      <c r="L1843" s="267"/>
      <c r="M1843" s="27"/>
      <c r="N1843" s="27"/>
      <c r="O1843" s="250">
        <f t="shared" si="317"/>
        <v>0</v>
      </c>
      <c r="P1843" s="335"/>
      <c r="Q1843" s="309">
        <f t="shared" si="313"/>
        <v>110200</v>
      </c>
      <c r="R1843" s="91">
        <f t="shared" si="314"/>
        <v>-2350</v>
      </c>
      <c r="S1843" s="91">
        <f t="shared" si="315"/>
        <v>107850</v>
      </c>
    </row>
    <row r="1844" spans="2:19" x14ac:dyDescent="0.2">
      <c r="B1844" s="88">
        <f t="shared" si="312"/>
        <v>104</v>
      </c>
      <c r="C1844" s="4"/>
      <c r="D1844" s="4"/>
      <c r="E1844" s="4"/>
      <c r="F1844" s="30" t="s">
        <v>208</v>
      </c>
      <c r="G1844" s="4">
        <v>631</v>
      </c>
      <c r="H1844" s="4" t="s">
        <v>139</v>
      </c>
      <c r="I1844" s="23">
        <v>100</v>
      </c>
      <c r="J1844" s="23"/>
      <c r="K1844" s="92">
        <f t="shared" si="316"/>
        <v>100</v>
      </c>
      <c r="L1844" s="267"/>
      <c r="M1844" s="23"/>
      <c r="N1844" s="23"/>
      <c r="O1844" s="220">
        <f t="shared" si="317"/>
        <v>0</v>
      </c>
      <c r="P1844" s="335"/>
      <c r="Q1844" s="308">
        <f t="shared" si="313"/>
        <v>100</v>
      </c>
      <c r="R1844" s="92">
        <f t="shared" si="314"/>
        <v>0</v>
      </c>
      <c r="S1844" s="92">
        <f t="shared" si="315"/>
        <v>100</v>
      </c>
    </row>
    <row r="1845" spans="2:19" x14ac:dyDescent="0.2">
      <c r="B1845" s="88">
        <f t="shared" si="312"/>
        <v>105</v>
      </c>
      <c r="C1845" s="4"/>
      <c r="D1845" s="4"/>
      <c r="E1845" s="4"/>
      <c r="F1845" s="30" t="s">
        <v>208</v>
      </c>
      <c r="G1845" s="4">
        <v>632</v>
      </c>
      <c r="H1845" s="4" t="s">
        <v>146</v>
      </c>
      <c r="I1845" s="23">
        <f>3700+2400</f>
        <v>6100</v>
      </c>
      <c r="J1845" s="23"/>
      <c r="K1845" s="92">
        <f t="shared" si="316"/>
        <v>6100</v>
      </c>
      <c r="L1845" s="267"/>
      <c r="M1845" s="23"/>
      <c r="N1845" s="23"/>
      <c r="O1845" s="220">
        <f t="shared" si="317"/>
        <v>0</v>
      </c>
      <c r="P1845" s="335"/>
      <c r="Q1845" s="308">
        <f t="shared" si="313"/>
        <v>6100</v>
      </c>
      <c r="R1845" s="92">
        <f t="shared" si="314"/>
        <v>0</v>
      </c>
      <c r="S1845" s="92">
        <f t="shared" si="315"/>
        <v>6100</v>
      </c>
    </row>
    <row r="1846" spans="2:19" x14ac:dyDescent="0.2">
      <c r="B1846" s="88">
        <f t="shared" si="312"/>
        <v>106</v>
      </c>
      <c r="C1846" s="4"/>
      <c r="D1846" s="4"/>
      <c r="E1846" s="4"/>
      <c r="F1846" s="30" t="s">
        <v>208</v>
      </c>
      <c r="G1846" s="4">
        <v>633</v>
      </c>
      <c r="H1846" s="4" t="s">
        <v>137</v>
      </c>
      <c r="I1846" s="23">
        <f>5250+1200+2300</f>
        <v>8750</v>
      </c>
      <c r="J1846" s="23"/>
      <c r="K1846" s="92">
        <f t="shared" si="316"/>
        <v>8750</v>
      </c>
      <c r="L1846" s="267"/>
      <c r="M1846" s="23"/>
      <c r="N1846" s="23"/>
      <c r="O1846" s="220">
        <f t="shared" si="317"/>
        <v>0</v>
      </c>
      <c r="P1846" s="335"/>
      <c r="Q1846" s="308">
        <f t="shared" si="313"/>
        <v>8750</v>
      </c>
      <c r="R1846" s="92">
        <f t="shared" si="314"/>
        <v>0</v>
      </c>
      <c r="S1846" s="92">
        <f t="shared" si="315"/>
        <v>8750</v>
      </c>
    </row>
    <row r="1847" spans="2:19" x14ac:dyDescent="0.2">
      <c r="B1847" s="88">
        <f t="shared" si="312"/>
        <v>107</v>
      </c>
      <c r="C1847" s="4"/>
      <c r="D1847" s="4"/>
      <c r="E1847" s="4"/>
      <c r="F1847" s="30" t="s">
        <v>208</v>
      </c>
      <c r="G1847" s="4">
        <v>634</v>
      </c>
      <c r="H1847" s="4" t="s">
        <v>144</v>
      </c>
      <c r="I1847" s="23">
        <f>11850+4200</f>
        <v>16050</v>
      </c>
      <c r="J1847" s="23"/>
      <c r="K1847" s="92">
        <f t="shared" si="316"/>
        <v>16050</v>
      </c>
      <c r="L1847" s="267"/>
      <c r="M1847" s="23"/>
      <c r="N1847" s="23"/>
      <c r="O1847" s="220">
        <f t="shared" si="317"/>
        <v>0</v>
      </c>
      <c r="P1847" s="335"/>
      <c r="Q1847" s="308">
        <f t="shared" si="313"/>
        <v>16050</v>
      </c>
      <c r="R1847" s="92">
        <f t="shared" si="314"/>
        <v>0</v>
      </c>
      <c r="S1847" s="92">
        <f t="shared" si="315"/>
        <v>16050</v>
      </c>
    </row>
    <row r="1848" spans="2:19" x14ac:dyDescent="0.2">
      <c r="B1848" s="88">
        <f t="shared" si="312"/>
        <v>108</v>
      </c>
      <c r="C1848" s="4"/>
      <c r="D1848" s="4"/>
      <c r="E1848" s="4"/>
      <c r="F1848" s="30" t="s">
        <v>208</v>
      </c>
      <c r="G1848" s="4">
        <v>635</v>
      </c>
      <c r="H1848" s="4" t="s">
        <v>145</v>
      </c>
      <c r="I1848" s="23">
        <v>1400</v>
      </c>
      <c r="J1848" s="23"/>
      <c r="K1848" s="92">
        <f t="shared" si="316"/>
        <v>1400</v>
      </c>
      <c r="L1848" s="267"/>
      <c r="M1848" s="23"/>
      <c r="N1848" s="23"/>
      <c r="O1848" s="220">
        <f t="shared" si="317"/>
        <v>0</v>
      </c>
      <c r="P1848" s="335"/>
      <c r="Q1848" s="308">
        <f t="shared" si="313"/>
        <v>1400</v>
      </c>
      <c r="R1848" s="92">
        <f t="shared" si="314"/>
        <v>0</v>
      </c>
      <c r="S1848" s="92">
        <f t="shared" si="315"/>
        <v>1400</v>
      </c>
    </row>
    <row r="1849" spans="2:19" x14ac:dyDescent="0.2">
      <c r="B1849" s="88">
        <f t="shared" si="312"/>
        <v>109</v>
      </c>
      <c r="C1849" s="4"/>
      <c r="D1849" s="4"/>
      <c r="E1849" s="4"/>
      <c r="F1849" s="30" t="s">
        <v>208</v>
      </c>
      <c r="G1849" s="4">
        <v>637</v>
      </c>
      <c r="H1849" s="4" t="s">
        <v>134</v>
      </c>
      <c r="I1849" s="23">
        <f>71650+6150</f>
        <v>77800</v>
      </c>
      <c r="J1849" s="23">
        <v>-2350</v>
      </c>
      <c r="K1849" s="92">
        <f t="shared" si="316"/>
        <v>75450</v>
      </c>
      <c r="L1849" s="267"/>
      <c r="M1849" s="23"/>
      <c r="N1849" s="23"/>
      <c r="O1849" s="220">
        <f t="shared" si="317"/>
        <v>0</v>
      </c>
      <c r="P1849" s="335"/>
      <c r="Q1849" s="308">
        <f t="shared" si="313"/>
        <v>77800</v>
      </c>
      <c r="R1849" s="92">
        <f t="shared" si="314"/>
        <v>-2350</v>
      </c>
      <c r="S1849" s="92">
        <f t="shared" si="315"/>
        <v>75450</v>
      </c>
    </row>
    <row r="1850" spans="2:19" x14ac:dyDescent="0.2">
      <c r="B1850" s="88">
        <f t="shared" si="312"/>
        <v>110</v>
      </c>
      <c r="C1850" s="10"/>
      <c r="D1850" s="10"/>
      <c r="E1850" s="10"/>
      <c r="F1850" s="29" t="s">
        <v>208</v>
      </c>
      <c r="G1850" s="10">
        <v>640</v>
      </c>
      <c r="H1850" s="10" t="s">
        <v>141</v>
      </c>
      <c r="I1850" s="27">
        <f>600+2265</f>
        <v>2865</v>
      </c>
      <c r="J1850" s="27"/>
      <c r="K1850" s="91">
        <f t="shared" si="316"/>
        <v>2865</v>
      </c>
      <c r="L1850" s="267"/>
      <c r="M1850" s="27"/>
      <c r="N1850" s="27"/>
      <c r="O1850" s="250">
        <f t="shared" si="317"/>
        <v>0</v>
      </c>
      <c r="P1850" s="335"/>
      <c r="Q1850" s="309">
        <f t="shared" si="313"/>
        <v>2865</v>
      </c>
      <c r="R1850" s="91">
        <f t="shared" si="314"/>
        <v>0</v>
      </c>
      <c r="S1850" s="91">
        <f t="shared" si="315"/>
        <v>2865</v>
      </c>
    </row>
    <row r="1851" spans="2:19" x14ac:dyDescent="0.2">
      <c r="B1851" s="88">
        <f t="shared" si="312"/>
        <v>111</v>
      </c>
      <c r="C1851" s="10"/>
      <c r="D1851" s="10"/>
      <c r="E1851" s="10"/>
      <c r="F1851" s="29" t="s">
        <v>208</v>
      </c>
      <c r="G1851" s="10">
        <v>710</v>
      </c>
      <c r="H1851" s="10" t="s">
        <v>188</v>
      </c>
      <c r="I1851" s="27"/>
      <c r="J1851" s="27"/>
      <c r="K1851" s="91">
        <f t="shared" si="316"/>
        <v>0</v>
      </c>
      <c r="L1851" s="267"/>
      <c r="M1851" s="27">
        <f>M1852+M1854</f>
        <v>39200</v>
      </c>
      <c r="N1851" s="27">
        <f>N1852+N1854</f>
        <v>0</v>
      </c>
      <c r="O1851" s="250">
        <f t="shared" si="317"/>
        <v>39200</v>
      </c>
      <c r="P1851" s="335"/>
      <c r="Q1851" s="309">
        <f t="shared" si="313"/>
        <v>39200</v>
      </c>
      <c r="R1851" s="91">
        <f t="shared" si="314"/>
        <v>0</v>
      </c>
      <c r="S1851" s="91">
        <f t="shared" si="315"/>
        <v>39200</v>
      </c>
    </row>
    <row r="1852" spans="2:19" x14ac:dyDescent="0.2">
      <c r="B1852" s="88">
        <f t="shared" si="312"/>
        <v>112</v>
      </c>
      <c r="C1852" s="4"/>
      <c r="D1852" s="4"/>
      <c r="E1852" s="4"/>
      <c r="F1852" s="30" t="s">
        <v>208</v>
      </c>
      <c r="G1852" s="4">
        <v>711</v>
      </c>
      <c r="H1852" s="4" t="s">
        <v>225</v>
      </c>
      <c r="I1852" s="23"/>
      <c r="J1852" s="23"/>
      <c r="K1852" s="92">
        <f t="shared" si="316"/>
        <v>0</v>
      </c>
      <c r="L1852" s="267"/>
      <c r="M1852" s="23">
        <f>M1853</f>
        <v>26200</v>
      </c>
      <c r="N1852" s="23">
        <f>N1853</f>
        <v>0</v>
      </c>
      <c r="O1852" s="220">
        <f t="shared" si="317"/>
        <v>26200</v>
      </c>
      <c r="P1852" s="335"/>
      <c r="Q1852" s="308">
        <f t="shared" si="313"/>
        <v>26200</v>
      </c>
      <c r="R1852" s="92">
        <f t="shared" si="314"/>
        <v>0</v>
      </c>
      <c r="S1852" s="92">
        <f t="shared" si="315"/>
        <v>26200</v>
      </c>
    </row>
    <row r="1853" spans="2:19" x14ac:dyDescent="0.2">
      <c r="B1853" s="200">
        <f>B1852+1</f>
        <v>113</v>
      </c>
      <c r="C1853" s="149"/>
      <c r="D1853" s="149"/>
      <c r="E1853" s="149"/>
      <c r="F1853" s="229"/>
      <c r="G1853" s="149"/>
      <c r="H1853" s="149" t="s">
        <v>373</v>
      </c>
      <c r="I1853" s="204"/>
      <c r="J1853" s="204"/>
      <c r="K1853" s="179">
        <f t="shared" si="316"/>
        <v>0</v>
      </c>
      <c r="L1853" s="267"/>
      <c r="M1853" s="204">
        <f>28000-1800</f>
        <v>26200</v>
      </c>
      <c r="N1853" s="204"/>
      <c r="O1853" s="258">
        <f t="shared" si="317"/>
        <v>26200</v>
      </c>
      <c r="P1853" s="335"/>
      <c r="Q1853" s="333">
        <f t="shared" si="313"/>
        <v>26200</v>
      </c>
      <c r="R1853" s="179">
        <f t="shared" si="314"/>
        <v>0</v>
      </c>
      <c r="S1853" s="179">
        <f t="shared" si="315"/>
        <v>26200</v>
      </c>
    </row>
    <row r="1854" spans="2:19" x14ac:dyDescent="0.2">
      <c r="B1854" s="88">
        <f t="shared" si="312"/>
        <v>114</v>
      </c>
      <c r="C1854" s="4"/>
      <c r="D1854" s="4"/>
      <c r="E1854" s="4"/>
      <c r="F1854" s="30" t="s">
        <v>208</v>
      </c>
      <c r="G1854" s="4">
        <v>714</v>
      </c>
      <c r="H1854" s="4" t="s">
        <v>189</v>
      </c>
      <c r="I1854" s="23"/>
      <c r="J1854" s="23"/>
      <c r="K1854" s="92">
        <f t="shared" si="316"/>
        <v>0</v>
      </c>
      <c r="L1854" s="267"/>
      <c r="M1854" s="23">
        <f>M1855</f>
        <v>13000</v>
      </c>
      <c r="N1854" s="23">
        <f>N1855</f>
        <v>0</v>
      </c>
      <c r="O1854" s="220">
        <f t="shared" si="317"/>
        <v>13000</v>
      </c>
      <c r="P1854" s="335"/>
      <c r="Q1854" s="308">
        <f t="shared" si="313"/>
        <v>13000</v>
      </c>
      <c r="R1854" s="92">
        <f t="shared" si="314"/>
        <v>0</v>
      </c>
      <c r="S1854" s="92">
        <f t="shared" si="315"/>
        <v>13000</v>
      </c>
    </row>
    <row r="1855" spans="2:19" ht="13.5" thickBot="1" x14ac:dyDescent="0.25">
      <c r="B1855" s="94">
        <f>B1854+1</f>
        <v>115</v>
      </c>
      <c r="C1855" s="100"/>
      <c r="D1855" s="100"/>
      <c r="E1855" s="100"/>
      <c r="F1855" s="106"/>
      <c r="G1855" s="100"/>
      <c r="H1855" s="100" t="s">
        <v>602</v>
      </c>
      <c r="I1855" s="103"/>
      <c r="J1855" s="103"/>
      <c r="K1855" s="104">
        <f t="shared" si="316"/>
        <v>0</v>
      </c>
      <c r="L1855" s="267"/>
      <c r="M1855" s="103">
        <v>13000</v>
      </c>
      <c r="N1855" s="103"/>
      <c r="O1855" s="254">
        <f t="shared" si="317"/>
        <v>13000</v>
      </c>
      <c r="P1855" s="335"/>
      <c r="Q1855" s="334">
        <f t="shared" si="313"/>
        <v>13000</v>
      </c>
      <c r="R1855" s="104">
        <f t="shared" si="314"/>
        <v>0</v>
      </c>
      <c r="S1855" s="104">
        <f t="shared" si="315"/>
        <v>13000</v>
      </c>
    </row>
    <row r="1856" spans="2:19" x14ac:dyDescent="0.2">
      <c r="L1856" s="267"/>
      <c r="P1856" s="267"/>
    </row>
    <row r="1857" spans="2:19" x14ac:dyDescent="0.2">
      <c r="L1857" s="267"/>
      <c r="P1857" s="267"/>
    </row>
    <row r="1858" spans="2:19" x14ac:dyDescent="0.2">
      <c r="L1858" s="267"/>
      <c r="P1858" s="267"/>
    </row>
    <row r="1859" spans="2:19" x14ac:dyDescent="0.2">
      <c r="L1859" s="267"/>
      <c r="P1859" s="267"/>
    </row>
    <row r="1860" spans="2:19" ht="27.75" thickBot="1" x14ac:dyDescent="0.4">
      <c r="B1860" s="480" t="s">
        <v>31</v>
      </c>
      <c r="C1860" s="481"/>
      <c r="D1860" s="481"/>
      <c r="E1860" s="481"/>
      <c r="F1860" s="481"/>
      <c r="G1860" s="481"/>
      <c r="H1860" s="481"/>
      <c r="I1860" s="481"/>
      <c r="J1860" s="481"/>
      <c r="K1860" s="481"/>
      <c r="L1860" s="481"/>
      <c r="M1860" s="481"/>
      <c r="N1860" s="481"/>
      <c r="O1860" s="481"/>
      <c r="P1860" s="481"/>
      <c r="Q1860" s="481"/>
    </row>
    <row r="1861" spans="2:19" ht="13.5" customHeight="1" thickBot="1" x14ac:dyDescent="0.25">
      <c r="B1861" s="482" t="s">
        <v>353</v>
      </c>
      <c r="C1861" s="483"/>
      <c r="D1861" s="483"/>
      <c r="E1861" s="483"/>
      <c r="F1861" s="483"/>
      <c r="G1861" s="483"/>
      <c r="H1861" s="483"/>
      <c r="I1861" s="484"/>
      <c r="J1861" s="484"/>
      <c r="K1861" s="484"/>
      <c r="L1861" s="484"/>
      <c r="M1861" s="484"/>
      <c r="N1861" s="297"/>
      <c r="O1861" s="246"/>
      <c r="P1861" s="267"/>
      <c r="Q1861" s="512" t="s">
        <v>651</v>
      </c>
      <c r="R1861" s="471" t="s">
        <v>648</v>
      </c>
      <c r="S1861" s="474" t="s">
        <v>652</v>
      </c>
    </row>
    <row r="1862" spans="2:19" ht="13.5" customHeight="1" thickBot="1" x14ac:dyDescent="0.25">
      <c r="B1862" s="488"/>
      <c r="C1862" s="489" t="s">
        <v>126</v>
      </c>
      <c r="D1862" s="489" t="s">
        <v>127</v>
      </c>
      <c r="E1862" s="489"/>
      <c r="F1862" s="489" t="s">
        <v>128</v>
      </c>
      <c r="G1862" s="492" t="s">
        <v>129</v>
      </c>
      <c r="H1862" s="495" t="s">
        <v>130</v>
      </c>
      <c r="I1862" s="496" t="s">
        <v>647</v>
      </c>
      <c r="J1862" s="502" t="s">
        <v>648</v>
      </c>
      <c r="K1862" s="474" t="s">
        <v>649</v>
      </c>
      <c r="M1862" s="498" t="s">
        <v>650</v>
      </c>
      <c r="N1862" s="471" t="s">
        <v>648</v>
      </c>
      <c r="O1862" s="474" t="s">
        <v>649</v>
      </c>
      <c r="P1862" s="267"/>
      <c r="Q1862" s="513"/>
      <c r="R1862" s="472"/>
      <c r="S1862" s="475"/>
    </row>
    <row r="1863" spans="2:19" ht="13.5" thickBot="1" x14ac:dyDescent="0.25">
      <c r="B1863" s="488"/>
      <c r="C1863" s="490"/>
      <c r="D1863" s="490"/>
      <c r="E1863" s="490"/>
      <c r="F1863" s="490"/>
      <c r="G1863" s="493"/>
      <c r="H1863" s="495"/>
      <c r="I1863" s="496"/>
      <c r="J1863" s="502"/>
      <c r="K1863" s="475"/>
      <c r="M1863" s="499"/>
      <c r="N1863" s="472"/>
      <c r="O1863" s="475"/>
      <c r="P1863" s="267"/>
      <c r="Q1863" s="513"/>
      <c r="R1863" s="472"/>
      <c r="S1863" s="475"/>
    </row>
    <row r="1864" spans="2:19" ht="13.5" thickBot="1" x14ac:dyDescent="0.25">
      <c r="B1864" s="488"/>
      <c r="C1864" s="490"/>
      <c r="D1864" s="490"/>
      <c r="E1864" s="490"/>
      <c r="F1864" s="490"/>
      <c r="G1864" s="493"/>
      <c r="H1864" s="495"/>
      <c r="I1864" s="496"/>
      <c r="J1864" s="502"/>
      <c r="K1864" s="475"/>
      <c r="M1864" s="499"/>
      <c r="N1864" s="472"/>
      <c r="O1864" s="475"/>
      <c r="P1864" s="267"/>
      <c r="Q1864" s="513"/>
      <c r="R1864" s="472"/>
      <c r="S1864" s="475"/>
    </row>
    <row r="1865" spans="2:19" ht="13.5" thickBot="1" x14ac:dyDescent="0.25">
      <c r="B1865" s="488"/>
      <c r="C1865" s="491"/>
      <c r="D1865" s="491"/>
      <c r="E1865" s="491"/>
      <c r="F1865" s="491"/>
      <c r="G1865" s="494"/>
      <c r="H1865" s="495"/>
      <c r="I1865" s="497"/>
      <c r="J1865" s="503"/>
      <c r="K1865" s="476"/>
      <c r="M1865" s="515"/>
      <c r="N1865" s="473"/>
      <c r="O1865" s="476"/>
      <c r="P1865" s="267"/>
      <c r="Q1865" s="514"/>
      <c r="R1865" s="473"/>
      <c r="S1865" s="476"/>
    </row>
    <row r="1866" spans="2:19" ht="16.5" thickTop="1" x14ac:dyDescent="0.2">
      <c r="B1866" s="88">
        <f t="shared" ref="B1866:B1930" si="333">B1865+1</f>
        <v>1</v>
      </c>
      <c r="C1866" s="505" t="s">
        <v>31</v>
      </c>
      <c r="D1866" s="506"/>
      <c r="E1866" s="506"/>
      <c r="F1866" s="506"/>
      <c r="G1866" s="506"/>
      <c r="H1866" s="507"/>
      <c r="I1866" s="39">
        <f>I2006+I1997+I1992+I1989+I1976+I1954+I1922+I1898+I1881+I1877+I1867</f>
        <v>3340634</v>
      </c>
      <c r="J1866" s="39">
        <f>J2006+J1997+J1992+J1989+J1976+J1954+J1922+J1898+J1881+J1877+J1867</f>
        <v>2100</v>
      </c>
      <c r="K1866" s="98">
        <f>I1866+J1866</f>
        <v>3342734</v>
      </c>
      <c r="L1866" s="267"/>
      <c r="M1866" s="394">
        <f>M1867+M1877+M1881+M1898+M1922+M1954+M1976+M1989+M1992+M1997+M2006</f>
        <v>41020</v>
      </c>
      <c r="N1866" s="39">
        <f>N1867+N1877+N1881+N1898+N1922+N1954+N1976+N1989+N1992+N1997+N2006</f>
        <v>0</v>
      </c>
      <c r="O1866" s="98">
        <f>M1866+N1866</f>
        <v>41020</v>
      </c>
      <c r="P1866" s="267"/>
      <c r="Q1866" s="324">
        <f t="shared" ref="Q1866:Q1930" si="334">I1866+M1866</f>
        <v>3381654</v>
      </c>
      <c r="R1866" s="98">
        <f t="shared" ref="R1866:R1930" si="335">J1866+N1866</f>
        <v>2100</v>
      </c>
      <c r="S1866" s="98">
        <f t="shared" ref="S1866:S1930" si="336">K1866+O1866</f>
        <v>3383754</v>
      </c>
    </row>
    <row r="1867" spans="2:19" ht="15" x14ac:dyDescent="0.2">
      <c r="B1867" s="88">
        <f t="shared" si="333"/>
        <v>2</v>
      </c>
      <c r="C1867" s="242">
        <v>1</v>
      </c>
      <c r="D1867" s="511" t="s">
        <v>78</v>
      </c>
      <c r="E1867" s="509"/>
      <c r="F1867" s="509"/>
      <c r="G1867" s="509"/>
      <c r="H1867" s="510"/>
      <c r="I1867" s="40">
        <f>I1868</f>
        <v>251188</v>
      </c>
      <c r="J1867" s="40">
        <f>J1868</f>
        <v>0</v>
      </c>
      <c r="K1867" s="89">
        <f t="shared" ref="K1867:K1931" si="337">I1867+J1867</f>
        <v>251188</v>
      </c>
      <c r="L1867" s="267"/>
      <c r="M1867" s="395">
        <v>0</v>
      </c>
      <c r="N1867" s="40">
        <v>0</v>
      </c>
      <c r="O1867" s="89">
        <f t="shared" ref="O1867:O1931" si="338">M1867+N1867</f>
        <v>0</v>
      </c>
      <c r="P1867" s="267"/>
      <c r="Q1867" s="325">
        <f t="shared" si="334"/>
        <v>251188</v>
      </c>
      <c r="R1867" s="89">
        <f t="shared" si="335"/>
        <v>0</v>
      </c>
      <c r="S1867" s="89">
        <f t="shared" si="336"/>
        <v>251188</v>
      </c>
    </row>
    <row r="1868" spans="2:19" ht="15" x14ac:dyDescent="0.25">
      <c r="B1868" s="88">
        <f>B1867+1</f>
        <v>3</v>
      </c>
      <c r="C1868" s="13"/>
      <c r="D1868" s="13"/>
      <c r="E1868" s="13">
        <v>5</v>
      </c>
      <c r="F1868" s="32"/>
      <c r="G1868" s="13"/>
      <c r="H1868" s="13" t="s">
        <v>116</v>
      </c>
      <c r="I1868" s="42">
        <f>I1869+I1870+I1871+I1876</f>
        <v>251188</v>
      </c>
      <c r="J1868" s="42">
        <f>J1869+J1870+J1871+J1876</f>
        <v>0</v>
      </c>
      <c r="K1868" s="99">
        <f t="shared" si="337"/>
        <v>251188</v>
      </c>
      <c r="L1868" s="267"/>
      <c r="M1868" s="396">
        <v>0</v>
      </c>
      <c r="N1868" s="42">
        <v>0</v>
      </c>
      <c r="O1868" s="99">
        <f t="shared" si="338"/>
        <v>0</v>
      </c>
      <c r="P1868" s="267"/>
      <c r="Q1868" s="326">
        <f t="shared" si="334"/>
        <v>251188</v>
      </c>
      <c r="R1868" s="99">
        <f t="shared" si="335"/>
        <v>0</v>
      </c>
      <c r="S1868" s="99">
        <f t="shared" si="336"/>
        <v>251188</v>
      </c>
    </row>
    <row r="1869" spans="2:19" x14ac:dyDescent="0.2">
      <c r="B1869" s="88">
        <f t="shared" si="333"/>
        <v>4</v>
      </c>
      <c r="C1869" s="10"/>
      <c r="D1869" s="10"/>
      <c r="E1869" s="10"/>
      <c r="F1869" s="29" t="s">
        <v>83</v>
      </c>
      <c r="G1869" s="10">
        <v>610</v>
      </c>
      <c r="H1869" s="10" t="s">
        <v>143</v>
      </c>
      <c r="I1869" s="27">
        <v>138446</v>
      </c>
      <c r="J1869" s="27"/>
      <c r="K1869" s="91">
        <f t="shared" si="337"/>
        <v>138446</v>
      </c>
      <c r="L1869" s="267"/>
      <c r="M1869" s="397"/>
      <c r="N1869" s="27"/>
      <c r="O1869" s="91">
        <f t="shared" si="338"/>
        <v>0</v>
      </c>
      <c r="P1869" s="267"/>
      <c r="Q1869" s="327">
        <f t="shared" si="334"/>
        <v>138446</v>
      </c>
      <c r="R1869" s="91">
        <f t="shared" si="335"/>
        <v>0</v>
      </c>
      <c r="S1869" s="91">
        <f t="shared" si="336"/>
        <v>138446</v>
      </c>
    </row>
    <row r="1870" spans="2:19" x14ac:dyDescent="0.2">
      <c r="B1870" s="88">
        <f t="shared" si="333"/>
        <v>5</v>
      </c>
      <c r="C1870" s="10"/>
      <c r="D1870" s="10"/>
      <c r="E1870" s="10"/>
      <c r="F1870" s="29" t="s">
        <v>83</v>
      </c>
      <c r="G1870" s="10">
        <v>620</v>
      </c>
      <c r="H1870" s="10" t="s">
        <v>136</v>
      </c>
      <c r="I1870" s="27">
        <v>49972</v>
      </c>
      <c r="J1870" s="27"/>
      <c r="K1870" s="91">
        <f t="shared" si="337"/>
        <v>49972</v>
      </c>
      <c r="L1870" s="267"/>
      <c r="M1870" s="397"/>
      <c r="N1870" s="27"/>
      <c r="O1870" s="91">
        <f t="shared" si="338"/>
        <v>0</v>
      </c>
      <c r="P1870" s="267"/>
      <c r="Q1870" s="327">
        <f t="shared" si="334"/>
        <v>49972</v>
      </c>
      <c r="R1870" s="91">
        <f t="shared" si="335"/>
        <v>0</v>
      </c>
      <c r="S1870" s="91">
        <f t="shared" si="336"/>
        <v>49972</v>
      </c>
    </row>
    <row r="1871" spans="2:19" x14ac:dyDescent="0.2">
      <c r="B1871" s="88">
        <f t="shared" si="333"/>
        <v>6</v>
      </c>
      <c r="C1871" s="10"/>
      <c r="D1871" s="10"/>
      <c r="E1871" s="10"/>
      <c r="F1871" s="29" t="s">
        <v>83</v>
      </c>
      <c r="G1871" s="10">
        <v>630</v>
      </c>
      <c r="H1871" s="10" t="s">
        <v>133</v>
      </c>
      <c r="I1871" s="27">
        <f>I1875+I1874+I1873+I1872</f>
        <v>54900</v>
      </c>
      <c r="J1871" s="27">
        <f>J1875+J1874+J1873+J1872</f>
        <v>0</v>
      </c>
      <c r="K1871" s="91">
        <f t="shared" si="337"/>
        <v>54900</v>
      </c>
      <c r="L1871" s="267"/>
      <c r="M1871" s="397"/>
      <c r="N1871" s="27"/>
      <c r="O1871" s="91">
        <f t="shared" si="338"/>
        <v>0</v>
      </c>
      <c r="P1871" s="267"/>
      <c r="Q1871" s="327">
        <f t="shared" si="334"/>
        <v>54900</v>
      </c>
      <c r="R1871" s="91">
        <f t="shared" si="335"/>
        <v>0</v>
      </c>
      <c r="S1871" s="91">
        <f t="shared" si="336"/>
        <v>54900</v>
      </c>
    </row>
    <row r="1872" spans="2:19" x14ac:dyDescent="0.2">
      <c r="B1872" s="88">
        <f t="shared" si="333"/>
        <v>7</v>
      </c>
      <c r="C1872" s="4"/>
      <c r="D1872" s="4"/>
      <c r="E1872" s="4"/>
      <c r="F1872" s="30" t="s">
        <v>83</v>
      </c>
      <c r="G1872" s="4">
        <v>632</v>
      </c>
      <c r="H1872" s="4" t="s">
        <v>146</v>
      </c>
      <c r="I1872" s="23">
        <v>15650</v>
      </c>
      <c r="J1872" s="23"/>
      <c r="K1872" s="92">
        <f t="shared" si="337"/>
        <v>15650</v>
      </c>
      <c r="L1872" s="267"/>
      <c r="M1872" s="398"/>
      <c r="N1872" s="23"/>
      <c r="O1872" s="92">
        <f t="shared" si="338"/>
        <v>0</v>
      </c>
      <c r="P1872" s="267"/>
      <c r="Q1872" s="314">
        <f t="shared" si="334"/>
        <v>15650</v>
      </c>
      <c r="R1872" s="92">
        <f t="shared" si="335"/>
        <v>0</v>
      </c>
      <c r="S1872" s="92">
        <f t="shared" si="336"/>
        <v>15650</v>
      </c>
    </row>
    <row r="1873" spans="2:21" x14ac:dyDescent="0.2">
      <c r="B1873" s="88">
        <f t="shared" si="333"/>
        <v>8</v>
      </c>
      <c r="C1873" s="4"/>
      <c r="D1873" s="4"/>
      <c r="E1873" s="4"/>
      <c r="F1873" s="30" t="s">
        <v>83</v>
      </c>
      <c r="G1873" s="4">
        <v>633</v>
      </c>
      <c r="H1873" s="4" t="s">
        <v>137</v>
      </c>
      <c r="I1873" s="23">
        <v>27650</v>
      </c>
      <c r="J1873" s="23">
        <v>-3000</v>
      </c>
      <c r="K1873" s="92">
        <f t="shared" si="337"/>
        <v>24650</v>
      </c>
      <c r="L1873" s="267"/>
      <c r="M1873" s="398"/>
      <c r="N1873" s="23"/>
      <c r="O1873" s="92">
        <f t="shared" si="338"/>
        <v>0</v>
      </c>
      <c r="P1873" s="267"/>
      <c r="Q1873" s="314">
        <f t="shared" si="334"/>
        <v>27650</v>
      </c>
      <c r="R1873" s="92">
        <f t="shared" si="335"/>
        <v>-3000</v>
      </c>
      <c r="S1873" s="92">
        <f t="shared" si="336"/>
        <v>24650</v>
      </c>
    </row>
    <row r="1874" spans="2:21" x14ac:dyDescent="0.2">
      <c r="B1874" s="88">
        <f t="shared" si="333"/>
        <v>9</v>
      </c>
      <c r="C1874" s="4"/>
      <c r="D1874" s="4"/>
      <c r="E1874" s="4"/>
      <c r="F1874" s="30" t="s">
        <v>83</v>
      </c>
      <c r="G1874" s="4">
        <v>635</v>
      </c>
      <c r="H1874" s="4" t="s">
        <v>145</v>
      </c>
      <c r="I1874" s="23">
        <v>6310</v>
      </c>
      <c r="J1874" s="23">
        <v>3000</v>
      </c>
      <c r="K1874" s="92">
        <f t="shared" si="337"/>
        <v>9310</v>
      </c>
      <c r="L1874" s="267"/>
      <c r="M1874" s="398"/>
      <c r="N1874" s="23"/>
      <c r="O1874" s="92">
        <f t="shared" si="338"/>
        <v>0</v>
      </c>
      <c r="P1874" s="267"/>
      <c r="Q1874" s="314">
        <f t="shared" si="334"/>
        <v>6310</v>
      </c>
      <c r="R1874" s="92">
        <f t="shared" si="335"/>
        <v>3000</v>
      </c>
      <c r="S1874" s="92">
        <f t="shared" si="336"/>
        <v>9310</v>
      </c>
    </row>
    <row r="1875" spans="2:21" x14ac:dyDescent="0.2">
      <c r="B1875" s="88">
        <f t="shared" si="333"/>
        <v>10</v>
      </c>
      <c r="C1875" s="4"/>
      <c r="D1875" s="4"/>
      <c r="E1875" s="4"/>
      <c r="F1875" s="30" t="s">
        <v>83</v>
      </c>
      <c r="G1875" s="4">
        <v>637</v>
      </c>
      <c r="H1875" s="4" t="s">
        <v>134</v>
      </c>
      <c r="I1875" s="23">
        <v>5290</v>
      </c>
      <c r="J1875" s="23"/>
      <c r="K1875" s="92">
        <f t="shared" si="337"/>
        <v>5290</v>
      </c>
      <c r="L1875" s="267"/>
      <c r="M1875" s="398"/>
      <c r="N1875" s="23"/>
      <c r="O1875" s="92">
        <f t="shared" si="338"/>
        <v>0</v>
      </c>
      <c r="P1875" s="267"/>
      <c r="Q1875" s="314">
        <f t="shared" si="334"/>
        <v>5290</v>
      </c>
      <c r="R1875" s="92">
        <f t="shared" si="335"/>
        <v>0</v>
      </c>
      <c r="S1875" s="92">
        <f t="shared" si="336"/>
        <v>5290</v>
      </c>
      <c r="U1875" s="85"/>
    </row>
    <row r="1876" spans="2:21" x14ac:dyDescent="0.2">
      <c r="B1876" s="88">
        <f t="shared" si="333"/>
        <v>11</v>
      </c>
      <c r="C1876" s="10"/>
      <c r="D1876" s="10"/>
      <c r="E1876" s="10"/>
      <c r="F1876" s="29" t="s">
        <v>83</v>
      </c>
      <c r="G1876" s="10">
        <v>640</v>
      </c>
      <c r="H1876" s="10" t="s">
        <v>141</v>
      </c>
      <c r="I1876" s="27">
        <f>1817+6053</f>
        <v>7870</v>
      </c>
      <c r="J1876" s="27"/>
      <c r="K1876" s="91">
        <f t="shared" si="337"/>
        <v>7870</v>
      </c>
      <c r="L1876" s="267"/>
      <c r="M1876" s="397"/>
      <c r="N1876" s="27"/>
      <c r="O1876" s="91">
        <f t="shared" si="338"/>
        <v>0</v>
      </c>
      <c r="P1876" s="267"/>
      <c r="Q1876" s="327">
        <f t="shared" si="334"/>
        <v>7870</v>
      </c>
      <c r="R1876" s="91">
        <f t="shared" si="335"/>
        <v>0</v>
      </c>
      <c r="S1876" s="91">
        <f t="shared" si="336"/>
        <v>7870</v>
      </c>
      <c r="U1876" s="85"/>
    </row>
    <row r="1877" spans="2:21" ht="15" x14ac:dyDescent="0.2">
      <c r="B1877" s="88">
        <f t="shared" si="333"/>
        <v>12</v>
      </c>
      <c r="C1877" s="242">
        <v>2</v>
      </c>
      <c r="D1877" s="511" t="s">
        <v>59</v>
      </c>
      <c r="E1877" s="509"/>
      <c r="F1877" s="509"/>
      <c r="G1877" s="509"/>
      <c r="H1877" s="510"/>
      <c r="I1877" s="40">
        <f t="shared" ref="I1877:J1879" si="339">I1878</f>
        <v>2000</v>
      </c>
      <c r="J1877" s="40">
        <f t="shared" si="339"/>
        <v>0</v>
      </c>
      <c r="K1877" s="89">
        <f t="shared" si="337"/>
        <v>2000</v>
      </c>
      <c r="L1877" s="267"/>
      <c r="M1877" s="395">
        <v>0</v>
      </c>
      <c r="N1877" s="40">
        <v>0</v>
      </c>
      <c r="O1877" s="89">
        <f t="shared" si="338"/>
        <v>0</v>
      </c>
      <c r="P1877" s="267"/>
      <c r="Q1877" s="325">
        <f t="shared" si="334"/>
        <v>2000</v>
      </c>
      <c r="R1877" s="89">
        <f t="shared" si="335"/>
        <v>0</v>
      </c>
      <c r="S1877" s="89">
        <f t="shared" si="336"/>
        <v>2000</v>
      </c>
    </row>
    <row r="1878" spans="2:21" x14ac:dyDescent="0.2">
      <c r="B1878" s="88">
        <f t="shared" si="333"/>
        <v>13</v>
      </c>
      <c r="C1878" s="10"/>
      <c r="D1878" s="10"/>
      <c r="E1878" s="10"/>
      <c r="F1878" s="29" t="s">
        <v>58</v>
      </c>
      <c r="G1878" s="10">
        <v>640</v>
      </c>
      <c r="H1878" s="10" t="s">
        <v>141</v>
      </c>
      <c r="I1878" s="27">
        <f t="shared" si="339"/>
        <v>2000</v>
      </c>
      <c r="J1878" s="27">
        <f t="shared" si="339"/>
        <v>0</v>
      </c>
      <c r="K1878" s="91">
        <f t="shared" si="337"/>
        <v>2000</v>
      </c>
      <c r="L1878" s="267"/>
      <c r="M1878" s="397"/>
      <c r="N1878" s="27"/>
      <c r="O1878" s="91">
        <f t="shared" si="338"/>
        <v>0</v>
      </c>
      <c r="P1878" s="267"/>
      <c r="Q1878" s="327">
        <f t="shared" si="334"/>
        <v>2000</v>
      </c>
      <c r="R1878" s="91">
        <f t="shared" si="335"/>
        <v>0</v>
      </c>
      <c r="S1878" s="91">
        <f t="shared" si="336"/>
        <v>2000</v>
      </c>
    </row>
    <row r="1879" spans="2:21" x14ac:dyDescent="0.2">
      <c r="B1879" s="88">
        <f t="shared" si="333"/>
        <v>14</v>
      </c>
      <c r="C1879" s="4"/>
      <c r="D1879" s="4"/>
      <c r="E1879" s="4"/>
      <c r="F1879" s="30" t="s">
        <v>58</v>
      </c>
      <c r="G1879" s="4">
        <v>642</v>
      </c>
      <c r="H1879" s="4" t="s">
        <v>142</v>
      </c>
      <c r="I1879" s="23">
        <f t="shared" si="339"/>
        <v>2000</v>
      </c>
      <c r="J1879" s="23">
        <f t="shared" si="339"/>
        <v>0</v>
      </c>
      <c r="K1879" s="92">
        <f t="shared" si="337"/>
        <v>2000</v>
      </c>
      <c r="L1879" s="267"/>
      <c r="M1879" s="398"/>
      <c r="N1879" s="23"/>
      <c r="O1879" s="92">
        <f t="shared" si="338"/>
        <v>0</v>
      </c>
      <c r="P1879" s="267"/>
      <c r="Q1879" s="314">
        <f t="shared" si="334"/>
        <v>2000</v>
      </c>
      <c r="R1879" s="92">
        <f t="shared" si="335"/>
        <v>0</v>
      </c>
      <c r="S1879" s="92">
        <f t="shared" si="336"/>
        <v>2000</v>
      </c>
    </row>
    <row r="1880" spans="2:21" x14ac:dyDescent="0.2">
      <c r="B1880" s="88">
        <f t="shared" si="333"/>
        <v>15</v>
      </c>
      <c r="C1880" s="5"/>
      <c r="D1880" s="5"/>
      <c r="E1880" s="5"/>
      <c r="F1880" s="31"/>
      <c r="G1880" s="5"/>
      <c r="H1880" s="5" t="s">
        <v>374</v>
      </c>
      <c r="I1880" s="25">
        <v>2000</v>
      </c>
      <c r="J1880" s="25"/>
      <c r="K1880" s="93">
        <f t="shared" si="337"/>
        <v>2000</v>
      </c>
      <c r="L1880" s="267"/>
      <c r="M1880" s="399"/>
      <c r="N1880" s="25"/>
      <c r="O1880" s="93">
        <f t="shared" si="338"/>
        <v>0</v>
      </c>
      <c r="P1880" s="267"/>
      <c r="Q1880" s="328">
        <f t="shared" si="334"/>
        <v>2000</v>
      </c>
      <c r="R1880" s="93">
        <f t="shared" si="335"/>
        <v>0</v>
      </c>
      <c r="S1880" s="93">
        <f t="shared" si="336"/>
        <v>2000</v>
      </c>
    </row>
    <row r="1881" spans="2:21" ht="15" x14ac:dyDescent="0.2">
      <c r="B1881" s="88">
        <f t="shared" si="333"/>
        <v>16</v>
      </c>
      <c r="C1881" s="242">
        <v>3</v>
      </c>
      <c r="D1881" s="511" t="s">
        <v>69</v>
      </c>
      <c r="E1881" s="509"/>
      <c r="F1881" s="509"/>
      <c r="G1881" s="509"/>
      <c r="H1881" s="510"/>
      <c r="I1881" s="40">
        <f>I1882</f>
        <v>65524</v>
      </c>
      <c r="J1881" s="40">
        <f>J1882</f>
        <v>0</v>
      </c>
      <c r="K1881" s="89">
        <f t="shared" si="337"/>
        <v>65524</v>
      </c>
      <c r="L1881" s="267"/>
      <c r="M1881" s="395">
        <v>0</v>
      </c>
      <c r="N1881" s="40">
        <v>0</v>
      </c>
      <c r="O1881" s="89">
        <f t="shared" si="338"/>
        <v>0</v>
      </c>
      <c r="P1881" s="267"/>
      <c r="Q1881" s="325">
        <f t="shared" si="334"/>
        <v>65524</v>
      </c>
      <c r="R1881" s="89">
        <f t="shared" si="335"/>
        <v>0</v>
      </c>
      <c r="S1881" s="89">
        <f t="shared" si="336"/>
        <v>65524</v>
      </c>
    </row>
    <row r="1882" spans="2:21" x14ac:dyDescent="0.2">
      <c r="B1882" s="88">
        <f t="shared" si="333"/>
        <v>17</v>
      </c>
      <c r="C1882" s="10"/>
      <c r="D1882" s="10"/>
      <c r="E1882" s="10"/>
      <c r="F1882" s="29" t="s">
        <v>68</v>
      </c>
      <c r="G1882" s="10">
        <v>640</v>
      </c>
      <c r="H1882" s="10" t="s">
        <v>141</v>
      </c>
      <c r="I1882" s="27">
        <f>I1883</f>
        <v>65524</v>
      </c>
      <c r="J1882" s="27">
        <f>J1883</f>
        <v>0</v>
      </c>
      <c r="K1882" s="91">
        <f t="shared" si="337"/>
        <v>65524</v>
      </c>
      <c r="L1882" s="267"/>
      <c r="M1882" s="397"/>
      <c r="N1882" s="27"/>
      <c r="O1882" s="91">
        <f t="shared" si="338"/>
        <v>0</v>
      </c>
      <c r="P1882" s="267"/>
      <c r="Q1882" s="327">
        <f t="shared" si="334"/>
        <v>65524</v>
      </c>
      <c r="R1882" s="91">
        <f t="shared" si="335"/>
        <v>0</v>
      </c>
      <c r="S1882" s="91">
        <f t="shared" si="336"/>
        <v>65524</v>
      </c>
    </row>
    <row r="1883" spans="2:21" x14ac:dyDescent="0.2">
      <c r="B1883" s="88">
        <f t="shared" si="333"/>
        <v>18</v>
      </c>
      <c r="C1883" s="4"/>
      <c r="D1883" s="4"/>
      <c r="E1883" s="4"/>
      <c r="F1883" s="30" t="s">
        <v>68</v>
      </c>
      <c r="G1883" s="4">
        <v>642</v>
      </c>
      <c r="H1883" s="4" t="s">
        <v>142</v>
      </c>
      <c r="I1883" s="23">
        <f>SUM(I1884:I1889)</f>
        <v>65524</v>
      </c>
      <c r="J1883" s="23">
        <f>SUM(J1884:J1889)</f>
        <v>0</v>
      </c>
      <c r="K1883" s="92">
        <f t="shared" si="337"/>
        <v>65524</v>
      </c>
      <c r="L1883" s="267"/>
      <c r="M1883" s="398"/>
      <c r="N1883" s="23"/>
      <c r="O1883" s="92">
        <f t="shared" si="338"/>
        <v>0</v>
      </c>
      <c r="P1883" s="267"/>
      <c r="Q1883" s="314">
        <f t="shared" si="334"/>
        <v>65524</v>
      </c>
      <c r="R1883" s="92">
        <f t="shared" si="335"/>
        <v>0</v>
      </c>
      <c r="S1883" s="92">
        <f t="shared" si="336"/>
        <v>65524</v>
      </c>
    </row>
    <row r="1884" spans="2:21" x14ac:dyDescent="0.2">
      <c r="B1884" s="88">
        <f t="shared" si="333"/>
        <v>19</v>
      </c>
      <c r="C1884" s="5"/>
      <c r="D1884" s="15"/>
      <c r="E1884" s="5"/>
      <c r="F1884" s="31"/>
      <c r="G1884" s="5"/>
      <c r="H1884" s="16" t="s">
        <v>293</v>
      </c>
      <c r="I1884" s="25">
        <f>15000+510</f>
        <v>15510</v>
      </c>
      <c r="J1884" s="25"/>
      <c r="K1884" s="93">
        <f t="shared" si="337"/>
        <v>15510</v>
      </c>
      <c r="L1884" s="267"/>
      <c r="M1884" s="399"/>
      <c r="N1884" s="25"/>
      <c r="O1884" s="93">
        <f t="shared" si="338"/>
        <v>0</v>
      </c>
      <c r="P1884" s="267"/>
      <c r="Q1884" s="328">
        <f t="shared" si="334"/>
        <v>15510</v>
      </c>
      <c r="R1884" s="93">
        <f t="shared" si="335"/>
        <v>0</v>
      </c>
      <c r="S1884" s="93">
        <f t="shared" si="336"/>
        <v>15510</v>
      </c>
    </row>
    <row r="1885" spans="2:21" ht="22.5" x14ac:dyDescent="0.2">
      <c r="B1885" s="88">
        <f t="shared" si="333"/>
        <v>20</v>
      </c>
      <c r="C1885" s="154"/>
      <c r="D1885" s="158"/>
      <c r="E1885" s="154"/>
      <c r="F1885" s="155"/>
      <c r="G1885" s="154"/>
      <c r="H1885" s="159" t="s">
        <v>482</v>
      </c>
      <c r="I1885" s="156">
        <v>792</v>
      </c>
      <c r="J1885" s="156"/>
      <c r="K1885" s="157">
        <f t="shared" si="337"/>
        <v>792</v>
      </c>
      <c r="L1885" s="267"/>
      <c r="M1885" s="400"/>
      <c r="N1885" s="156"/>
      <c r="O1885" s="157">
        <f t="shared" si="338"/>
        <v>0</v>
      </c>
      <c r="P1885" s="267"/>
      <c r="Q1885" s="329">
        <f t="shared" si="334"/>
        <v>792</v>
      </c>
      <c r="R1885" s="157">
        <f t="shared" si="335"/>
        <v>0</v>
      </c>
      <c r="S1885" s="157">
        <f t="shared" si="336"/>
        <v>792</v>
      </c>
    </row>
    <row r="1886" spans="2:21" x14ac:dyDescent="0.2">
      <c r="B1886" s="88">
        <f t="shared" si="333"/>
        <v>21</v>
      </c>
      <c r="C1886" s="5"/>
      <c r="D1886" s="15"/>
      <c r="E1886" s="5"/>
      <c r="F1886" s="31"/>
      <c r="G1886" s="5"/>
      <c r="H1886" s="16" t="s">
        <v>481</v>
      </c>
      <c r="I1886" s="25">
        <v>2367</v>
      </c>
      <c r="J1886" s="25"/>
      <c r="K1886" s="93">
        <f t="shared" si="337"/>
        <v>2367</v>
      </c>
      <c r="L1886" s="267"/>
      <c r="M1886" s="399"/>
      <c r="N1886" s="25"/>
      <c r="O1886" s="93">
        <f t="shared" si="338"/>
        <v>0</v>
      </c>
      <c r="P1886" s="267"/>
      <c r="Q1886" s="328">
        <f t="shared" si="334"/>
        <v>2367</v>
      </c>
      <c r="R1886" s="93">
        <f t="shared" si="335"/>
        <v>0</v>
      </c>
      <c r="S1886" s="93">
        <f t="shared" si="336"/>
        <v>2367</v>
      </c>
    </row>
    <row r="1887" spans="2:21" x14ac:dyDescent="0.2">
      <c r="B1887" s="88">
        <f t="shared" si="333"/>
        <v>22</v>
      </c>
      <c r="C1887" s="5"/>
      <c r="D1887" s="15"/>
      <c r="E1887" s="5"/>
      <c r="F1887" s="31"/>
      <c r="G1887" s="5"/>
      <c r="H1887" s="16" t="s">
        <v>322</v>
      </c>
      <c r="I1887" s="25">
        <f>10000+12000</f>
        <v>22000</v>
      </c>
      <c r="J1887" s="25"/>
      <c r="K1887" s="93">
        <f t="shared" si="337"/>
        <v>22000</v>
      </c>
      <c r="L1887" s="267"/>
      <c r="M1887" s="399"/>
      <c r="N1887" s="25"/>
      <c r="O1887" s="93">
        <f t="shared" si="338"/>
        <v>0</v>
      </c>
      <c r="P1887" s="267"/>
      <c r="Q1887" s="328">
        <f t="shared" si="334"/>
        <v>22000</v>
      </c>
      <c r="R1887" s="93">
        <f t="shared" si="335"/>
        <v>0</v>
      </c>
      <c r="S1887" s="93">
        <f t="shared" si="336"/>
        <v>22000</v>
      </c>
    </row>
    <row r="1888" spans="2:21" x14ac:dyDescent="0.2">
      <c r="B1888" s="88">
        <f t="shared" si="333"/>
        <v>23</v>
      </c>
      <c r="C1888" s="5"/>
      <c r="D1888" s="15"/>
      <c r="E1888" s="5"/>
      <c r="F1888" s="31"/>
      <c r="G1888" s="5"/>
      <c r="H1888" s="16" t="s">
        <v>425</v>
      </c>
      <c r="I1888" s="25">
        <v>15000</v>
      </c>
      <c r="J1888" s="25"/>
      <c r="K1888" s="93">
        <f t="shared" si="337"/>
        <v>15000</v>
      </c>
      <c r="L1888" s="267"/>
      <c r="M1888" s="399"/>
      <c r="N1888" s="25"/>
      <c r="O1888" s="93">
        <f t="shared" si="338"/>
        <v>0</v>
      </c>
      <c r="P1888" s="267"/>
      <c r="Q1888" s="328">
        <f t="shared" si="334"/>
        <v>15000</v>
      </c>
      <c r="R1888" s="93">
        <f t="shared" si="335"/>
        <v>0</v>
      </c>
      <c r="S1888" s="93">
        <f t="shared" si="336"/>
        <v>15000</v>
      </c>
    </row>
    <row r="1889" spans="2:19" x14ac:dyDescent="0.2">
      <c r="B1889" s="88">
        <f t="shared" si="333"/>
        <v>24</v>
      </c>
      <c r="C1889" s="5"/>
      <c r="D1889" s="15"/>
      <c r="E1889" s="5"/>
      <c r="F1889" s="31"/>
      <c r="G1889" s="5"/>
      <c r="H1889" s="16" t="s">
        <v>321</v>
      </c>
      <c r="I1889" s="25">
        <f>SUM(I1890:I1897)</f>
        <v>9855</v>
      </c>
      <c r="J1889" s="25"/>
      <c r="K1889" s="93">
        <f t="shared" si="337"/>
        <v>9855</v>
      </c>
      <c r="L1889" s="267"/>
      <c r="M1889" s="399"/>
      <c r="N1889" s="25"/>
      <c r="O1889" s="93">
        <f t="shared" si="338"/>
        <v>0</v>
      </c>
      <c r="P1889" s="267"/>
      <c r="Q1889" s="328">
        <f t="shared" si="334"/>
        <v>9855</v>
      </c>
      <c r="R1889" s="93">
        <f t="shared" si="335"/>
        <v>0</v>
      </c>
      <c r="S1889" s="93">
        <f t="shared" si="336"/>
        <v>9855</v>
      </c>
    </row>
    <row r="1890" spans="2:19" x14ac:dyDescent="0.2">
      <c r="B1890" s="88">
        <f t="shared" si="333"/>
        <v>25</v>
      </c>
      <c r="C1890" s="5"/>
      <c r="D1890" s="15"/>
      <c r="E1890" s="5"/>
      <c r="F1890" s="31"/>
      <c r="G1890" s="5"/>
      <c r="H1890" s="16" t="s">
        <v>323</v>
      </c>
      <c r="I1890" s="25">
        <v>1242</v>
      </c>
      <c r="J1890" s="25"/>
      <c r="K1890" s="93">
        <f t="shared" si="337"/>
        <v>1242</v>
      </c>
      <c r="L1890" s="267"/>
      <c r="M1890" s="399"/>
      <c r="N1890" s="25"/>
      <c r="O1890" s="93">
        <f t="shared" si="338"/>
        <v>0</v>
      </c>
      <c r="P1890" s="267"/>
      <c r="Q1890" s="328">
        <f t="shared" si="334"/>
        <v>1242</v>
      </c>
      <c r="R1890" s="93">
        <f t="shared" si="335"/>
        <v>0</v>
      </c>
      <c r="S1890" s="93">
        <f t="shared" si="336"/>
        <v>1242</v>
      </c>
    </row>
    <row r="1891" spans="2:19" x14ac:dyDescent="0.2">
      <c r="B1891" s="88">
        <f t="shared" si="333"/>
        <v>26</v>
      </c>
      <c r="C1891" s="5"/>
      <c r="D1891" s="15"/>
      <c r="E1891" s="5"/>
      <c r="F1891" s="31"/>
      <c r="G1891" s="5"/>
      <c r="H1891" s="16" t="s">
        <v>324</v>
      </c>
      <c r="I1891" s="25">
        <v>2133</v>
      </c>
      <c r="J1891" s="25"/>
      <c r="K1891" s="93">
        <f t="shared" si="337"/>
        <v>2133</v>
      </c>
      <c r="L1891" s="267"/>
      <c r="M1891" s="399"/>
      <c r="N1891" s="25"/>
      <c r="O1891" s="93">
        <f t="shared" si="338"/>
        <v>0</v>
      </c>
      <c r="P1891" s="267"/>
      <c r="Q1891" s="328">
        <f t="shared" si="334"/>
        <v>2133</v>
      </c>
      <c r="R1891" s="93">
        <f t="shared" si="335"/>
        <v>0</v>
      </c>
      <c r="S1891" s="93">
        <f t="shared" si="336"/>
        <v>2133</v>
      </c>
    </row>
    <row r="1892" spans="2:19" x14ac:dyDescent="0.2">
      <c r="B1892" s="88">
        <f t="shared" si="333"/>
        <v>27</v>
      </c>
      <c r="C1892" s="5"/>
      <c r="D1892" s="15"/>
      <c r="E1892" s="5"/>
      <c r="F1892" s="31"/>
      <c r="G1892" s="5"/>
      <c r="H1892" s="16" t="s">
        <v>325</v>
      </c>
      <c r="I1892" s="25">
        <v>387</v>
      </c>
      <c r="J1892" s="25"/>
      <c r="K1892" s="93">
        <f t="shared" si="337"/>
        <v>387</v>
      </c>
      <c r="L1892" s="267"/>
      <c r="M1892" s="399"/>
      <c r="N1892" s="25"/>
      <c r="O1892" s="93">
        <f t="shared" si="338"/>
        <v>0</v>
      </c>
      <c r="P1892" s="267"/>
      <c r="Q1892" s="328">
        <f t="shared" si="334"/>
        <v>387</v>
      </c>
      <c r="R1892" s="93">
        <f t="shared" si="335"/>
        <v>0</v>
      </c>
      <c r="S1892" s="93">
        <f t="shared" si="336"/>
        <v>387</v>
      </c>
    </row>
    <row r="1893" spans="2:19" x14ac:dyDescent="0.2">
      <c r="B1893" s="88">
        <f t="shared" si="333"/>
        <v>28</v>
      </c>
      <c r="C1893" s="5"/>
      <c r="D1893" s="15"/>
      <c r="E1893" s="5"/>
      <c r="F1893" s="31"/>
      <c r="G1893" s="5"/>
      <c r="H1893" s="16" t="s">
        <v>326</v>
      </c>
      <c r="I1893" s="25">
        <v>2754</v>
      </c>
      <c r="J1893" s="25"/>
      <c r="K1893" s="93">
        <f t="shared" si="337"/>
        <v>2754</v>
      </c>
      <c r="L1893" s="267"/>
      <c r="M1893" s="399"/>
      <c r="N1893" s="25"/>
      <c r="O1893" s="93">
        <f t="shared" si="338"/>
        <v>0</v>
      </c>
      <c r="P1893" s="267"/>
      <c r="Q1893" s="328">
        <f t="shared" si="334"/>
        <v>2754</v>
      </c>
      <c r="R1893" s="93">
        <f t="shared" si="335"/>
        <v>0</v>
      </c>
      <c r="S1893" s="93">
        <f t="shared" si="336"/>
        <v>2754</v>
      </c>
    </row>
    <row r="1894" spans="2:19" x14ac:dyDescent="0.2">
      <c r="B1894" s="88">
        <f t="shared" si="333"/>
        <v>29</v>
      </c>
      <c r="C1894" s="5"/>
      <c r="D1894" s="15"/>
      <c r="E1894" s="5"/>
      <c r="F1894" s="31"/>
      <c r="G1894" s="5"/>
      <c r="H1894" s="16" t="s">
        <v>327</v>
      </c>
      <c r="I1894" s="25">
        <v>558</v>
      </c>
      <c r="J1894" s="25"/>
      <c r="K1894" s="93">
        <f t="shared" si="337"/>
        <v>558</v>
      </c>
      <c r="L1894" s="267"/>
      <c r="M1894" s="399"/>
      <c r="N1894" s="25"/>
      <c r="O1894" s="93">
        <f t="shared" si="338"/>
        <v>0</v>
      </c>
      <c r="P1894" s="267"/>
      <c r="Q1894" s="328">
        <f t="shared" si="334"/>
        <v>558</v>
      </c>
      <c r="R1894" s="93">
        <f t="shared" si="335"/>
        <v>0</v>
      </c>
      <c r="S1894" s="93">
        <f t="shared" si="336"/>
        <v>558</v>
      </c>
    </row>
    <row r="1895" spans="2:19" x14ac:dyDescent="0.2">
      <c r="B1895" s="88">
        <f t="shared" si="333"/>
        <v>30</v>
      </c>
      <c r="C1895" s="5"/>
      <c r="D1895" s="15"/>
      <c r="E1895" s="5"/>
      <c r="F1895" s="31"/>
      <c r="G1895" s="5"/>
      <c r="H1895" s="16" t="s">
        <v>328</v>
      </c>
      <c r="I1895" s="25">
        <v>1719</v>
      </c>
      <c r="J1895" s="25"/>
      <c r="K1895" s="93">
        <f t="shared" si="337"/>
        <v>1719</v>
      </c>
      <c r="L1895" s="267"/>
      <c r="M1895" s="399"/>
      <c r="N1895" s="25"/>
      <c r="O1895" s="93">
        <f t="shared" si="338"/>
        <v>0</v>
      </c>
      <c r="P1895" s="267"/>
      <c r="Q1895" s="328">
        <f t="shared" si="334"/>
        <v>1719</v>
      </c>
      <c r="R1895" s="93">
        <f t="shared" si="335"/>
        <v>0</v>
      </c>
      <c r="S1895" s="93">
        <f t="shared" si="336"/>
        <v>1719</v>
      </c>
    </row>
    <row r="1896" spans="2:19" x14ac:dyDescent="0.2">
      <c r="B1896" s="88">
        <f t="shared" si="333"/>
        <v>31</v>
      </c>
      <c r="C1896" s="5"/>
      <c r="D1896" s="15"/>
      <c r="E1896" s="5"/>
      <c r="F1896" s="31"/>
      <c r="G1896" s="5"/>
      <c r="H1896" s="16" t="s">
        <v>329</v>
      </c>
      <c r="I1896" s="25">
        <v>882</v>
      </c>
      <c r="J1896" s="25"/>
      <c r="K1896" s="93">
        <f t="shared" si="337"/>
        <v>882</v>
      </c>
      <c r="L1896" s="267"/>
      <c r="M1896" s="399"/>
      <c r="N1896" s="25"/>
      <c r="O1896" s="93">
        <f t="shared" si="338"/>
        <v>0</v>
      </c>
      <c r="P1896" s="267"/>
      <c r="Q1896" s="328">
        <f t="shared" si="334"/>
        <v>882</v>
      </c>
      <c r="R1896" s="93">
        <f t="shared" si="335"/>
        <v>0</v>
      </c>
      <c r="S1896" s="93">
        <f t="shared" si="336"/>
        <v>882</v>
      </c>
    </row>
    <row r="1897" spans="2:19" x14ac:dyDescent="0.2">
      <c r="B1897" s="88">
        <f t="shared" si="333"/>
        <v>32</v>
      </c>
      <c r="C1897" s="5"/>
      <c r="D1897" s="15"/>
      <c r="E1897" s="5"/>
      <c r="F1897" s="31"/>
      <c r="G1897" s="5"/>
      <c r="H1897" s="16" t="s">
        <v>581</v>
      </c>
      <c r="I1897" s="25">
        <v>180</v>
      </c>
      <c r="J1897" s="25"/>
      <c r="K1897" s="93">
        <f t="shared" si="337"/>
        <v>180</v>
      </c>
      <c r="L1897" s="267"/>
      <c r="M1897" s="399"/>
      <c r="N1897" s="25"/>
      <c r="O1897" s="93">
        <f t="shared" si="338"/>
        <v>0</v>
      </c>
      <c r="P1897" s="267"/>
      <c r="Q1897" s="328">
        <f t="shared" si="334"/>
        <v>180</v>
      </c>
      <c r="R1897" s="93">
        <f t="shared" si="335"/>
        <v>0</v>
      </c>
      <c r="S1897" s="93">
        <f t="shared" si="336"/>
        <v>180</v>
      </c>
    </row>
    <row r="1898" spans="2:19" ht="15" x14ac:dyDescent="0.2">
      <c r="B1898" s="88">
        <f t="shared" si="333"/>
        <v>33</v>
      </c>
      <c r="C1898" s="242">
        <v>4</v>
      </c>
      <c r="D1898" s="511" t="s">
        <v>476</v>
      </c>
      <c r="E1898" s="509"/>
      <c r="F1898" s="509"/>
      <c r="G1898" s="509"/>
      <c r="H1898" s="510"/>
      <c r="I1898" s="40">
        <f>I1899+I1912</f>
        <v>141082</v>
      </c>
      <c r="J1898" s="40">
        <f>J1899+J1912</f>
        <v>-1304</v>
      </c>
      <c r="K1898" s="89">
        <f t="shared" si="337"/>
        <v>139778</v>
      </c>
      <c r="L1898" s="275"/>
      <c r="M1898" s="395">
        <f>M1899</f>
        <v>10500</v>
      </c>
      <c r="N1898" s="40">
        <f>N1899</f>
        <v>0</v>
      </c>
      <c r="O1898" s="89">
        <f t="shared" si="338"/>
        <v>10500</v>
      </c>
      <c r="P1898" s="275"/>
      <c r="Q1898" s="325">
        <f t="shared" si="334"/>
        <v>151582</v>
      </c>
      <c r="R1898" s="89">
        <f t="shared" si="335"/>
        <v>-1304</v>
      </c>
      <c r="S1898" s="89">
        <f t="shared" si="336"/>
        <v>150278</v>
      </c>
    </row>
    <row r="1899" spans="2:19" ht="15" x14ac:dyDescent="0.25">
      <c r="B1899" s="88">
        <f t="shared" si="333"/>
        <v>34</v>
      </c>
      <c r="C1899" s="243"/>
      <c r="D1899" s="243">
        <v>1</v>
      </c>
      <c r="E1899" s="508" t="s">
        <v>63</v>
      </c>
      <c r="F1899" s="509"/>
      <c r="G1899" s="509"/>
      <c r="H1899" s="510"/>
      <c r="I1899" s="41">
        <f>I1900</f>
        <v>66227</v>
      </c>
      <c r="J1899" s="41">
        <f>J1900</f>
        <v>110</v>
      </c>
      <c r="K1899" s="90">
        <f t="shared" si="337"/>
        <v>66337</v>
      </c>
      <c r="L1899" s="391"/>
      <c r="M1899" s="401">
        <f>M1900</f>
        <v>10500</v>
      </c>
      <c r="N1899" s="41">
        <f>N1900</f>
        <v>0</v>
      </c>
      <c r="O1899" s="90">
        <f t="shared" si="338"/>
        <v>10500</v>
      </c>
      <c r="P1899" s="320"/>
      <c r="Q1899" s="330">
        <f t="shared" si="334"/>
        <v>76727</v>
      </c>
      <c r="R1899" s="90">
        <f t="shared" si="335"/>
        <v>110</v>
      </c>
      <c r="S1899" s="90">
        <f t="shared" si="336"/>
        <v>76837</v>
      </c>
    </row>
    <row r="1900" spans="2:19" ht="15" x14ac:dyDescent="0.25">
      <c r="B1900" s="88">
        <f t="shared" si="333"/>
        <v>35</v>
      </c>
      <c r="C1900" s="13"/>
      <c r="D1900" s="13"/>
      <c r="E1900" s="13">
        <v>5</v>
      </c>
      <c r="F1900" s="32"/>
      <c r="G1900" s="13"/>
      <c r="H1900" s="13" t="s">
        <v>116</v>
      </c>
      <c r="I1900" s="42">
        <f>I1901+I1902+I1903+I1908</f>
        <v>66227</v>
      </c>
      <c r="J1900" s="42">
        <f>J1901+J1902+J1903+J1908</f>
        <v>110</v>
      </c>
      <c r="K1900" s="99">
        <f t="shared" si="337"/>
        <v>66337</v>
      </c>
      <c r="M1900" s="396">
        <f>M1909</f>
        <v>10500</v>
      </c>
      <c r="N1900" s="42">
        <f>N1909</f>
        <v>0</v>
      </c>
      <c r="O1900" s="99">
        <f t="shared" si="338"/>
        <v>10500</v>
      </c>
      <c r="Q1900" s="326">
        <f t="shared" si="334"/>
        <v>76727</v>
      </c>
      <c r="R1900" s="99">
        <f t="shared" si="335"/>
        <v>110</v>
      </c>
      <c r="S1900" s="99">
        <f t="shared" si="336"/>
        <v>76837</v>
      </c>
    </row>
    <row r="1901" spans="2:19" x14ac:dyDescent="0.2">
      <c r="B1901" s="88">
        <f t="shared" si="333"/>
        <v>36</v>
      </c>
      <c r="C1901" s="10"/>
      <c r="D1901" s="10"/>
      <c r="E1901" s="10"/>
      <c r="F1901" s="29" t="s">
        <v>58</v>
      </c>
      <c r="G1901" s="10">
        <v>610</v>
      </c>
      <c r="H1901" s="10" t="s">
        <v>143</v>
      </c>
      <c r="I1901" s="27">
        <v>32213</v>
      </c>
      <c r="J1901" s="27"/>
      <c r="K1901" s="91">
        <f t="shared" si="337"/>
        <v>32213</v>
      </c>
      <c r="M1901" s="397"/>
      <c r="N1901" s="27"/>
      <c r="O1901" s="91">
        <f t="shared" si="338"/>
        <v>0</v>
      </c>
      <c r="Q1901" s="327">
        <f t="shared" si="334"/>
        <v>32213</v>
      </c>
      <c r="R1901" s="91">
        <f t="shared" si="335"/>
        <v>0</v>
      </c>
      <c r="S1901" s="91">
        <f t="shared" si="336"/>
        <v>32213</v>
      </c>
    </row>
    <row r="1902" spans="2:19" x14ac:dyDescent="0.2">
      <c r="B1902" s="88">
        <f t="shared" si="333"/>
        <v>37</v>
      </c>
      <c r="C1902" s="10"/>
      <c r="D1902" s="10"/>
      <c r="E1902" s="10"/>
      <c r="F1902" s="29" t="s">
        <v>58</v>
      </c>
      <c r="G1902" s="10">
        <v>620</v>
      </c>
      <c r="H1902" s="10" t="s">
        <v>136</v>
      </c>
      <c r="I1902" s="27">
        <v>11936</v>
      </c>
      <c r="J1902" s="27"/>
      <c r="K1902" s="91">
        <f t="shared" si="337"/>
        <v>11936</v>
      </c>
      <c r="M1902" s="397"/>
      <c r="N1902" s="27"/>
      <c r="O1902" s="91">
        <f t="shared" si="338"/>
        <v>0</v>
      </c>
      <c r="Q1902" s="327">
        <f t="shared" si="334"/>
        <v>11936</v>
      </c>
      <c r="R1902" s="91">
        <f t="shared" si="335"/>
        <v>0</v>
      </c>
      <c r="S1902" s="91">
        <f t="shared" si="336"/>
        <v>11936</v>
      </c>
    </row>
    <row r="1903" spans="2:19" x14ac:dyDescent="0.2">
      <c r="B1903" s="88">
        <f t="shared" si="333"/>
        <v>38</v>
      </c>
      <c r="C1903" s="10"/>
      <c r="D1903" s="10"/>
      <c r="E1903" s="10"/>
      <c r="F1903" s="29" t="s">
        <v>58</v>
      </c>
      <c r="G1903" s="10">
        <v>630</v>
      </c>
      <c r="H1903" s="10" t="s">
        <v>133</v>
      </c>
      <c r="I1903" s="27">
        <f>I1907+I1906+I1905+I1904</f>
        <v>22078</v>
      </c>
      <c r="J1903" s="27">
        <f>J1907+J1906+J1905+J1904</f>
        <v>0</v>
      </c>
      <c r="K1903" s="91">
        <f t="shared" si="337"/>
        <v>22078</v>
      </c>
      <c r="M1903" s="397"/>
      <c r="N1903" s="27"/>
      <c r="O1903" s="91">
        <f t="shared" si="338"/>
        <v>0</v>
      </c>
      <c r="Q1903" s="327">
        <f t="shared" si="334"/>
        <v>22078</v>
      </c>
      <c r="R1903" s="91">
        <f t="shared" si="335"/>
        <v>0</v>
      </c>
      <c r="S1903" s="91">
        <f t="shared" si="336"/>
        <v>22078</v>
      </c>
    </row>
    <row r="1904" spans="2:19" x14ac:dyDescent="0.2">
      <c r="B1904" s="88">
        <f t="shared" si="333"/>
        <v>39</v>
      </c>
      <c r="C1904" s="4"/>
      <c r="D1904" s="4"/>
      <c r="E1904" s="4"/>
      <c r="F1904" s="30" t="s">
        <v>58</v>
      </c>
      <c r="G1904" s="4">
        <v>632</v>
      </c>
      <c r="H1904" s="4" t="s">
        <v>146</v>
      </c>
      <c r="I1904" s="23">
        <v>6985</v>
      </c>
      <c r="J1904" s="23"/>
      <c r="K1904" s="92">
        <f t="shared" si="337"/>
        <v>6985</v>
      </c>
      <c r="M1904" s="398"/>
      <c r="N1904" s="23"/>
      <c r="O1904" s="92">
        <f t="shared" si="338"/>
        <v>0</v>
      </c>
      <c r="Q1904" s="314">
        <f t="shared" si="334"/>
        <v>6985</v>
      </c>
      <c r="R1904" s="92">
        <f t="shared" si="335"/>
        <v>0</v>
      </c>
      <c r="S1904" s="92">
        <f t="shared" si="336"/>
        <v>6985</v>
      </c>
    </row>
    <row r="1905" spans="2:19" x14ac:dyDescent="0.2">
      <c r="B1905" s="88">
        <f t="shared" si="333"/>
        <v>40</v>
      </c>
      <c r="C1905" s="4"/>
      <c r="D1905" s="4"/>
      <c r="E1905" s="4"/>
      <c r="F1905" s="30" t="s">
        <v>58</v>
      </c>
      <c r="G1905" s="4">
        <v>633</v>
      </c>
      <c r="H1905" s="4" t="s">
        <v>137</v>
      </c>
      <c r="I1905" s="23">
        <f>730+400</f>
        <v>1130</v>
      </c>
      <c r="J1905" s="23"/>
      <c r="K1905" s="92">
        <f t="shared" si="337"/>
        <v>1130</v>
      </c>
      <c r="M1905" s="398"/>
      <c r="N1905" s="23"/>
      <c r="O1905" s="92">
        <f t="shared" si="338"/>
        <v>0</v>
      </c>
      <c r="Q1905" s="314">
        <f t="shared" si="334"/>
        <v>1130</v>
      </c>
      <c r="R1905" s="92">
        <f t="shared" si="335"/>
        <v>0</v>
      </c>
      <c r="S1905" s="92">
        <f t="shared" si="336"/>
        <v>1130</v>
      </c>
    </row>
    <row r="1906" spans="2:19" x14ac:dyDescent="0.2">
      <c r="B1906" s="88">
        <f t="shared" si="333"/>
        <v>41</v>
      </c>
      <c r="C1906" s="4"/>
      <c r="D1906" s="4"/>
      <c r="E1906" s="4"/>
      <c r="F1906" s="30" t="s">
        <v>58</v>
      </c>
      <c r="G1906" s="4">
        <v>635</v>
      </c>
      <c r="H1906" s="4" t="s">
        <v>145</v>
      </c>
      <c r="I1906" s="23">
        <f>1750+5000</f>
        <v>6750</v>
      </c>
      <c r="J1906" s="23"/>
      <c r="K1906" s="92">
        <f t="shared" si="337"/>
        <v>6750</v>
      </c>
      <c r="M1906" s="398"/>
      <c r="N1906" s="23"/>
      <c r="O1906" s="92">
        <f t="shared" si="338"/>
        <v>0</v>
      </c>
      <c r="Q1906" s="314">
        <f t="shared" si="334"/>
        <v>6750</v>
      </c>
      <c r="R1906" s="92">
        <f t="shared" si="335"/>
        <v>0</v>
      </c>
      <c r="S1906" s="92">
        <f t="shared" si="336"/>
        <v>6750</v>
      </c>
    </row>
    <row r="1907" spans="2:19" x14ac:dyDescent="0.2">
      <c r="B1907" s="88">
        <f t="shared" si="333"/>
        <v>42</v>
      </c>
      <c r="C1907" s="4"/>
      <c r="D1907" s="4"/>
      <c r="E1907" s="4"/>
      <c r="F1907" s="30" t="s">
        <v>58</v>
      </c>
      <c r="G1907" s="4">
        <v>637</v>
      </c>
      <c r="H1907" s="4" t="s">
        <v>134</v>
      </c>
      <c r="I1907" s="23">
        <v>7213</v>
      </c>
      <c r="J1907" s="23"/>
      <c r="K1907" s="92">
        <f t="shared" si="337"/>
        <v>7213</v>
      </c>
      <c r="M1907" s="398"/>
      <c r="N1907" s="23"/>
      <c r="O1907" s="92">
        <f t="shared" si="338"/>
        <v>0</v>
      </c>
      <c r="Q1907" s="314">
        <f t="shared" si="334"/>
        <v>7213</v>
      </c>
      <c r="R1907" s="92">
        <f t="shared" si="335"/>
        <v>0</v>
      </c>
      <c r="S1907" s="92">
        <f t="shared" si="336"/>
        <v>7213</v>
      </c>
    </row>
    <row r="1908" spans="2:19" x14ac:dyDescent="0.2">
      <c r="B1908" s="88">
        <f t="shared" si="333"/>
        <v>43</v>
      </c>
      <c r="C1908" s="4"/>
      <c r="D1908" s="4"/>
      <c r="E1908" s="136"/>
      <c r="F1908" s="29" t="s">
        <v>58</v>
      </c>
      <c r="G1908" s="10">
        <v>640</v>
      </c>
      <c r="H1908" s="10" t="s">
        <v>141</v>
      </c>
      <c r="I1908" s="27">
        <f>I1909</f>
        <v>0</v>
      </c>
      <c r="J1908" s="27">
        <v>110</v>
      </c>
      <c r="K1908" s="91">
        <f t="shared" ref="K1908" si="340">I1908+J1908</f>
        <v>110</v>
      </c>
      <c r="M1908" s="397"/>
      <c r="N1908" s="27"/>
      <c r="O1908" s="91">
        <f t="shared" ref="O1908" si="341">M1908+N1908</f>
        <v>0</v>
      </c>
      <c r="Q1908" s="327">
        <f t="shared" ref="Q1908" si="342">I1908+M1908</f>
        <v>0</v>
      </c>
      <c r="R1908" s="91">
        <f t="shared" ref="R1908" si="343">J1908+N1908</f>
        <v>110</v>
      </c>
      <c r="S1908" s="91">
        <f t="shared" ref="S1908" si="344">K1908+O1908</f>
        <v>110</v>
      </c>
    </row>
    <row r="1909" spans="2:19" x14ac:dyDescent="0.2">
      <c r="B1909" s="88">
        <f t="shared" si="333"/>
        <v>44</v>
      </c>
      <c r="C1909" s="4"/>
      <c r="D1909" s="4"/>
      <c r="E1909" s="136"/>
      <c r="F1909" s="29" t="s">
        <v>58</v>
      </c>
      <c r="G1909" s="10">
        <v>710</v>
      </c>
      <c r="H1909" s="10" t="s">
        <v>188</v>
      </c>
      <c r="I1909" s="27"/>
      <c r="J1909" s="27"/>
      <c r="K1909" s="91">
        <f t="shared" si="337"/>
        <v>0</v>
      </c>
      <c r="M1909" s="397">
        <f>M1912+M1910</f>
        <v>10500</v>
      </c>
      <c r="N1909" s="27">
        <f>N1912+N1910</f>
        <v>0</v>
      </c>
      <c r="O1909" s="91">
        <f t="shared" si="338"/>
        <v>10500</v>
      </c>
      <c r="Q1909" s="327">
        <f t="shared" si="334"/>
        <v>10500</v>
      </c>
      <c r="R1909" s="91">
        <f t="shared" si="335"/>
        <v>0</v>
      </c>
      <c r="S1909" s="91">
        <f t="shared" si="336"/>
        <v>10500</v>
      </c>
    </row>
    <row r="1910" spans="2:19" x14ac:dyDescent="0.2">
      <c r="B1910" s="88">
        <f t="shared" si="333"/>
        <v>45</v>
      </c>
      <c r="C1910" s="4"/>
      <c r="D1910" s="4"/>
      <c r="E1910" s="136"/>
      <c r="F1910" s="30" t="s">
        <v>58</v>
      </c>
      <c r="G1910" s="4">
        <v>716</v>
      </c>
      <c r="H1910" s="4" t="s">
        <v>232</v>
      </c>
      <c r="I1910" s="23"/>
      <c r="J1910" s="23"/>
      <c r="K1910" s="92">
        <f t="shared" si="337"/>
        <v>0</v>
      </c>
      <c r="M1910" s="398">
        <f>M1911</f>
        <v>10500</v>
      </c>
      <c r="N1910" s="23">
        <f>N1911</f>
        <v>0</v>
      </c>
      <c r="O1910" s="220">
        <f t="shared" si="338"/>
        <v>10500</v>
      </c>
      <c r="P1910" s="321"/>
      <c r="Q1910" s="314">
        <f t="shared" si="334"/>
        <v>10500</v>
      </c>
      <c r="R1910" s="92">
        <f t="shared" si="335"/>
        <v>0</v>
      </c>
      <c r="S1910" s="92">
        <f t="shared" si="336"/>
        <v>10500</v>
      </c>
    </row>
    <row r="1911" spans="2:19" x14ac:dyDescent="0.2">
      <c r="B1911" s="88">
        <f t="shared" si="333"/>
        <v>46</v>
      </c>
      <c r="C1911" s="4"/>
      <c r="D1911" s="4"/>
      <c r="E1911" s="136"/>
      <c r="F1911" s="35"/>
      <c r="G1911" s="5"/>
      <c r="H1911" s="16" t="s">
        <v>630</v>
      </c>
      <c r="I1911" s="25"/>
      <c r="J1911" s="25"/>
      <c r="K1911" s="93">
        <f t="shared" si="337"/>
        <v>0</v>
      </c>
      <c r="M1911" s="399">
        <f>10000+500</f>
        <v>10500</v>
      </c>
      <c r="N1911" s="25"/>
      <c r="O1911" s="251">
        <f t="shared" si="338"/>
        <v>10500</v>
      </c>
      <c r="P1911" s="321"/>
      <c r="Q1911" s="328">
        <f t="shared" si="334"/>
        <v>10500</v>
      </c>
      <c r="R1911" s="93">
        <f t="shared" si="335"/>
        <v>0</v>
      </c>
      <c r="S1911" s="93">
        <f t="shared" si="336"/>
        <v>10500</v>
      </c>
    </row>
    <row r="1912" spans="2:19" ht="15" x14ac:dyDescent="0.25">
      <c r="B1912" s="88">
        <f t="shared" si="333"/>
        <v>47</v>
      </c>
      <c r="C1912" s="243"/>
      <c r="D1912" s="243">
        <v>2</v>
      </c>
      <c r="E1912" s="508" t="s">
        <v>301</v>
      </c>
      <c r="F1912" s="509"/>
      <c r="G1912" s="509"/>
      <c r="H1912" s="510"/>
      <c r="I1912" s="41">
        <f>I1913</f>
        <v>74855</v>
      </c>
      <c r="J1912" s="41">
        <f>J1913</f>
        <v>-1414</v>
      </c>
      <c r="K1912" s="90">
        <f t="shared" si="337"/>
        <v>73441</v>
      </c>
      <c r="M1912" s="401">
        <v>0</v>
      </c>
      <c r="N1912" s="41">
        <v>0</v>
      </c>
      <c r="O1912" s="249">
        <f t="shared" si="338"/>
        <v>0</v>
      </c>
      <c r="P1912" s="321"/>
      <c r="Q1912" s="330">
        <f t="shared" si="334"/>
        <v>74855</v>
      </c>
      <c r="R1912" s="90">
        <f t="shared" si="335"/>
        <v>-1414</v>
      </c>
      <c r="S1912" s="90">
        <f t="shared" si="336"/>
        <v>73441</v>
      </c>
    </row>
    <row r="1913" spans="2:19" ht="15" x14ac:dyDescent="0.25">
      <c r="B1913" s="88">
        <f t="shared" si="333"/>
        <v>48</v>
      </c>
      <c r="C1913" s="13"/>
      <c r="D1913" s="13"/>
      <c r="E1913" s="13">
        <v>5</v>
      </c>
      <c r="F1913" s="32"/>
      <c r="G1913" s="13"/>
      <c r="H1913" s="13" t="s">
        <v>116</v>
      </c>
      <c r="I1913" s="42">
        <f>I1914+I1915+I1916</f>
        <v>74855</v>
      </c>
      <c r="J1913" s="42">
        <f>J1914+J1915+J1916</f>
        <v>-1414</v>
      </c>
      <c r="K1913" s="99">
        <f t="shared" si="337"/>
        <v>73441</v>
      </c>
      <c r="M1913" s="396"/>
      <c r="N1913" s="42"/>
      <c r="O1913" s="255">
        <f t="shared" si="338"/>
        <v>0</v>
      </c>
      <c r="P1913" s="321"/>
      <c r="Q1913" s="326">
        <f t="shared" si="334"/>
        <v>74855</v>
      </c>
      <c r="R1913" s="99">
        <f t="shared" si="335"/>
        <v>-1414</v>
      </c>
      <c r="S1913" s="99">
        <f t="shared" si="336"/>
        <v>73441</v>
      </c>
    </row>
    <row r="1914" spans="2:19" x14ac:dyDescent="0.2">
      <c r="B1914" s="88">
        <f t="shared" si="333"/>
        <v>49</v>
      </c>
      <c r="C1914" s="10"/>
      <c r="D1914" s="10"/>
      <c r="E1914" s="10"/>
      <c r="F1914" s="29" t="s">
        <v>58</v>
      </c>
      <c r="G1914" s="10">
        <v>610</v>
      </c>
      <c r="H1914" s="10" t="s">
        <v>143</v>
      </c>
      <c r="I1914" s="27">
        <v>40444</v>
      </c>
      <c r="J1914" s="27">
        <v>-1414</v>
      </c>
      <c r="K1914" s="91">
        <f t="shared" si="337"/>
        <v>39030</v>
      </c>
      <c r="M1914" s="397"/>
      <c r="N1914" s="27"/>
      <c r="O1914" s="250">
        <f t="shared" si="338"/>
        <v>0</v>
      </c>
      <c r="P1914" s="321"/>
      <c r="Q1914" s="327">
        <f t="shared" si="334"/>
        <v>40444</v>
      </c>
      <c r="R1914" s="91">
        <f t="shared" si="335"/>
        <v>-1414</v>
      </c>
      <c r="S1914" s="91">
        <f t="shared" si="336"/>
        <v>39030</v>
      </c>
    </row>
    <row r="1915" spans="2:19" x14ac:dyDescent="0.2">
      <c r="B1915" s="88">
        <f t="shared" si="333"/>
        <v>50</v>
      </c>
      <c r="C1915" s="10"/>
      <c r="D1915" s="10"/>
      <c r="E1915" s="10"/>
      <c r="F1915" s="29" t="s">
        <v>58</v>
      </c>
      <c r="G1915" s="10">
        <v>620</v>
      </c>
      <c r="H1915" s="10" t="s">
        <v>136</v>
      </c>
      <c r="I1915" s="27">
        <v>15209</v>
      </c>
      <c r="J1915" s="27"/>
      <c r="K1915" s="91">
        <f t="shared" si="337"/>
        <v>15209</v>
      </c>
      <c r="M1915" s="397"/>
      <c r="N1915" s="27"/>
      <c r="O1915" s="250">
        <f t="shared" si="338"/>
        <v>0</v>
      </c>
      <c r="P1915" s="321"/>
      <c r="Q1915" s="327">
        <f t="shared" si="334"/>
        <v>15209</v>
      </c>
      <c r="R1915" s="91">
        <f t="shared" si="335"/>
        <v>0</v>
      </c>
      <c r="S1915" s="91">
        <f t="shared" si="336"/>
        <v>15209</v>
      </c>
    </row>
    <row r="1916" spans="2:19" x14ac:dyDescent="0.2">
      <c r="B1916" s="88">
        <f t="shared" si="333"/>
        <v>51</v>
      </c>
      <c r="C1916" s="10"/>
      <c r="D1916" s="10"/>
      <c r="E1916" s="10"/>
      <c r="F1916" s="29" t="s">
        <v>58</v>
      </c>
      <c r="G1916" s="10">
        <v>630</v>
      </c>
      <c r="H1916" s="10" t="s">
        <v>133</v>
      </c>
      <c r="I1916" s="27">
        <f>I1921+I1920+I1919+I1918+I1917</f>
        <v>19202</v>
      </c>
      <c r="J1916" s="27">
        <f>J1921+J1920+J1919+J1918+J1917</f>
        <v>0</v>
      </c>
      <c r="K1916" s="91">
        <f t="shared" si="337"/>
        <v>19202</v>
      </c>
      <c r="M1916" s="397"/>
      <c r="N1916" s="27"/>
      <c r="O1916" s="250">
        <f t="shared" si="338"/>
        <v>0</v>
      </c>
      <c r="P1916" s="321"/>
      <c r="Q1916" s="327">
        <f t="shared" si="334"/>
        <v>19202</v>
      </c>
      <c r="R1916" s="91">
        <f t="shared" si="335"/>
        <v>0</v>
      </c>
      <c r="S1916" s="91">
        <f t="shared" si="336"/>
        <v>19202</v>
      </c>
    </row>
    <row r="1917" spans="2:19" x14ac:dyDescent="0.2">
      <c r="B1917" s="88">
        <f t="shared" si="333"/>
        <v>52</v>
      </c>
      <c r="C1917" s="4"/>
      <c r="D1917" s="4"/>
      <c r="E1917" s="4"/>
      <c r="F1917" s="30" t="s">
        <v>58</v>
      </c>
      <c r="G1917" s="4">
        <v>631</v>
      </c>
      <c r="H1917" s="4" t="s">
        <v>139</v>
      </c>
      <c r="I1917" s="23">
        <v>102</v>
      </c>
      <c r="J1917" s="23"/>
      <c r="K1917" s="92">
        <f t="shared" si="337"/>
        <v>102</v>
      </c>
      <c r="M1917" s="398"/>
      <c r="N1917" s="23"/>
      <c r="O1917" s="220">
        <f t="shared" si="338"/>
        <v>0</v>
      </c>
      <c r="P1917" s="321"/>
      <c r="Q1917" s="314">
        <f t="shared" si="334"/>
        <v>102</v>
      </c>
      <c r="R1917" s="92">
        <f t="shared" si="335"/>
        <v>0</v>
      </c>
      <c r="S1917" s="92">
        <f t="shared" si="336"/>
        <v>102</v>
      </c>
    </row>
    <row r="1918" spans="2:19" x14ac:dyDescent="0.2">
      <c r="B1918" s="88">
        <f t="shared" si="333"/>
        <v>53</v>
      </c>
      <c r="C1918" s="4"/>
      <c r="D1918" s="4"/>
      <c r="E1918" s="4"/>
      <c r="F1918" s="30" t="s">
        <v>58</v>
      </c>
      <c r="G1918" s="4">
        <v>632</v>
      </c>
      <c r="H1918" s="4" t="s">
        <v>146</v>
      </c>
      <c r="I1918" s="23">
        <v>6518</v>
      </c>
      <c r="J1918" s="23"/>
      <c r="K1918" s="92">
        <f t="shared" si="337"/>
        <v>6518</v>
      </c>
      <c r="M1918" s="398"/>
      <c r="N1918" s="23"/>
      <c r="O1918" s="220">
        <f t="shared" si="338"/>
        <v>0</v>
      </c>
      <c r="P1918" s="321"/>
      <c r="Q1918" s="314">
        <f t="shared" si="334"/>
        <v>6518</v>
      </c>
      <c r="R1918" s="92">
        <f t="shared" si="335"/>
        <v>0</v>
      </c>
      <c r="S1918" s="92">
        <f t="shared" si="336"/>
        <v>6518</v>
      </c>
    </row>
    <row r="1919" spans="2:19" x14ac:dyDescent="0.2">
      <c r="B1919" s="88">
        <f t="shared" si="333"/>
        <v>54</v>
      </c>
      <c r="C1919" s="4"/>
      <c r="D1919" s="4"/>
      <c r="E1919" s="4"/>
      <c r="F1919" s="30" t="s">
        <v>58</v>
      </c>
      <c r="G1919" s="4">
        <v>633</v>
      </c>
      <c r="H1919" s="4" t="s">
        <v>137</v>
      </c>
      <c r="I1919" s="23">
        <v>1085</v>
      </c>
      <c r="J1919" s="23"/>
      <c r="K1919" s="92">
        <f t="shared" si="337"/>
        <v>1085</v>
      </c>
      <c r="M1919" s="398"/>
      <c r="N1919" s="23"/>
      <c r="O1919" s="220">
        <f t="shared" si="338"/>
        <v>0</v>
      </c>
      <c r="P1919" s="321"/>
      <c r="Q1919" s="314">
        <f t="shared" si="334"/>
        <v>1085</v>
      </c>
      <c r="R1919" s="92">
        <f t="shared" si="335"/>
        <v>0</v>
      </c>
      <c r="S1919" s="92">
        <f t="shared" si="336"/>
        <v>1085</v>
      </c>
    </row>
    <row r="1920" spans="2:19" x14ac:dyDescent="0.2">
      <c r="B1920" s="88">
        <f t="shared" si="333"/>
        <v>55</v>
      </c>
      <c r="C1920" s="4"/>
      <c r="D1920" s="4"/>
      <c r="E1920" s="4"/>
      <c r="F1920" s="30" t="s">
        <v>58</v>
      </c>
      <c r="G1920" s="4">
        <v>635</v>
      </c>
      <c r="H1920" s="4" t="s">
        <v>145</v>
      </c>
      <c r="I1920" s="23">
        <f>1100+1673</f>
        <v>2773</v>
      </c>
      <c r="J1920" s="23"/>
      <c r="K1920" s="92">
        <f t="shared" si="337"/>
        <v>2773</v>
      </c>
      <c r="M1920" s="398"/>
      <c r="N1920" s="23"/>
      <c r="O1920" s="220">
        <f t="shared" si="338"/>
        <v>0</v>
      </c>
      <c r="P1920" s="321"/>
      <c r="Q1920" s="314">
        <f t="shared" si="334"/>
        <v>2773</v>
      </c>
      <c r="R1920" s="92">
        <f t="shared" si="335"/>
        <v>0</v>
      </c>
      <c r="S1920" s="92">
        <f t="shared" si="336"/>
        <v>2773</v>
      </c>
    </row>
    <row r="1921" spans="2:19" x14ac:dyDescent="0.2">
      <c r="B1921" s="88">
        <f t="shared" si="333"/>
        <v>56</v>
      </c>
      <c r="C1921" s="4"/>
      <c r="D1921" s="4"/>
      <c r="E1921" s="4"/>
      <c r="F1921" s="30" t="s">
        <v>58</v>
      </c>
      <c r="G1921" s="4">
        <v>637</v>
      </c>
      <c r="H1921" s="4" t="s">
        <v>134</v>
      </c>
      <c r="I1921" s="23">
        <v>8724</v>
      </c>
      <c r="J1921" s="23"/>
      <c r="K1921" s="92">
        <f t="shared" si="337"/>
        <v>8724</v>
      </c>
      <c r="M1921" s="398"/>
      <c r="N1921" s="23"/>
      <c r="O1921" s="220">
        <f t="shared" si="338"/>
        <v>0</v>
      </c>
      <c r="P1921" s="321"/>
      <c r="Q1921" s="314">
        <f t="shared" si="334"/>
        <v>8724</v>
      </c>
      <c r="R1921" s="92">
        <f t="shared" si="335"/>
        <v>0</v>
      </c>
      <c r="S1921" s="92">
        <f t="shared" si="336"/>
        <v>8724</v>
      </c>
    </row>
    <row r="1922" spans="2:19" ht="15" x14ac:dyDescent="0.2">
      <c r="B1922" s="88">
        <f t="shared" si="333"/>
        <v>57</v>
      </c>
      <c r="C1922" s="242">
        <v>5</v>
      </c>
      <c r="D1922" s="511" t="s">
        <v>191</v>
      </c>
      <c r="E1922" s="509"/>
      <c r="F1922" s="509"/>
      <c r="G1922" s="509"/>
      <c r="H1922" s="510"/>
      <c r="I1922" s="40">
        <f>I1945+I1933+I1923</f>
        <v>620548</v>
      </c>
      <c r="J1922" s="40">
        <f>J1945+J1933+J1923</f>
        <v>7207</v>
      </c>
      <c r="K1922" s="40">
        <f t="shared" si="337"/>
        <v>627755</v>
      </c>
      <c r="L1922" s="321"/>
      <c r="M1922" s="395">
        <v>0</v>
      </c>
      <c r="N1922" s="40">
        <v>0</v>
      </c>
      <c r="O1922" s="248">
        <f t="shared" si="338"/>
        <v>0</v>
      </c>
      <c r="P1922" s="321"/>
      <c r="Q1922" s="325">
        <f t="shared" si="334"/>
        <v>620548</v>
      </c>
      <c r="R1922" s="89">
        <f t="shared" si="335"/>
        <v>7207</v>
      </c>
      <c r="S1922" s="89">
        <f t="shared" si="336"/>
        <v>627755</v>
      </c>
    </row>
    <row r="1923" spans="2:19" ht="15" x14ac:dyDescent="0.25">
      <c r="B1923" s="88">
        <f t="shared" si="333"/>
        <v>58</v>
      </c>
      <c r="C1923" s="243"/>
      <c r="D1923" s="243">
        <v>1</v>
      </c>
      <c r="E1923" s="508" t="s">
        <v>190</v>
      </c>
      <c r="F1923" s="509"/>
      <c r="G1923" s="509"/>
      <c r="H1923" s="510"/>
      <c r="I1923" s="41">
        <f>I1924+I1928</f>
        <v>8891</v>
      </c>
      <c r="J1923" s="41">
        <f>J1924+J1928</f>
        <v>0</v>
      </c>
      <c r="K1923" s="41">
        <f t="shared" si="337"/>
        <v>8891</v>
      </c>
      <c r="L1923" s="321"/>
      <c r="M1923" s="401"/>
      <c r="N1923" s="41"/>
      <c r="O1923" s="249">
        <f t="shared" si="338"/>
        <v>0</v>
      </c>
      <c r="P1923" s="321"/>
      <c r="Q1923" s="330">
        <f t="shared" si="334"/>
        <v>8891</v>
      </c>
      <c r="R1923" s="90">
        <f t="shared" si="335"/>
        <v>0</v>
      </c>
      <c r="S1923" s="90">
        <f t="shared" si="336"/>
        <v>8891</v>
      </c>
    </row>
    <row r="1924" spans="2:19" x14ac:dyDescent="0.2">
      <c r="B1924" s="88">
        <f t="shared" si="333"/>
        <v>59</v>
      </c>
      <c r="C1924" s="10"/>
      <c r="D1924" s="10"/>
      <c r="E1924" s="10"/>
      <c r="F1924" s="29" t="s">
        <v>85</v>
      </c>
      <c r="G1924" s="10">
        <v>630</v>
      </c>
      <c r="H1924" s="10" t="s">
        <v>133</v>
      </c>
      <c r="I1924" s="27">
        <f>SUM(I1925:I1927)</f>
        <v>6661</v>
      </c>
      <c r="J1924" s="27">
        <f>SUM(J1925:J1927)</f>
        <v>0</v>
      </c>
      <c r="K1924" s="27">
        <f t="shared" si="337"/>
        <v>6661</v>
      </c>
      <c r="L1924" s="322"/>
      <c r="M1924" s="397"/>
      <c r="N1924" s="27"/>
      <c r="O1924" s="250">
        <f t="shared" si="338"/>
        <v>0</v>
      </c>
      <c r="P1924" s="322"/>
      <c r="Q1924" s="327">
        <f t="shared" si="334"/>
        <v>6661</v>
      </c>
      <c r="R1924" s="91">
        <f t="shared" si="335"/>
        <v>0</v>
      </c>
      <c r="S1924" s="91">
        <f t="shared" si="336"/>
        <v>6661</v>
      </c>
    </row>
    <row r="1925" spans="2:19" x14ac:dyDescent="0.2">
      <c r="B1925" s="88">
        <f t="shared" si="333"/>
        <v>60</v>
      </c>
      <c r="C1925" s="4"/>
      <c r="D1925" s="4"/>
      <c r="E1925" s="4"/>
      <c r="F1925" s="30" t="s">
        <v>85</v>
      </c>
      <c r="G1925" s="4">
        <v>633</v>
      </c>
      <c r="H1925" s="4" t="s">
        <v>137</v>
      </c>
      <c r="I1925" s="23">
        <f>3183+500-280</f>
        <v>3403</v>
      </c>
      <c r="J1925" s="23"/>
      <c r="K1925" s="23">
        <f t="shared" si="337"/>
        <v>3403</v>
      </c>
      <c r="L1925" s="322"/>
      <c r="M1925" s="398"/>
      <c r="N1925" s="23"/>
      <c r="O1925" s="220">
        <f t="shared" si="338"/>
        <v>0</v>
      </c>
      <c r="P1925" s="262"/>
      <c r="Q1925" s="314">
        <f t="shared" si="334"/>
        <v>3403</v>
      </c>
      <c r="R1925" s="92">
        <f t="shared" si="335"/>
        <v>0</v>
      </c>
      <c r="S1925" s="92">
        <f t="shared" si="336"/>
        <v>3403</v>
      </c>
    </row>
    <row r="1926" spans="2:19" x14ac:dyDescent="0.2">
      <c r="B1926" s="88">
        <f t="shared" si="333"/>
        <v>61</v>
      </c>
      <c r="C1926" s="4"/>
      <c r="D1926" s="4"/>
      <c r="E1926" s="4"/>
      <c r="F1926" s="30" t="s">
        <v>85</v>
      </c>
      <c r="G1926" s="4">
        <v>634</v>
      </c>
      <c r="H1926" s="4" t="s">
        <v>144</v>
      </c>
      <c r="I1926" s="23">
        <f>350+280</f>
        <v>630</v>
      </c>
      <c r="J1926" s="23"/>
      <c r="K1926" s="23">
        <f t="shared" si="337"/>
        <v>630</v>
      </c>
      <c r="L1926" s="321"/>
      <c r="M1926" s="398"/>
      <c r="N1926" s="23"/>
      <c r="O1926" s="220">
        <f t="shared" si="338"/>
        <v>0</v>
      </c>
      <c r="P1926" s="321"/>
      <c r="Q1926" s="314">
        <f t="shared" si="334"/>
        <v>630</v>
      </c>
      <c r="R1926" s="92">
        <f t="shared" si="335"/>
        <v>0</v>
      </c>
      <c r="S1926" s="92">
        <f t="shared" si="336"/>
        <v>630</v>
      </c>
    </row>
    <row r="1927" spans="2:19" x14ac:dyDescent="0.2">
      <c r="B1927" s="88">
        <f t="shared" si="333"/>
        <v>62</v>
      </c>
      <c r="C1927" s="4"/>
      <c r="D1927" s="4"/>
      <c r="E1927" s="4"/>
      <c r="F1927" s="30" t="s">
        <v>85</v>
      </c>
      <c r="G1927" s="4">
        <v>637</v>
      </c>
      <c r="H1927" s="4" t="s">
        <v>134</v>
      </c>
      <c r="I1927" s="23">
        <v>2628</v>
      </c>
      <c r="J1927" s="23"/>
      <c r="K1927" s="23">
        <f t="shared" si="337"/>
        <v>2628</v>
      </c>
      <c r="L1927" s="321"/>
      <c r="M1927" s="398"/>
      <c r="N1927" s="23"/>
      <c r="O1927" s="220">
        <f t="shared" si="338"/>
        <v>0</v>
      </c>
      <c r="P1927" s="321"/>
      <c r="Q1927" s="314">
        <f t="shared" si="334"/>
        <v>2628</v>
      </c>
      <c r="R1927" s="92">
        <f t="shared" si="335"/>
        <v>0</v>
      </c>
      <c r="S1927" s="92">
        <f t="shared" si="336"/>
        <v>2628</v>
      </c>
    </row>
    <row r="1928" spans="2:19" x14ac:dyDescent="0.2">
      <c r="B1928" s="88">
        <f t="shared" si="333"/>
        <v>63</v>
      </c>
      <c r="C1928" s="10"/>
      <c r="D1928" s="10"/>
      <c r="E1928" s="10"/>
      <c r="F1928" s="29" t="s">
        <v>82</v>
      </c>
      <c r="G1928" s="10">
        <v>640</v>
      </c>
      <c r="H1928" s="10" t="s">
        <v>141</v>
      </c>
      <c r="I1928" s="27">
        <f>I1929</f>
        <v>2230</v>
      </c>
      <c r="J1928" s="27">
        <f>J1929</f>
        <v>0</v>
      </c>
      <c r="K1928" s="27">
        <f t="shared" si="337"/>
        <v>2230</v>
      </c>
      <c r="L1928" s="321"/>
      <c r="M1928" s="397"/>
      <c r="N1928" s="27"/>
      <c r="O1928" s="250">
        <f t="shared" si="338"/>
        <v>0</v>
      </c>
      <c r="P1928" s="321"/>
      <c r="Q1928" s="327">
        <f t="shared" si="334"/>
        <v>2230</v>
      </c>
      <c r="R1928" s="91">
        <f t="shared" si="335"/>
        <v>0</v>
      </c>
      <c r="S1928" s="91">
        <f t="shared" si="336"/>
        <v>2230</v>
      </c>
    </row>
    <row r="1929" spans="2:19" x14ac:dyDescent="0.2">
      <c r="B1929" s="88">
        <f t="shared" si="333"/>
        <v>64</v>
      </c>
      <c r="C1929" s="4"/>
      <c r="D1929" s="4"/>
      <c r="E1929" s="4"/>
      <c r="F1929" s="30" t="s">
        <v>82</v>
      </c>
      <c r="G1929" s="4">
        <v>642</v>
      </c>
      <c r="H1929" s="4" t="s">
        <v>142</v>
      </c>
      <c r="I1929" s="23">
        <f>I1932+I1931+I1930</f>
        <v>2230</v>
      </c>
      <c r="J1929" s="23">
        <f>J1932+J1931+J1930</f>
        <v>0</v>
      </c>
      <c r="K1929" s="23">
        <f t="shared" si="337"/>
        <v>2230</v>
      </c>
      <c r="L1929" s="321"/>
      <c r="M1929" s="398"/>
      <c r="N1929" s="23"/>
      <c r="O1929" s="220">
        <f t="shared" si="338"/>
        <v>0</v>
      </c>
      <c r="P1929" s="321"/>
      <c r="Q1929" s="314">
        <f t="shared" si="334"/>
        <v>2230</v>
      </c>
      <c r="R1929" s="92">
        <f t="shared" si="335"/>
        <v>0</v>
      </c>
      <c r="S1929" s="92">
        <f t="shared" si="336"/>
        <v>2230</v>
      </c>
    </row>
    <row r="1930" spans="2:19" ht="15.75" x14ac:dyDescent="0.2">
      <c r="B1930" s="88">
        <f t="shared" si="333"/>
        <v>65</v>
      </c>
      <c r="C1930" s="5"/>
      <c r="D1930" s="5"/>
      <c r="E1930" s="5"/>
      <c r="F1930" s="31"/>
      <c r="G1930" s="5"/>
      <c r="H1930" s="5" t="s">
        <v>249</v>
      </c>
      <c r="I1930" s="25">
        <v>500</v>
      </c>
      <c r="J1930" s="25"/>
      <c r="K1930" s="25">
        <f t="shared" si="337"/>
        <v>500</v>
      </c>
      <c r="L1930" s="323"/>
      <c r="M1930" s="399"/>
      <c r="N1930" s="25"/>
      <c r="O1930" s="251">
        <f t="shared" si="338"/>
        <v>0</v>
      </c>
      <c r="P1930" s="323"/>
      <c r="Q1930" s="328">
        <f t="shared" si="334"/>
        <v>500</v>
      </c>
      <c r="R1930" s="93">
        <f t="shared" si="335"/>
        <v>0</v>
      </c>
      <c r="S1930" s="93">
        <f t="shared" si="336"/>
        <v>500</v>
      </c>
    </row>
    <row r="1931" spans="2:19" x14ac:dyDescent="0.2">
      <c r="B1931" s="88">
        <f t="shared" ref="B1931:B1994" si="345">B1930+1</f>
        <v>66</v>
      </c>
      <c r="C1931" s="5"/>
      <c r="D1931" s="5"/>
      <c r="E1931" s="5"/>
      <c r="F1931" s="31"/>
      <c r="G1931" s="5"/>
      <c r="H1931" s="5" t="s">
        <v>250</v>
      </c>
      <c r="I1931" s="25">
        <v>1500</v>
      </c>
      <c r="J1931" s="25"/>
      <c r="K1931" s="25">
        <f t="shared" si="337"/>
        <v>1500</v>
      </c>
      <c r="L1931" s="321"/>
      <c r="M1931" s="399"/>
      <c r="N1931" s="25"/>
      <c r="O1931" s="251">
        <f t="shared" si="338"/>
        <v>0</v>
      </c>
      <c r="P1931" s="321"/>
      <c r="Q1931" s="328">
        <f t="shared" ref="Q1931:Q1994" si="346">I1931+M1931</f>
        <v>1500</v>
      </c>
      <c r="R1931" s="93">
        <f t="shared" ref="R1931:R1994" si="347">J1931+N1931</f>
        <v>0</v>
      </c>
      <c r="S1931" s="93">
        <f t="shared" ref="S1931:S1994" si="348">K1931+O1931</f>
        <v>1500</v>
      </c>
    </row>
    <row r="1932" spans="2:19" x14ac:dyDescent="0.2">
      <c r="B1932" s="88">
        <f t="shared" si="345"/>
        <v>67</v>
      </c>
      <c r="C1932" s="5"/>
      <c r="D1932" s="5"/>
      <c r="E1932" s="5"/>
      <c r="F1932" s="31"/>
      <c r="G1932" s="5"/>
      <c r="H1932" s="5" t="s">
        <v>6</v>
      </c>
      <c r="I1932" s="25">
        <v>230</v>
      </c>
      <c r="J1932" s="25"/>
      <c r="K1932" s="25">
        <f t="shared" ref="K1932:K1995" si="349">I1932+J1932</f>
        <v>230</v>
      </c>
      <c r="L1932" s="321"/>
      <c r="M1932" s="399"/>
      <c r="N1932" s="25"/>
      <c r="O1932" s="251">
        <f t="shared" ref="O1932:O1995" si="350">M1932+N1932</f>
        <v>0</v>
      </c>
      <c r="P1932" s="321"/>
      <c r="Q1932" s="328">
        <f t="shared" si="346"/>
        <v>230</v>
      </c>
      <c r="R1932" s="93">
        <f t="shared" si="347"/>
        <v>0</v>
      </c>
      <c r="S1932" s="93">
        <f t="shared" si="348"/>
        <v>230</v>
      </c>
    </row>
    <row r="1933" spans="2:19" ht="15" x14ac:dyDescent="0.25">
      <c r="B1933" s="88">
        <f t="shared" si="345"/>
        <v>68</v>
      </c>
      <c r="C1933" s="243"/>
      <c r="D1933" s="243">
        <v>2</v>
      </c>
      <c r="E1933" s="508" t="s">
        <v>66</v>
      </c>
      <c r="F1933" s="509"/>
      <c r="G1933" s="509"/>
      <c r="H1933" s="510"/>
      <c r="I1933" s="41">
        <f>I1934</f>
        <v>589092</v>
      </c>
      <c r="J1933" s="41">
        <f>J1934</f>
        <v>7207</v>
      </c>
      <c r="K1933" s="41">
        <f t="shared" si="349"/>
        <v>596299</v>
      </c>
      <c r="L1933" s="321"/>
      <c r="M1933" s="401">
        <v>0</v>
      </c>
      <c r="N1933" s="41">
        <v>0</v>
      </c>
      <c r="O1933" s="249">
        <f t="shared" si="350"/>
        <v>0</v>
      </c>
      <c r="P1933" s="321"/>
      <c r="Q1933" s="330">
        <f t="shared" si="346"/>
        <v>589092</v>
      </c>
      <c r="R1933" s="90">
        <f t="shared" si="347"/>
        <v>7207</v>
      </c>
      <c r="S1933" s="90">
        <f t="shared" si="348"/>
        <v>596299</v>
      </c>
    </row>
    <row r="1934" spans="2:19" ht="15" x14ac:dyDescent="0.25">
      <c r="B1934" s="88">
        <f t="shared" si="345"/>
        <v>69</v>
      </c>
      <c r="C1934" s="13"/>
      <c r="D1934" s="13"/>
      <c r="E1934" s="13">
        <v>5</v>
      </c>
      <c r="F1934" s="32"/>
      <c r="G1934" s="13"/>
      <c r="H1934" s="13" t="s">
        <v>116</v>
      </c>
      <c r="I1934" s="42">
        <f>I1935+I1936+I1937+I1944</f>
        <v>589092</v>
      </c>
      <c r="J1934" s="42">
        <f>J1935+J1936+J1937+J1944</f>
        <v>7207</v>
      </c>
      <c r="K1934" s="42">
        <f t="shared" si="349"/>
        <v>596299</v>
      </c>
      <c r="L1934" s="321"/>
      <c r="M1934" s="396"/>
      <c r="N1934" s="42"/>
      <c r="O1934" s="255">
        <f t="shared" si="350"/>
        <v>0</v>
      </c>
      <c r="P1934" s="321"/>
      <c r="Q1934" s="326">
        <f t="shared" si="346"/>
        <v>589092</v>
      </c>
      <c r="R1934" s="99">
        <f t="shared" si="347"/>
        <v>7207</v>
      </c>
      <c r="S1934" s="99">
        <f t="shared" si="348"/>
        <v>596299</v>
      </c>
    </row>
    <row r="1935" spans="2:19" x14ac:dyDescent="0.2">
      <c r="B1935" s="88">
        <f t="shared" si="345"/>
        <v>70</v>
      </c>
      <c r="C1935" s="10"/>
      <c r="D1935" s="10"/>
      <c r="E1935" s="10"/>
      <c r="F1935" s="29" t="s">
        <v>85</v>
      </c>
      <c r="G1935" s="10">
        <v>610</v>
      </c>
      <c r="H1935" s="10" t="s">
        <v>143</v>
      </c>
      <c r="I1935" s="27">
        <v>279799</v>
      </c>
      <c r="J1935" s="27"/>
      <c r="K1935" s="27">
        <f t="shared" si="349"/>
        <v>279799</v>
      </c>
      <c r="L1935" s="321"/>
      <c r="M1935" s="397"/>
      <c r="N1935" s="27"/>
      <c r="O1935" s="250">
        <f t="shared" si="350"/>
        <v>0</v>
      </c>
      <c r="P1935" s="321"/>
      <c r="Q1935" s="327">
        <f t="shared" si="346"/>
        <v>279799</v>
      </c>
      <c r="R1935" s="91">
        <f t="shared" si="347"/>
        <v>0</v>
      </c>
      <c r="S1935" s="91">
        <f t="shared" si="348"/>
        <v>279799</v>
      </c>
    </row>
    <row r="1936" spans="2:19" x14ac:dyDescent="0.2">
      <c r="B1936" s="88">
        <f t="shared" si="345"/>
        <v>71</v>
      </c>
      <c r="C1936" s="10"/>
      <c r="D1936" s="10"/>
      <c r="E1936" s="10"/>
      <c r="F1936" s="29" t="s">
        <v>85</v>
      </c>
      <c r="G1936" s="10">
        <v>620</v>
      </c>
      <c r="H1936" s="10" t="s">
        <v>136</v>
      </c>
      <c r="I1936" s="27">
        <v>101730</v>
      </c>
      <c r="J1936" s="27"/>
      <c r="K1936" s="27">
        <f t="shared" si="349"/>
        <v>101730</v>
      </c>
      <c r="L1936" s="321"/>
      <c r="M1936" s="397"/>
      <c r="N1936" s="27"/>
      <c r="O1936" s="250">
        <f t="shared" si="350"/>
        <v>0</v>
      </c>
      <c r="P1936" s="259"/>
      <c r="Q1936" s="91">
        <f t="shared" si="346"/>
        <v>101730</v>
      </c>
      <c r="R1936" s="91">
        <f t="shared" si="347"/>
        <v>0</v>
      </c>
      <c r="S1936" s="91">
        <f t="shared" si="348"/>
        <v>101730</v>
      </c>
    </row>
    <row r="1937" spans="2:19" x14ac:dyDescent="0.2">
      <c r="B1937" s="88">
        <f t="shared" si="345"/>
        <v>72</v>
      </c>
      <c r="C1937" s="10"/>
      <c r="D1937" s="10"/>
      <c r="E1937" s="10"/>
      <c r="F1937" s="29" t="s">
        <v>85</v>
      </c>
      <c r="G1937" s="10">
        <v>630</v>
      </c>
      <c r="H1937" s="10" t="s">
        <v>133</v>
      </c>
      <c r="I1937" s="27">
        <f>I1943+I1942+I1941+I1940+I1939+I1938</f>
        <v>206863</v>
      </c>
      <c r="J1937" s="27">
        <f>J1943+J1942+J1941+J1940+J1939+J1938</f>
        <v>5251</v>
      </c>
      <c r="K1937" s="27">
        <f t="shared" si="349"/>
        <v>212114</v>
      </c>
      <c r="L1937" s="321"/>
      <c r="M1937" s="397"/>
      <c r="N1937" s="27"/>
      <c r="O1937" s="250">
        <f t="shared" si="350"/>
        <v>0</v>
      </c>
      <c r="P1937" s="259"/>
      <c r="Q1937" s="91">
        <f t="shared" si="346"/>
        <v>206863</v>
      </c>
      <c r="R1937" s="91">
        <f t="shared" si="347"/>
        <v>5251</v>
      </c>
      <c r="S1937" s="91">
        <f t="shared" si="348"/>
        <v>212114</v>
      </c>
    </row>
    <row r="1938" spans="2:19" x14ac:dyDescent="0.2">
      <c r="B1938" s="88">
        <f t="shared" si="345"/>
        <v>73</v>
      </c>
      <c r="C1938" s="4"/>
      <c r="D1938" s="4"/>
      <c r="E1938" s="4"/>
      <c r="F1938" s="30" t="s">
        <v>85</v>
      </c>
      <c r="G1938" s="4">
        <v>631</v>
      </c>
      <c r="H1938" s="4" t="s">
        <v>139</v>
      </c>
      <c r="I1938" s="23">
        <v>200</v>
      </c>
      <c r="J1938" s="23"/>
      <c r="K1938" s="23">
        <f t="shared" si="349"/>
        <v>200</v>
      </c>
      <c r="L1938" s="321"/>
      <c r="M1938" s="398"/>
      <c r="N1938" s="23"/>
      <c r="O1938" s="220">
        <f t="shared" si="350"/>
        <v>0</v>
      </c>
      <c r="P1938" s="259"/>
      <c r="Q1938" s="92">
        <f t="shared" si="346"/>
        <v>200</v>
      </c>
      <c r="R1938" s="92">
        <f t="shared" si="347"/>
        <v>0</v>
      </c>
      <c r="S1938" s="92">
        <f t="shared" si="348"/>
        <v>200</v>
      </c>
    </row>
    <row r="1939" spans="2:19" x14ac:dyDescent="0.2">
      <c r="B1939" s="88">
        <f t="shared" si="345"/>
        <v>74</v>
      </c>
      <c r="C1939" s="4"/>
      <c r="D1939" s="4"/>
      <c r="E1939" s="4"/>
      <c r="F1939" s="30" t="s">
        <v>85</v>
      </c>
      <c r="G1939" s="4">
        <v>632</v>
      </c>
      <c r="H1939" s="4" t="s">
        <v>146</v>
      </c>
      <c r="I1939" s="23">
        <v>55750</v>
      </c>
      <c r="J1939" s="23"/>
      <c r="K1939" s="23">
        <f t="shared" si="349"/>
        <v>55750</v>
      </c>
      <c r="L1939" s="321"/>
      <c r="M1939" s="398"/>
      <c r="N1939" s="23"/>
      <c r="O1939" s="220">
        <f t="shared" si="350"/>
        <v>0</v>
      </c>
      <c r="P1939" s="259"/>
      <c r="Q1939" s="92">
        <f t="shared" si="346"/>
        <v>55750</v>
      </c>
      <c r="R1939" s="92">
        <f t="shared" si="347"/>
        <v>0</v>
      </c>
      <c r="S1939" s="92">
        <f t="shared" si="348"/>
        <v>55750</v>
      </c>
    </row>
    <row r="1940" spans="2:19" x14ac:dyDescent="0.2">
      <c r="B1940" s="88">
        <f t="shared" si="345"/>
        <v>75</v>
      </c>
      <c r="C1940" s="4"/>
      <c r="D1940" s="4"/>
      <c r="E1940" s="4"/>
      <c r="F1940" s="30" t="s">
        <v>85</v>
      </c>
      <c r="G1940" s="4">
        <v>633</v>
      </c>
      <c r="H1940" s="4" t="s">
        <v>137</v>
      </c>
      <c r="I1940" s="23">
        <f>21472+770</f>
        <v>22242</v>
      </c>
      <c r="J1940" s="23">
        <f>2100-3349</f>
        <v>-1249</v>
      </c>
      <c r="K1940" s="23">
        <f t="shared" si="349"/>
        <v>20993</v>
      </c>
      <c r="L1940" s="321"/>
      <c r="M1940" s="398"/>
      <c r="N1940" s="23"/>
      <c r="O1940" s="220">
        <f t="shared" si="350"/>
        <v>0</v>
      </c>
      <c r="P1940" s="259"/>
      <c r="Q1940" s="92">
        <f t="shared" si="346"/>
        <v>22242</v>
      </c>
      <c r="R1940" s="92">
        <f t="shared" si="347"/>
        <v>-1249</v>
      </c>
      <c r="S1940" s="92">
        <f t="shared" si="348"/>
        <v>20993</v>
      </c>
    </row>
    <row r="1941" spans="2:19" x14ac:dyDescent="0.2">
      <c r="B1941" s="88">
        <f t="shared" si="345"/>
        <v>76</v>
      </c>
      <c r="C1941" s="4"/>
      <c r="D1941" s="4"/>
      <c r="E1941" s="4"/>
      <c r="F1941" s="30" t="s">
        <v>85</v>
      </c>
      <c r="G1941" s="4">
        <v>634</v>
      </c>
      <c r="H1941" s="4" t="s">
        <v>144</v>
      </c>
      <c r="I1941" s="23">
        <v>2350</v>
      </c>
      <c r="J1941" s="23"/>
      <c r="K1941" s="23">
        <f t="shared" si="349"/>
        <v>2350</v>
      </c>
      <c r="L1941" s="321"/>
      <c r="M1941" s="398"/>
      <c r="N1941" s="23"/>
      <c r="O1941" s="220">
        <f t="shared" si="350"/>
        <v>0</v>
      </c>
      <c r="P1941" s="259"/>
      <c r="Q1941" s="92">
        <f t="shared" si="346"/>
        <v>2350</v>
      </c>
      <c r="R1941" s="92">
        <f t="shared" si="347"/>
        <v>0</v>
      </c>
      <c r="S1941" s="92">
        <f t="shared" si="348"/>
        <v>2350</v>
      </c>
    </row>
    <row r="1942" spans="2:19" x14ac:dyDescent="0.2">
      <c r="B1942" s="88">
        <f t="shared" si="345"/>
        <v>77</v>
      </c>
      <c r="C1942" s="4"/>
      <c r="D1942" s="4"/>
      <c r="E1942" s="4"/>
      <c r="F1942" s="30" t="s">
        <v>85</v>
      </c>
      <c r="G1942" s="4">
        <v>635</v>
      </c>
      <c r="H1942" s="4" t="s">
        <v>145</v>
      </c>
      <c r="I1942" s="23">
        <v>22274</v>
      </c>
      <c r="J1942" s="23">
        <v>500</v>
      </c>
      <c r="K1942" s="23">
        <f t="shared" si="349"/>
        <v>22774</v>
      </c>
      <c r="L1942" s="321"/>
      <c r="M1942" s="398"/>
      <c r="N1942" s="23"/>
      <c r="O1942" s="220">
        <f t="shared" si="350"/>
        <v>0</v>
      </c>
      <c r="P1942" s="259"/>
      <c r="Q1942" s="308">
        <f t="shared" si="346"/>
        <v>22274</v>
      </c>
      <c r="R1942" s="92">
        <f t="shared" si="347"/>
        <v>500</v>
      </c>
      <c r="S1942" s="92">
        <f t="shared" si="348"/>
        <v>22774</v>
      </c>
    </row>
    <row r="1943" spans="2:19" x14ac:dyDescent="0.2">
      <c r="B1943" s="88">
        <f t="shared" si="345"/>
        <v>78</v>
      </c>
      <c r="C1943" s="4"/>
      <c r="D1943" s="4"/>
      <c r="E1943" s="4"/>
      <c r="F1943" s="30" t="s">
        <v>85</v>
      </c>
      <c r="G1943" s="4">
        <v>637</v>
      </c>
      <c r="H1943" s="4" t="s">
        <v>134</v>
      </c>
      <c r="I1943" s="23">
        <v>104047</v>
      </c>
      <c r="J1943" s="23">
        <v>6000</v>
      </c>
      <c r="K1943" s="23">
        <f t="shared" si="349"/>
        <v>110047</v>
      </c>
      <c r="L1943" s="321"/>
      <c r="M1943" s="398"/>
      <c r="N1943" s="23"/>
      <c r="O1943" s="220">
        <f t="shared" si="350"/>
        <v>0</v>
      </c>
      <c r="P1943" s="259"/>
      <c r="Q1943" s="308">
        <f t="shared" si="346"/>
        <v>104047</v>
      </c>
      <c r="R1943" s="92">
        <f t="shared" si="347"/>
        <v>6000</v>
      </c>
      <c r="S1943" s="92">
        <f t="shared" si="348"/>
        <v>110047</v>
      </c>
    </row>
    <row r="1944" spans="2:19" x14ac:dyDescent="0.2">
      <c r="B1944" s="88">
        <f t="shared" si="345"/>
        <v>79</v>
      </c>
      <c r="C1944" s="4"/>
      <c r="D1944" s="4"/>
      <c r="E1944" s="136"/>
      <c r="F1944" s="29" t="s">
        <v>85</v>
      </c>
      <c r="G1944" s="10">
        <v>640</v>
      </c>
      <c r="H1944" s="10" t="s">
        <v>141</v>
      </c>
      <c r="I1944" s="27">
        <v>700</v>
      </c>
      <c r="J1944" s="27">
        <f>550+1406</f>
        <v>1956</v>
      </c>
      <c r="K1944" s="250">
        <f t="shared" si="349"/>
        <v>2656</v>
      </c>
      <c r="L1944" s="321"/>
      <c r="M1944" s="397"/>
      <c r="N1944" s="27"/>
      <c r="O1944" s="250">
        <f t="shared" si="350"/>
        <v>0</v>
      </c>
      <c r="P1944" s="259"/>
      <c r="Q1944" s="309">
        <f t="shared" si="346"/>
        <v>700</v>
      </c>
      <c r="R1944" s="91">
        <f t="shared" si="347"/>
        <v>1956</v>
      </c>
      <c r="S1944" s="91">
        <f t="shared" si="348"/>
        <v>2656</v>
      </c>
    </row>
    <row r="1945" spans="2:19" ht="15" x14ac:dyDescent="0.25">
      <c r="B1945" s="88">
        <f t="shared" si="345"/>
        <v>80</v>
      </c>
      <c r="C1945" s="243"/>
      <c r="D1945" s="243">
        <v>3</v>
      </c>
      <c r="E1945" s="508" t="s">
        <v>7</v>
      </c>
      <c r="F1945" s="509"/>
      <c r="G1945" s="509"/>
      <c r="H1945" s="510"/>
      <c r="I1945" s="41">
        <f>I1946+I1951</f>
        <v>22565</v>
      </c>
      <c r="J1945" s="41">
        <f>J1946+J1951</f>
        <v>0</v>
      </c>
      <c r="K1945" s="249">
        <f t="shared" si="349"/>
        <v>22565</v>
      </c>
      <c r="L1945" s="321"/>
      <c r="M1945" s="401">
        <v>0</v>
      </c>
      <c r="N1945" s="41">
        <v>0</v>
      </c>
      <c r="O1945" s="249">
        <f t="shared" si="350"/>
        <v>0</v>
      </c>
      <c r="P1945" s="259"/>
      <c r="Q1945" s="310">
        <f t="shared" si="346"/>
        <v>22565</v>
      </c>
      <c r="R1945" s="90">
        <f t="shared" si="347"/>
        <v>0</v>
      </c>
      <c r="S1945" s="90">
        <f t="shared" si="348"/>
        <v>22565</v>
      </c>
    </row>
    <row r="1946" spans="2:19" x14ac:dyDescent="0.2">
      <c r="B1946" s="88">
        <f t="shared" si="345"/>
        <v>81</v>
      </c>
      <c r="C1946" s="10"/>
      <c r="D1946" s="10"/>
      <c r="E1946" s="10"/>
      <c r="F1946" s="29" t="s">
        <v>85</v>
      </c>
      <c r="G1946" s="10">
        <v>630</v>
      </c>
      <c r="H1946" s="10" t="s">
        <v>133</v>
      </c>
      <c r="I1946" s="27">
        <f>SUM(I1947:I1950)</f>
        <v>21565</v>
      </c>
      <c r="J1946" s="27">
        <f>SUM(J1947:J1950)</f>
        <v>0</v>
      </c>
      <c r="K1946" s="250">
        <f t="shared" si="349"/>
        <v>21565</v>
      </c>
      <c r="L1946" s="321"/>
      <c r="M1946" s="397"/>
      <c r="N1946" s="27"/>
      <c r="O1946" s="250">
        <f t="shared" si="350"/>
        <v>0</v>
      </c>
      <c r="P1946" s="259"/>
      <c r="Q1946" s="309">
        <f t="shared" si="346"/>
        <v>21565</v>
      </c>
      <c r="R1946" s="91">
        <f t="shared" si="347"/>
        <v>0</v>
      </c>
      <c r="S1946" s="91">
        <f t="shared" si="348"/>
        <v>21565</v>
      </c>
    </row>
    <row r="1947" spans="2:19" x14ac:dyDescent="0.2">
      <c r="B1947" s="88">
        <f t="shared" si="345"/>
        <v>82</v>
      </c>
      <c r="C1947" s="10"/>
      <c r="D1947" s="10"/>
      <c r="E1947" s="10"/>
      <c r="F1947" s="30" t="s">
        <v>85</v>
      </c>
      <c r="G1947" s="4">
        <v>632</v>
      </c>
      <c r="H1947" s="4" t="s">
        <v>146</v>
      </c>
      <c r="I1947" s="24">
        <f>16850-110</f>
        <v>16740</v>
      </c>
      <c r="J1947" s="24"/>
      <c r="K1947" s="257">
        <f t="shared" si="349"/>
        <v>16740</v>
      </c>
      <c r="L1947" s="321"/>
      <c r="M1947" s="397"/>
      <c r="N1947" s="27"/>
      <c r="O1947" s="250">
        <f t="shared" si="350"/>
        <v>0</v>
      </c>
      <c r="P1947" s="259"/>
      <c r="Q1947" s="311">
        <f t="shared" si="346"/>
        <v>16740</v>
      </c>
      <c r="R1947" s="126">
        <f t="shared" si="347"/>
        <v>0</v>
      </c>
      <c r="S1947" s="126">
        <f t="shared" si="348"/>
        <v>16740</v>
      </c>
    </row>
    <row r="1948" spans="2:19" x14ac:dyDescent="0.2">
      <c r="B1948" s="88">
        <f t="shared" si="345"/>
        <v>83</v>
      </c>
      <c r="C1948" s="4"/>
      <c r="D1948" s="4"/>
      <c r="E1948" s="4"/>
      <c r="F1948" s="30" t="s">
        <v>85</v>
      </c>
      <c r="G1948" s="4">
        <v>633</v>
      </c>
      <c r="H1948" s="4" t="s">
        <v>137</v>
      </c>
      <c r="I1948" s="23">
        <f>1000+200-100</f>
        <v>1100</v>
      </c>
      <c r="J1948" s="23"/>
      <c r="K1948" s="220">
        <f t="shared" si="349"/>
        <v>1100</v>
      </c>
      <c r="L1948" s="321"/>
      <c r="M1948" s="398"/>
      <c r="N1948" s="23"/>
      <c r="O1948" s="220">
        <f t="shared" si="350"/>
        <v>0</v>
      </c>
      <c r="P1948" s="259"/>
      <c r="Q1948" s="308">
        <f t="shared" si="346"/>
        <v>1100</v>
      </c>
      <c r="R1948" s="92">
        <f t="shared" si="347"/>
        <v>0</v>
      </c>
      <c r="S1948" s="92">
        <f t="shared" si="348"/>
        <v>1100</v>
      </c>
    </row>
    <row r="1949" spans="2:19" x14ac:dyDescent="0.2">
      <c r="B1949" s="88">
        <f t="shared" si="345"/>
        <v>84</v>
      </c>
      <c r="C1949" s="4"/>
      <c r="D1949" s="4"/>
      <c r="E1949" s="4"/>
      <c r="F1949" s="30" t="s">
        <v>85</v>
      </c>
      <c r="G1949" s="4">
        <v>635</v>
      </c>
      <c r="H1949" s="4" t="s">
        <v>145</v>
      </c>
      <c r="I1949" s="23">
        <f>1200+2100-200</f>
        <v>3100</v>
      </c>
      <c r="J1949" s="23"/>
      <c r="K1949" s="220">
        <f t="shared" si="349"/>
        <v>3100</v>
      </c>
      <c r="L1949" s="321"/>
      <c r="M1949" s="398"/>
      <c r="N1949" s="23"/>
      <c r="O1949" s="220">
        <f t="shared" si="350"/>
        <v>0</v>
      </c>
      <c r="P1949" s="259"/>
      <c r="Q1949" s="308">
        <f t="shared" si="346"/>
        <v>3100</v>
      </c>
      <c r="R1949" s="92">
        <f t="shared" si="347"/>
        <v>0</v>
      </c>
      <c r="S1949" s="92">
        <f t="shared" si="348"/>
        <v>3100</v>
      </c>
    </row>
    <row r="1950" spans="2:19" x14ac:dyDescent="0.2">
      <c r="B1950" s="88">
        <f t="shared" si="345"/>
        <v>85</v>
      </c>
      <c r="C1950" s="4"/>
      <c r="D1950" s="4"/>
      <c r="E1950" s="4"/>
      <c r="F1950" s="30" t="s">
        <v>85</v>
      </c>
      <c r="G1950" s="4">
        <v>637</v>
      </c>
      <c r="H1950" s="4" t="s">
        <v>134</v>
      </c>
      <c r="I1950" s="23">
        <f>325+400-100</f>
        <v>625</v>
      </c>
      <c r="J1950" s="23"/>
      <c r="K1950" s="220">
        <f t="shared" si="349"/>
        <v>625</v>
      </c>
      <c r="L1950" s="321"/>
      <c r="M1950" s="398"/>
      <c r="N1950" s="23"/>
      <c r="O1950" s="220">
        <f t="shared" si="350"/>
        <v>0</v>
      </c>
      <c r="P1950" s="259"/>
      <c r="Q1950" s="308">
        <f t="shared" si="346"/>
        <v>625</v>
      </c>
      <c r="R1950" s="92">
        <f t="shared" si="347"/>
        <v>0</v>
      </c>
      <c r="S1950" s="92">
        <f t="shared" si="348"/>
        <v>625</v>
      </c>
    </row>
    <row r="1951" spans="2:19" ht="15" x14ac:dyDescent="0.25">
      <c r="B1951" s="88">
        <f t="shared" si="345"/>
        <v>86</v>
      </c>
      <c r="C1951" s="13"/>
      <c r="D1951" s="13"/>
      <c r="E1951" s="13">
        <v>2</v>
      </c>
      <c r="F1951" s="32"/>
      <c r="G1951" s="13"/>
      <c r="H1951" s="13" t="s">
        <v>402</v>
      </c>
      <c r="I1951" s="42">
        <f>I1952</f>
        <v>1000</v>
      </c>
      <c r="J1951" s="42">
        <f>J1952</f>
        <v>0</v>
      </c>
      <c r="K1951" s="255">
        <f t="shared" si="349"/>
        <v>1000</v>
      </c>
      <c r="L1951" s="321"/>
      <c r="M1951" s="396">
        <v>0</v>
      </c>
      <c r="N1951" s="42">
        <v>0</v>
      </c>
      <c r="O1951" s="255">
        <f t="shared" si="350"/>
        <v>0</v>
      </c>
      <c r="P1951" s="259"/>
      <c r="Q1951" s="312">
        <f t="shared" si="346"/>
        <v>1000</v>
      </c>
      <c r="R1951" s="99">
        <f t="shared" si="347"/>
        <v>0</v>
      </c>
      <c r="S1951" s="99">
        <f t="shared" si="348"/>
        <v>1000</v>
      </c>
    </row>
    <row r="1952" spans="2:19" x14ac:dyDescent="0.2">
      <c r="B1952" s="88">
        <f t="shared" si="345"/>
        <v>87</v>
      </c>
      <c r="C1952" s="10"/>
      <c r="D1952" s="10"/>
      <c r="E1952" s="10"/>
      <c r="F1952" s="29" t="s">
        <v>85</v>
      </c>
      <c r="G1952" s="10">
        <v>630</v>
      </c>
      <c r="H1952" s="10" t="s">
        <v>133</v>
      </c>
      <c r="I1952" s="27">
        <f>I1953</f>
        <v>1000</v>
      </c>
      <c r="J1952" s="27">
        <f>J1953</f>
        <v>0</v>
      </c>
      <c r="K1952" s="250">
        <f t="shared" si="349"/>
        <v>1000</v>
      </c>
      <c r="L1952" s="321"/>
      <c r="M1952" s="397"/>
      <c r="N1952" s="27"/>
      <c r="O1952" s="250">
        <f t="shared" si="350"/>
        <v>0</v>
      </c>
      <c r="P1952" s="259"/>
      <c r="Q1952" s="309">
        <f t="shared" si="346"/>
        <v>1000</v>
      </c>
      <c r="R1952" s="91">
        <f t="shared" si="347"/>
        <v>0</v>
      </c>
      <c r="S1952" s="91">
        <f t="shared" si="348"/>
        <v>1000</v>
      </c>
    </row>
    <row r="1953" spans="2:19" x14ac:dyDescent="0.2">
      <c r="B1953" s="88">
        <f t="shared" si="345"/>
        <v>88</v>
      </c>
      <c r="C1953" s="4"/>
      <c r="D1953" s="4"/>
      <c r="E1953" s="4"/>
      <c r="F1953" s="30" t="s">
        <v>85</v>
      </c>
      <c r="G1953" s="4">
        <v>632</v>
      </c>
      <c r="H1953" s="4" t="s">
        <v>146</v>
      </c>
      <c r="I1953" s="23">
        <f>2150-1150</f>
        <v>1000</v>
      </c>
      <c r="J1953" s="23"/>
      <c r="K1953" s="220">
        <f t="shared" si="349"/>
        <v>1000</v>
      </c>
      <c r="L1953" s="321"/>
      <c r="M1953" s="398"/>
      <c r="N1953" s="23"/>
      <c r="O1953" s="220">
        <f t="shared" si="350"/>
        <v>0</v>
      </c>
      <c r="P1953" s="259"/>
      <c r="Q1953" s="308">
        <f t="shared" si="346"/>
        <v>1000</v>
      </c>
      <c r="R1953" s="92">
        <f t="shared" si="347"/>
        <v>0</v>
      </c>
      <c r="S1953" s="92">
        <f t="shared" si="348"/>
        <v>1000</v>
      </c>
    </row>
    <row r="1954" spans="2:19" ht="15" x14ac:dyDescent="0.2">
      <c r="B1954" s="88">
        <f t="shared" si="345"/>
        <v>89</v>
      </c>
      <c r="C1954" s="242">
        <v>6</v>
      </c>
      <c r="D1954" s="511" t="s">
        <v>244</v>
      </c>
      <c r="E1954" s="509"/>
      <c r="F1954" s="509"/>
      <c r="G1954" s="509"/>
      <c r="H1954" s="510"/>
      <c r="I1954" s="40">
        <f>I1955+I1956+I1958+I1960</f>
        <v>1349414</v>
      </c>
      <c r="J1954" s="40">
        <f>J1955+J1956+J1958+J1960</f>
        <v>-6660</v>
      </c>
      <c r="K1954" s="248">
        <f t="shared" si="349"/>
        <v>1342754</v>
      </c>
      <c r="L1954" s="321"/>
      <c r="M1954" s="395">
        <f>M1960</f>
        <v>14000</v>
      </c>
      <c r="N1954" s="40">
        <f>N1960</f>
        <v>0</v>
      </c>
      <c r="O1954" s="248">
        <f t="shared" si="350"/>
        <v>14000</v>
      </c>
      <c r="P1954" s="259"/>
      <c r="Q1954" s="313">
        <f t="shared" si="346"/>
        <v>1363414</v>
      </c>
      <c r="R1954" s="89">
        <f t="shared" si="347"/>
        <v>-6660</v>
      </c>
      <c r="S1954" s="89">
        <f t="shared" si="348"/>
        <v>1356754</v>
      </c>
    </row>
    <row r="1955" spans="2:19" x14ac:dyDescent="0.2">
      <c r="B1955" s="88">
        <f t="shared" si="345"/>
        <v>90</v>
      </c>
      <c r="C1955" s="10"/>
      <c r="D1955" s="10"/>
      <c r="E1955" s="10"/>
      <c r="F1955" s="29" t="s">
        <v>85</v>
      </c>
      <c r="G1955" s="10">
        <v>620</v>
      </c>
      <c r="H1955" s="10" t="s">
        <v>136</v>
      </c>
      <c r="I1955" s="27">
        <f>600+500</f>
        <v>1100</v>
      </c>
      <c r="J1955" s="27"/>
      <c r="K1955" s="250">
        <f t="shared" si="349"/>
        <v>1100</v>
      </c>
      <c r="L1955" s="321"/>
      <c r="M1955" s="397"/>
      <c r="N1955" s="27"/>
      <c r="O1955" s="250">
        <f t="shared" si="350"/>
        <v>0</v>
      </c>
      <c r="P1955" s="259"/>
      <c r="Q1955" s="309">
        <f t="shared" si="346"/>
        <v>1100</v>
      </c>
      <c r="R1955" s="91">
        <f t="shared" si="347"/>
        <v>0</v>
      </c>
      <c r="S1955" s="91">
        <f t="shared" si="348"/>
        <v>1100</v>
      </c>
    </row>
    <row r="1956" spans="2:19" x14ac:dyDescent="0.2">
      <c r="B1956" s="88">
        <f t="shared" si="345"/>
        <v>91</v>
      </c>
      <c r="C1956" s="10"/>
      <c r="D1956" s="10"/>
      <c r="E1956" s="10"/>
      <c r="F1956" s="29" t="s">
        <v>85</v>
      </c>
      <c r="G1956" s="10">
        <v>630</v>
      </c>
      <c r="H1956" s="10" t="s">
        <v>133</v>
      </c>
      <c r="I1956" s="27">
        <f>I1957</f>
        <v>3000</v>
      </c>
      <c r="J1956" s="27">
        <f>J1957</f>
        <v>0</v>
      </c>
      <c r="K1956" s="250">
        <f t="shared" si="349"/>
        <v>3000</v>
      </c>
      <c r="L1956" s="321"/>
      <c r="M1956" s="397"/>
      <c r="N1956" s="27"/>
      <c r="O1956" s="250">
        <f t="shared" si="350"/>
        <v>0</v>
      </c>
      <c r="P1956" s="259"/>
      <c r="Q1956" s="309">
        <f t="shared" si="346"/>
        <v>3000</v>
      </c>
      <c r="R1956" s="91">
        <f t="shared" si="347"/>
        <v>0</v>
      </c>
      <c r="S1956" s="91">
        <f t="shared" si="348"/>
        <v>3000</v>
      </c>
    </row>
    <row r="1957" spans="2:19" x14ac:dyDescent="0.2">
      <c r="B1957" s="88">
        <f t="shared" si="345"/>
        <v>92</v>
      </c>
      <c r="C1957" s="4"/>
      <c r="D1957" s="4"/>
      <c r="E1957" s="4"/>
      <c r="F1957" s="30" t="s">
        <v>85</v>
      </c>
      <c r="G1957" s="4">
        <v>637</v>
      </c>
      <c r="H1957" s="4" t="s">
        <v>134</v>
      </c>
      <c r="I1957" s="23">
        <v>3000</v>
      </c>
      <c r="J1957" s="23"/>
      <c r="K1957" s="220">
        <f t="shared" si="349"/>
        <v>3000</v>
      </c>
      <c r="L1957" s="392"/>
      <c r="M1957" s="398"/>
      <c r="N1957" s="23"/>
      <c r="O1957" s="220">
        <f t="shared" si="350"/>
        <v>0</v>
      </c>
      <c r="P1957" s="314"/>
      <c r="Q1957" s="308">
        <f t="shared" si="346"/>
        <v>3000</v>
      </c>
      <c r="R1957" s="92">
        <f t="shared" si="347"/>
        <v>0</v>
      </c>
      <c r="S1957" s="92">
        <f t="shared" si="348"/>
        <v>3000</v>
      </c>
    </row>
    <row r="1958" spans="2:19" x14ac:dyDescent="0.2">
      <c r="B1958" s="88">
        <f t="shared" si="345"/>
        <v>93</v>
      </c>
      <c r="C1958" s="10"/>
      <c r="D1958" s="10"/>
      <c r="E1958" s="10"/>
      <c r="F1958" s="29" t="s">
        <v>85</v>
      </c>
      <c r="G1958" s="10">
        <v>640</v>
      </c>
      <c r="H1958" s="10" t="s">
        <v>141</v>
      </c>
      <c r="I1958" s="27">
        <f>I1959</f>
        <v>20000</v>
      </c>
      <c r="J1958" s="27">
        <f>J1959</f>
        <v>1000</v>
      </c>
      <c r="K1958" s="250">
        <f t="shared" si="349"/>
        <v>21000</v>
      </c>
      <c r="L1958" s="393"/>
      <c r="M1958" s="397"/>
      <c r="N1958" s="27"/>
      <c r="O1958" s="250">
        <f t="shared" si="350"/>
        <v>0</v>
      </c>
      <c r="P1958" s="260"/>
      <c r="Q1958" s="309">
        <f t="shared" si="346"/>
        <v>20000</v>
      </c>
      <c r="R1958" s="91">
        <f t="shared" si="347"/>
        <v>1000</v>
      </c>
      <c r="S1958" s="91">
        <f t="shared" si="348"/>
        <v>21000</v>
      </c>
    </row>
    <row r="1959" spans="2:19" x14ac:dyDescent="0.2">
      <c r="B1959" s="88">
        <f t="shared" si="345"/>
        <v>94</v>
      </c>
      <c r="C1959" s="4"/>
      <c r="D1959" s="4"/>
      <c r="E1959" s="4"/>
      <c r="F1959" s="30" t="s">
        <v>85</v>
      </c>
      <c r="G1959" s="4">
        <v>642</v>
      </c>
      <c r="H1959" s="4" t="s">
        <v>142</v>
      </c>
      <c r="I1959" s="23">
        <f>16500+3500</f>
        <v>20000</v>
      </c>
      <c r="J1959" s="23">
        <v>1000</v>
      </c>
      <c r="K1959" s="220">
        <f t="shared" si="349"/>
        <v>21000</v>
      </c>
      <c r="L1959" s="321"/>
      <c r="M1959" s="398"/>
      <c r="N1959" s="23"/>
      <c r="O1959" s="220">
        <f t="shared" si="350"/>
        <v>0</v>
      </c>
      <c r="P1959" s="259"/>
      <c r="Q1959" s="308">
        <f t="shared" si="346"/>
        <v>20000</v>
      </c>
      <c r="R1959" s="92">
        <f t="shared" si="347"/>
        <v>1000</v>
      </c>
      <c r="S1959" s="92">
        <f t="shared" si="348"/>
        <v>21000</v>
      </c>
    </row>
    <row r="1960" spans="2:19" ht="15" x14ac:dyDescent="0.25">
      <c r="B1960" s="88">
        <f t="shared" si="345"/>
        <v>95</v>
      </c>
      <c r="C1960" s="13"/>
      <c r="D1960" s="13"/>
      <c r="E1960" s="13">
        <v>5</v>
      </c>
      <c r="F1960" s="32"/>
      <c r="G1960" s="13"/>
      <c r="H1960" s="13" t="s">
        <v>116</v>
      </c>
      <c r="I1960" s="42">
        <f>I1961+I1962+I1963+I1970+I1971</f>
        <v>1325314</v>
      </c>
      <c r="J1960" s="42">
        <f>J1961+J1962+J1963+J1970+J1971</f>
        <v>-7660</v>
      </c>
      <c r="K1960" s="255">
        <f t="shared" si="349"/>
        <v>1317654</v>
      </c>
      <c r="L1960" s="321"/>
      <c r="M1960" s="396">
        <f>M1971</f>
        <v>14000</v>
      </c>
      <c r="N1960" s="42">
        <f>N1971</f>
        <v>0</v>
      </c>
      <c r="O1960" s="255">
        <f t="shared" si="350"/>
        <v>14000</v>
      </c>
      <c r="P1960" s="259"/>
      <c r="Q1960" s="312">
        <f t="shared" si="346"/>
        <v>1339314</v>
      </c>
      <c r="R1960" s="99">
        <f t="shared" si="347"/>
        <v>-7660</v>
      </c>
      <c r="S1960" s="99">
        <f t="shared" si="348"/>
        <v>1331654</v>
      </c>
    </row>
    <row r="1961" spans="2:19" x14ac:dyDescent="0.2">
      <c r="B1961" s="88">
        <f t="shared" si="345"/>
        <v>96</v>
      </c>
      <c r="C1961" s="10"/>
      <c r="D1961" s="10"/>
      <c r="E1961" s="10"/>
      <c r="F1961" s="29" t="s">
        <v>84</v>
      </c>
      <c r="G1961" s="10">
        <v>610</v>
      </c>
      <c r="H1961" s="10" t="s">
        <v>143</v>
      </c>
      <c r="I1961" s="27">
        <v>621145</v>
      </c>
      <c r="J1961" s="27"/>
      <c r="K1961" s="250">
        <f t="shared" si="349"/>
        <v>621145</v>
      </c>
      <c r="L1961" s="321"/>
      <c r="M1961" s="397"/>
      <c r="N1961" s="27"/>
      <c r="O1961" s="250">
        <f t="shared" si="350"/>
        <v>0</v>
      </c>
      <c r="P1961" s="259"/>
      <c r="Q1961" s="309">
        <f t="shared" si="346"/>
        <v>621145</v>
      </c>
      <c r="R1961" s="91">
        <f t="shared" si="347"/>
        <v>0</v>
      </c>
      <c r="S1961" s="91">
        <f t="shared" si="348"/>
        <v>621145</v>
      </c>
    </row>
    <row r="1962" spans="2:19" x14ac:dyDescent="0.2">
      <c r="B1962" s="88">
        <f t="shared" si="345"/>
        <v>97</v>
      </c>
      <c r="C1962" s="10"/>
      <c r="D1962" s="10"/>
      <c r="E1962" s="10"/>
      <c r="F1962" s="29" t="s">
        <v>84</v>
      </c>
      <c r="G1962" s="10">
        <v>620</v>
      </c>
      <c r="H1962" s="10" t="s">
        <v>136</v>
      </c>
      <c r="I1962" s="27">
        <v>222288</v>
      </c>
      <c r="J1962" s="27"/>
      <c r="K1962" s="250">
        <f t="shared" si="349"/>
        <v>222288</v>
      </c>
      <c r="L1962" s="321"/>
      <c r="M1962" s="397"/>
      <c r="N1962" s="27"/>
      <c r="O1962" s="250">
        <f t="shared" si="350"/>
        <v>0</v>
      </c>
      <c r="P1962" s="259"/>
      <c r="Q1962" s="309">
        <f t="shared" si="346"/>
        <v>222288</v>
      </c>
      <c r="R1962" s="91">
        <f t="shared" si="347"/>
        <v>0</v>
      </c>
      <c r="S1962" s="91">
        <f t="shared" si="348"/>
        <v>222288</v>
      </c>
    </row>
    <row r="1963" spans="2:19" x14ac:dyDescent="0.2">
      <c r="B1963" s="88">
        <f t="shared" si="345"/>
        <v>98</v>
      </c>
      <c r="C1963" s="10"/>
      <c r="D1963" s="10"/>
      <c r="E1963" s="10"/>
      <c r="F1963" s="29" t="s">
        <v>84</v>
      </c>
      <c r="G1963" s="10">
        <v>630</v>
      </c>
      <c r="H1963" s="10" t="s">
        <v>133</v>
      </c>
      <c r="I1963" s="27">
        <f>I1969+I1968+I1967+I1966+I1965+I1964</f>
        <v>472498</v>
      </c>
      <c r="J1963" s="27">
        <f>J1969+J1968+J1967+J1966+J1965+J1964</f>
        <v>-7960</v>
      </c>
      <c r="K1963" s="27">
        <f t="shared" si="349"/>
        <v>464538</v>
      </c>
      <c r="L1963" s="321"/>
      <c r="M1963" s="397"/>
      <c r="N1963" s="27"/>
      <c r="O1963" s="250">
        <f t="shared" si="350"/>
        <v>0</v>
      </c>
      <c r="P1963" s="259"/>
      <c r="Q1963" s="309">
        <f t="shared" si="346"/>
        <v>472498</v>
      </c>
      <c r="R1963" s="91">
        <f t="shared" si="347"/>
        <v>-7960</v>
      </c>
      <c r="S1963" s="91">
        <f t="shared" si="348"/>
        <v>464538</v>
      </c>
    </row>
    <row r="1964" spans="2:19" x14ac:dyDescent="0.2">
      <c r="B1964" s="88">
        <f t="shared" si="345"/>
        <v>99</v>
      </c>
      <c r="C1964" s="4"/>
      <c r="D1964" s="4"/>
      <c r="E1964" s="4"/>
      <c r="F1964" s="30" t="s">
        <v>84</v>
      </c>
      <c r="G1964" s="4">
        <v>631</v>
      </c>
      <c r="H1964" s="4" t="s">
        <v>139</v>
      </c>
      <c r="I1964" s="23">
        <v>200</v>
      </c>
      <c r="J1964" s="23"/>
      <c r="K1964" s="23">
        <f t="shared" si="349"/>
        <v>200</v>
      </c>
      <c r="L1964" s="321"/>
      <c r="M1964" s="398"/>
      <c r="N1964" s="23"/>
      <c r="O1964" s="220">
        <f t="shared" si="350"/>
        <v>0</v>
      </c>
      <c r="P1964" s="259"/>
      <c r="Q1964" s="308">
        <f t="shared" si="346"/>
        <v>200</v>
      </c>
      <c r="R1964" s="92">
        <f t="shared" si="347"/>
        <v>0</v>
      </c>
      <c r="S1964" s="92">
        <f t="shared" si="348"/>
        <v>200</v>
      </c>
    </row>
    <row r="1965" spans="2:19" x14ac:dyDescent="0.2">
      <c r="B1965" s="88">
        <f t="shared" si="345"/>
        <v>100</v>
      </c>
      <c r="C1965" s="4"/>
      <c r="D1965" s="4"/>
      <c r="E1965" s="4"/>
      <c r="F1965" s="30" t="s">
        <v>84</v>
      </c>
      <c r="G1965" s="4">
        <v>632</v>
      </c>
      <c r="H1965" s="4" t="s">
        <v>146</v>
      </c>
      <c r="I1965" s="23">
        <v>93750</v>
      </c>
      <c r="J1965" s="23"/>
      <c r="K1965" s="23">
        <f t="shared" si="349"/>
        <v>93750</v>
      </c>
      <c r="L1965" s="321"/>
      <c r="M1965" s="398"/>
      <c r="N1965" s="23"/>
      <c r="O1965" s="220">
        <f t="shared" si="350"/>
        <v>0</v>
      </c>
      <c r="P1965" s="259"/>
      <c r="Q1965" s="308">
        <f t="shared" si="346"/>
        <v>93750</v>
      </c>
      <c r="R1965" s="92">
        <f t="shared" si="347"/>
        <v>0</v>
      </c>
      <c r="S1965" s="92">
        <f t="shared" si="348"/>
        <v>93750</v>
      </c>
    </row>
    <row r="1966" spans="2:19" x14ac:dyDescent="0.2">
      <c r="B1966" s="88">
        <f t="shared" si="345"/>
        <v>101</v>
      </c>
      <c r="C1966" s="4"/>
      <c r="D1966" s="4"/>
      <c r="E1966" s="4"/>
      <c r="F1966" s="30" t="s">
        <v>84</v>
      </c>
      <c r="G1966" s="4">
        <v>633</v>
      </c>
      <c r="H1966" s="4" t="s">
        <v>137</v>
      </c>
      <c r="I1966" s="23">
        <f>28450+1530</f>
        <v>29980</v>
      </c>
      <c r="J1966" s="23"/>
      <c r="K1966" s="23">
        <f t="shared" si="349"/>
        <v>29980</v>
      </c>
      <c r="L1966" s="321"/>
      <c r="M1966" s="398"/>
      <c r="N1966" s="23"/>
      <c r="O1966" s="220">
        <f t="shared" si="350"/>
        <v>0</v>
      </c>
      <c r="P1966" s="259"/>
      <c r="Q1966" s="92">
        <f t="shared" si="346"/>
        <v>29980</v>
      </c>
      <c r="R1966" s="92">
        <f t="shared" si="347"/>
        <v>0</v>
      </c>
      <c r="S1966" s="92">
        <f t="shared" si="348"/>
        <v>29980</v>
      </c>
    </row>
    <row r="1967" spans="2:19" x14ac:dyDescent="0.2">
      <c r="B1967" s="88">
        <f t="shared" si="345"/>
        <v>102</v>
      </c>
      <c r="C1967" s="4"/>
      <c r="D1967" s="4"/>
      <c r="E1967" s="4"/>
      <c r="F1967" s="30" t="s">
        <v>84</v>
      </c>
      <c r="G1967" s="4">
        <v>634</v>
      </c>
      <c r="H1967" s="4" t="s">
        <v>144</v>
      </c>
      <c r="I1967" s="23">
        <v>1900</v>
      </c>
      <c r="J1967" s="23"/>
      <c r="K1967" s="23">
        <f t="shared" si="349"/>
        <v>1900</v>
      </c>
      <c r="L1967" s="321"/>
      <c r="M1967" s="398"/>
      <c r="N1967" s="23"/>
      <c r="O1967" s="220">
        <f t="shared" si="350"/>
        <v>0</v>
      </c>
      <c r="P1967" s="259"/>
      <c r="Q1967" s="92">
        <f t="shared" si="346"/>
        <v>1900</v>
      </c>
      <c r="R1967" s="92">
        <f t="shared" si="347"/>
        <v>0</v>
      </c>
      <c r="S1967" s="92">
        <f t="shared" si="348"/>
        <v>1900</v>
      </c>
    </row>
    <row r="1968" spans="2:19" x14ac:dyDescent="0.2">
      <c r="B1968" s="88">
        <f t="shared" si="345"/>
        <v>103</v>
      </c>
      <c r="C1968" s="4"/>
      <c r="D1968" s="4"/>
      <c r="E1968" s="4"/>
      <c r="F1968" s="30" t="s">
        <v>84</v>
      </c>
      <c r="G1968" s="4">
        <v>635</v>
      </c>
      <c r="H1968" s="4" t="s">
        <v>145</v>
      </c>
      <c r="I1968" s="23">
        <v>72750</v>
      </c>
      <c r="J1968" s="23">
        <v>-17960</v>
      </c>
      <c r="K1968" s="23">
        <f t="shared" si="349"/>
        <v>54790</v>
      </c>
      <c r="L1968" s="321"/>
      <c r="M1968" s="398"/>
      <c r="N1968" s="23"/>
      <c r="O1968" s="220">
        <f t="shared" si="350"/>
        <v>0</v>
      </c>
      <c r="P1968" s="259"/>
      <c r="Q1968" s="92">
        <f t="shared" si="346"/>
        <v>72750</v>
      </c>
      <c r="R1968" s="92">
        <f t="shared" si="347"/>
        <v>-17960</v>
      </c>
      <c r="S1968" s="92">
        <f t="shared" si="348"/>
        <v>54790</v>
      </c>
    </row>
    <row r="1969" spans="2:19" x14ac:dyDescent="0.2">
      <c r="B1969" s="88">
        <f t="shared" si="345"/>
        <v>104</v>
      </c>
      <c r="C1969" s="4"/>
      <c r="D1969" s="4"/>
      <c r="E1969" s="4"/>
      <c r="F1969" s="30" t="s">
        <v>84</v>
      </c>
      <c r="G1969" s="4">
        <v>637</v>
      </c>
      <c r="H1969" s="4" t="s">
        <v>134</v>
      </c>
      <c r="I1969" s="23">
        <v>273918</v>
      </c>
      <c r="J1969" s="23">
        <v>10000</v>
      </c>
      <c r="K1969" s="23">
        <f t="shared" si="349"/>
        <v>283918</v>
      </c>
      <c r="L1969" s="321"/>
      <c r="M1969" s="398"/>
      <c r="N1969" s="23"/>
      <c r="O1969" s="220">
        <f t="shared" si="350"/>
        <v>0</v>
      </c>
      <c r="P1969" s="259"/>
      <c r="Q1969" s="92">
        <f t="shared" si="346"/>
        <v>273918</v>
      </c>
      <c r="R1969" s="92">
        <f t="shared" si="347"/>
        <v>10000</v>
      </c>
      <c r="S1969" s="92">
        <f t="shared" si="348"/>
        <v>283918</v>
      </c>
    </row>
    <row r="1970" spans="2:19" x14ac:dyDescent="0.2">
      <c r="B1970" s="88">
        <f t="shared" si="345"/>
        <v>105</v>
      </c>
      <c r="C1970" s="10"/>
      <c r="D1970" s="10"/>
      <c r="E1970" s="10"/>
      <c r="F1970" s="29" t="s">
        <v>84</v>
      </c>
      <c r="G1970" s="10">
        <v>640</v>
      </c>
      <c r="H1970" s="10" t="s">
        <v>141</v>
      </c>
      <c r="I1970" s="27">
        <f>1036+8347</f>
        <v>9383</v>
      </c>
      <c r="J1970" s="27">
        <v>300</v>
      </c>
      <c r="K1970" s="27">
        <f t="shared" si="349"/>
        <v>9683</v>
      </c>
      <c r="L1970" s="321"/>
      <c r="M1970" s="397"/>
      <c r="N1970" s="27"/>
      <c r="O1970" s="250">
        <f t="shared" si="350"/>
        <v>0</v>
      </c>
      <c r="P1970" s="259"/>
      <c r="Q1970" s="91">
        <f t="shared" si="346"/>
        <v>9383</v>
      </c>
      <c r="R1970" s="91">
        <f t="shared" si="347"/>
        <v>300</v>
      </c>
      <c r="S1970" s="91">
        <f t="shared" si="348"/>
        <v>9683</v>
      </c>
    </row>
    <row r="1971" spans="2:19" x14ac:dyDescent="0.2">
      <c r="B1971" s="88">
        <f t="shared" si="345"/>
        <v>106</v>
      </c>
      <c r="C1971" s="10"/>
      <c r="D1971" s="10"/>
      <c r="E1971" s="10"/>
      <c r="F1971" s="29" t="s">
        <v>84</v>
      </c>
      <c r="G1971" s="10">
        <v>710</v>
      </c>
      <c r="H1971" s="10" t="s">
        <v>188</v>
      </c>
      <c r="I1971" s="27"/>
      <c r="J1971" s="27"/>
      <c r="K1971" s="27">
        <f t="shared" si="349"/>
        <v>0</v>
      </c>
      <c r="L1971" s="321"/>
      <c r="M1971" s="397">
        <f>M1974+M1972</f>
        <v>14000</v>
      </c>
      <c r="N1971" s="27">
        <f>N1974+N1972</f>
        <v>0</v>
      </c>
      <c r="O1971" s="250">
        <f t="shared" si="350"/>
        <v>14000</v>
      </c>
      <c r="P1971" s="259"/>
      <c r="Q1971" s="91">
        <f t="shared" si="346"/>
        <v>14000</v>
      </c>
      <c r="R1971" s="91">
        <f t="shared" si="347"/>
        <v>0</v>
      </c>
      <c r="S1971" s="91">
        <f t="shared" si="348"/>
        <v>14000</v>
      </c>
    </row>
    <row r="1972" spans="2:19" x14ac:dyDescent="0.2">
      <c r="B1972" s="88">
        <f t="shared" si="345"/>
        <v>107</v>
      </c>
      <c r="C1972" s="10"/>
      <c r="D1972" s="10"/>
      <c r="E1972" s="10"/>
      <c r="F1972" s="29"/>
      <c r="G1972" s="56">
        <v>713</v>
      </c>
      <c r="H1972" s="4" t="s">
        <v>235</v>
      </c>
      <c r="I1972" s="24"/>
      <c r="J1972" s="24"/>
      <c r="K1972" s="24">
        <f t="shared" si="349"/>
        <v>0</v>
      </c>
      <c r="L1972" s="321"/>
      <c r="M1972" s="398">
        <f>M1973</f>
        <v>5500</v>
      </c>
      <c r="N1972" s="23">
        <f>N1973</f>
        <v>0</v>
      </c>
      <c r="O1972" s="220">
        <f t="shared" si="350"/>
        <v>5500</v>
      </c>
      <c r="P1972" s="259"/>
      <c r="Q1972" s="92">
        <f t="shared" si="346"/>
        <v>5500</v>
      </c>
      <c r="R1972" s="92">
        <f t="shared" si="347"/>
        <v>0</v>
      </c>
      <c r="S1972" s="92">
        <f t="shared" si="348"/>
        <v>5500</v>
      </c>
    </row>
    <row r="1973" spans="2:19" x14ac:dyDescent="0.2">
      <c r="B1973" s="88">
        <f t="shared" si="345"/>
        <v>108</v>
      </c>
      <c r="C1973" s="10"/>
      <c r="D1973" s="10"/>
      <c r="E1973" s="10"/>
      <c r="F1973" s="29"/>
      <c r="G1973" s="56"/>
      <c r="H1973" s="16" t="s">
        <v>603</v>
      </c>
      <c r="I1973" s="24"/>
      <c r="J1973" s="24"/>
      <c r="K1973" s="24">
        <f t="shared" si="349"/>
        <v>0</v>
      </c>
      <c r="L1973" s="321"/>
      <c r="M1973" s="399">
        <v>5500</v>
      </c>
      <c r="N1973" s="25"/>
      <c r="O1973" s="251">
        <f t="shared" si="350"/>
        <v>5500</v>
      </c>
      <c r="P1973" s="259"/>
      <c r="Q1973" s="93">
        <f t="shared" si="346"/>
        <v>5500</v>
      </c>
      <c r="R1973" s="93">
        <f t="shared" si="347"/>
        <v>0</v>
      </c>
      <c r="S1973" s="93">
        <f t="shared" si="348"/>
        <v>5500</v>
      </c>
    </row>
    <row r="1974" spans="2:19" x14ac:dyDescent="0.2">
      <c r="B1974" s="88">
        <f t="shared" si="345"/>
        <v>109</v>
      </c>
      <c r="C1974" s="10"/>
      <c r="D1974" s="10"/>
      <c r="E1974" s="10"/>
      <c r="F1974" s="30" t="s">
        <v>84</v>
      </c>
      <c r="G1974" s="4">
        <v>716</v>
      </c>
      <c r="H1974" s="4" t="s">
        <v>232</v>
      </c>
      <c r="I1974" s="23"/>
      <c r="J1974" s="23"/>
      <c r="K1974" s="23">
        <f t="shared" si="349"/>
        <v>0</v>
      </c>
      <c r="L1974" s="321"/>
      <c r="M1974" s="398">
        <f>M1975</f>
        <v>8500</v>
      </c>
      <c r="N1974" s="23">
        <f>N1975</f>
        <v>0</v>
      </c>
      <c r="O1974" s="220">
        <f t="shared" si="350"/>
        <v>8500</v>
      </c>
      <c r="P1974" s="259"/>
      <c r="Q1974" s="92">
        <f t="shared" si="346"/>
        <v>8500</v>
      </c>
      <c r="R1974" s="92">
        <f t="shared" si="347"/>
        <v>0</v>
      </c>
      <c r="S1974" s="92">
        <f t="shared" si="348"/>
        <v>8500</v>
      </c>
    </row>
    <row r="1975" spans="2:19" x14ac:dyDescent="0.2">
      <c r="B1975" s="88">
        <f t="shared" si="345"/>
        <v>110</v>
      </c>
      <c r="C1975" s="10"/>
      <c r="D1975" s="10"/>
      <c r="E1975" s="10"/>
      <c r="F1975" s="35"/>
      <c r="G1975" s="5"/>
      <c r="H1975" s="16" t="s">
        <v>499</v>
      </c>
      <c r="I1975" s="25"/>
      <c r="J1975" s="25"/>
      <c r="K1975" s="25">
        <f t="shared" si="349"/>
        <v>0</v>
      </c>
      <c r="L1975" s="321"/>
      <c r="M1975" s="399">
        <f>7000+1500</f>
        <v>8500</v>
      </c>
      <c r="N1975" s="25"/>
      <c r="O1975" s="251">
        <f t="shared" si="350"/>
        <v>8500</v>
      </c>
      <c r="P1975" s="259"/>
      <c r="Q1975" s="93">
        <f t="shared" si="346"/>
        <v>8500</v>
      </c>
      <c r="R1975" s="93">
        <f t="shared" si="347"/>
        <v>0</v>
      </c>
      <c r="S1975" s="93">
        <f t="shared" si="348"/>
        <v>8500</v>
      </c>
    </row>
    <row r="1976" spans="2:19" ht="15" x14ac:dyDescent="0.2">
      <c r="B1976" s="88">
        <f t="shared" si="345"/>
        <v>111</v>
      </c>
      <c r="C1976" s="242">
        <v>7</v>
      </c>
      <c r="D1976" s="511" t="s">
        <v>57</v>
      </c>
      <c r="E1976" s="509"/>
      <c r="F1976" s="509"/>
      <c r="G1976" s="509"/>
      <c r="H1976" s="510"/>
      <c r="I1976" s="40">
        <f>I1977</f>
        <v>715306</v>
      </c>
      <c r="J1976" s="40">
        <f>J1977</f>
        <v>500</v>
      </c>
      <c r="K1976" s="40">
        <f t="shared" si="349"/>
        <v>715806</v>
      </c>
      <c r="L1976" s="321"/>
      <c r="M1976" s="395">
        <f>M1977</f>
        <v>16520</v>
      </c>
      <c r="N1976" s="40">
        <f>N1977</f>
        <v>0</v>
      </c>
      <c r="O1976" s="248">
        <f t="shared" si="350"/>
        <v>16520</v>
      </c>
      <c r="P1976" s="259"/>
      <c r="Q1976" s="89">
        <f t="shared" si="346"/>
        <v>731826</v>
      </c>
      <c r="R1976" s="89">
        <f t="shared" si="347"/>
        <v>500</v>
      </c>
      <c r="S1976" s="89">
        <f t="shared" si="348"/>
        <v>732326</v>
      </c>
    </row>
    <row r="1977" spans="2:19" ht="15" x14ac:dyDescent="0.25">
      <c r="B1977" s="88">
        <f t="shared" si="345"/>
        <v>112</v>
      </c>
      <c r="C1977" s="13"/>
      <c r="D1977" s="13"/>
      <c r="E1977" s="13">
        <v>5</v>
      </c>
      <c r="F1977" s="32"/>
      <c r="G1977" s="13"/>
      <c r="H1977" s="13" t="s">
        <v>116</v>
      </c>
      <c r="I1977" s="42">
        <f>I1978+I1979+I1980+I1985</f>
        <v>715306</v>
      </c>
      <c r="J1977" s="42">
        <f>J1978+J1979+J1980+J1985</f>
        <v>500</v>
      </c>
      <c r="K1977" s="42">
        <f t="shared" si="349"/>
        <v>715806</v>
      </c>
      <c r="L1977" s="321"/>
      <c r="M1977" s="396">
        <f>M1986</f>
        <v>16520</v>
      </c>
      <c r="N1977" s="42">
        <f>N1986</f>
        <v>0</v>
      </c>
      <c r="O1977" s="255">
        <f t="shared" si="350"/>
        <v>16520</v>
      </c>
      <c r="P1977" s="259"/>
      <c r="Q1977" s="99">
        <f t="shared" si="346"/>
        <v>731826</v>
      </c>
      <c r="R1977" s="99">
        <f t="shared" si="347"/>
        <v>500</v>
      </c>
      <c r="S1977" s="99">
        <f t="shared" si="348"/>
        <v>732326</v>
      </c>
    </row>
    <row r="1978" spans="2:19" x14ac:dyDescent="0.2">
      <c r="B1978" s="88">
        <f t="shared" si="345"/>
        <v>113</v>
      </c>
      <c r="C1978" s="10"/>
      <c r="D1978" s="10"/>
      <c r="E1978" s="10"/>
      <c r="F1978" s="29" t="s">
        <v>84</v>
      </c>
      <c r="G1978" s="10">
        <v>610</v>
      </c>
      <c r="H1978" s="10" t="s">
        <v>143</v>
      </c>
      <c r="I1978" s="27">
        <v>486013</v>
      </c>
      <c r="J1978" s="27"/>
      <c r="K1978" s="27">
        <f t="shared" si="349"/>
        <v>486013</v>
      </c>
      <c r="L1978" s="321"/>
      <c r="M1978" s="397"/>
      <c r="N1978" s="27"/>
      <c r="O1978" s="250">
        <f t="shared" si="350"/>
        <v>0</v>
      </c>
      <c r="P1978" s="259"/>
      <c r="Q1978" s="91">
        <f t="shared" si="346"/>
        <v>486013</v>
      </c>
      <c r="R1978" s="91">
        <f t="shared" si="347"/>
        <v>0</v>
      </c>
      <c r="S1978" s="91">
        <f t="shared" si="348"/>
        <v>486013</v>
      </c>
    </row>
    <row r="1979" spans="2:19" x14ac:dyDescent="0.2">
      <c r="B1979" s="88">
        <f t="shared" si="345"/>
        <v>114</v>
      </c>
      <c r="C1979" s="10"/>
      <c r="D1979" s="10"/>
      <c r="E1979" s="10"/>
      <c r="F1979" s="29" t="s">
        <v>84</v>
      </c>
      <c r="G1979" s="10">
        <v>620</v>
      </c>
      <c r="H1979" s="10" t="s">
        <v>136</v>
      </c>
      <c r="I1979" s="27">
        <v>170372</v>
      </c>
      <c r="J1979" s="27"/>
      <c r="K1979" s="27">
        <f t="shared" si="349"/>
        <v>170372</v>
      </c>
      <c r="L1979" s="321"/>
      <c r="M1979" s="397"/>
      <c r="N1979" s="27"/>
      <c r="O1979" s="250">
        <f t="shared" si="350"/>
        <v>0</v>
      </c>
      <c r="P1979" s="259"/>
      <c r="Q1979" s="91">
        <f t="shared" si="346"/>
        <v>170372</v>
      </c>
      <c r="R1979" s="91">
        <f t="shared" si="347"/>
        <v>0</v>
      </c>
      <c r="S1979" s="91">
        <f t="shared" si="348"/>
        <v>170372</v>
      </c>
    </row>
    <row r="1980" spans="2:19" x14ac:dyDescent="0.2">
      <c r="B1980" s="88">
        <f t="shared" si="345"/>
        <v>115</v>
      </c>
      <c r="C1980" s="10"/>
      <c r="D1980" s="10"/>
      <c r="E1980" s="10"/>
      <c r="F1980" s="29" t="s">
        <v>84</v>
      </c>
      <c r="G1980" s="10">
        <v>630</v>
      </c>
      <c r="H1980" s="10" t="s">
        <v>133</v>
      </c>
      <c r="I1980" s="27">
        <f>SUM(I1981:I1984)</f>
        <v>57401</v>
      </c>
      <c r="J1980" s="27">
        <f>SUM(J1981:J1984)</f>
        <v>0</v>
      </c>
      <c r="K1980" s="27">
        <f t="shared" si="349"/>
        <v>57401</v>
      </c>
      <c r="L1980" s="321"/>
      <c r="M1980" s="397"/>
      <c r="N1980" s="27"/>
      <c r="O1980" s="250">
        <f t="shared" si="350"/>
        <v>0</v>
      </c>
      <c r="P1980" s="259"/>
      <c r="Q1980" s="91">
        <f t="shared" si="346"/>
        <v>57401</v>
      </c>
      <c r="R1980" s="91">
        <f t="shared" si="347"/>
        <v>0</v>
      </c>
      <c r="S1980" s="91">
        <f t="shared" si="348"/>
        <v>57401</v>
      </c>
    </row>
    <row r="1981" spans="2:19" x14ac:dyDescent="0.2">
      <c r="B1981" s="88">
        <f t="shared" si="345"/>
        <v>116</v>
      </c>
      <c r="C1981" s="4"/>
      <c r="D1981" s="4"/>
      <c r="E1981" s="4"/>
      <c r="F1981" s="30" t="s">
        <v>84</v>
      </c>
      <c r="G1981" s="4">
        <v>632</v>
      </c>
      <c r="H1981" s="4" t="s">
        <v>146</v>
      </c>
      <c r="I1981" s="23">
        <v>720</v>
      </c>
      <c r="J1981" s="23"/>
      <c r="K1981" s="23">
        <f t="shared" si="349"/>
        <v>720</v>
      </c>
      <c r="L1981" s="321"/>
      <c r="M1981" s="398"/>
      <c r="N1981" s="23"/>
      <c r="O1981" s="220">
        <f t="shared" si="350"/>
        <v>0</v>
      </c>
      <c r="P1981" s="259"/>
      <c r="Q1981" s="92">
        <f t="shared" si="346"/>
        <v>720</v>
      </c>
      <c r="R1981" s="92">
        <f t="shared" si="347"/>
        <v>0</v>
      </c>
      <c r="S1981" s="92">
        <f t="shared" si="348"/>
        <v>720</v>
      </c>
    </row>
    <row r="1982" spans="2:19" x14ac:dyDescent="0.2">
      <c r="B1982" s="88">
        <f t="shared" si="345"/>
        <v>117</v>
      </c>
      <c r="C1982" s="4"/>
      <c r="D1982" s="4"/>
      <c r="E1982" s="4"/>
      <c r="F1982" s="30" t="s">
        <v>84</v>
      </c>
      <c r="G1982" s="4">
        <v>633</v>
      </c>
      <c r="H1982" s="4" t="s">
        <v>137</v>
      </c>
      <c r="I1982" s="23">
        <v>2700</v>
      </c>
      <c r="J1982" s="23"/>
      <c r="K1982" s="23">
        <f t="shared" si="349"/>
        <v>2700</v>
      </c>
      <c r="L1982" s="321"/>
      <c r="M1982" s="398"/>
      <c r="N1982" s="23"/>
      <c r="O1982" s="220">
        <f t="shared" si="350"/>
        <v>0</v>
      </c>
      <c r="P1982" s="259"/>
      <c r="Q1982" s="92">
        <f t="shared" si="346"/>
        <v>2700</v>
      </c>
      <c r="R1982" s="92">
        <f t="shared" si="347"/>
        <v>0</v>
      </c>
      <c r="S1982" s="92">
        <f t="shared" si="348"/>
        <v>2700</v>
      </c>
    </row>
    <row r="1983" spans="2:19" x14ac:dyDescent="0.2">
      <c r="B1983" s="88">
        <f t="shared" si="345"/>
        <v>118</v>
      </c>
      <c r="C1983" s="4"/>
      <c r="D1983" s="4"/>
      <c r="E1983" s="4"/>
      <c r="F1983" s="30" t="s">
        <v>84</v>
      </c>
      <c r="G1983" s="4">
        <v>634</v>
      </c>
      <c r="H1983" s="4" t="s">
        <v>144</v>
      </c>
      <c r="I1983" s="23">
        <v>4901</v>
      </c>
      <c r="J1983" s="23">
        <v>1100</v>
      </c>
      <c r="K1983" s="23">
        <f t="shared" si="349"/>
        <v>6001</v>
      </c>
      <c r="L1983" s="321"/>
      <c r="M1983" s="398"/>
      <c r="N1983" s="23"/>
      <c r="O1983" s="220">
        <f t="shared" si="350"/>
        <v>0</v>
      </c>
      <c r="P1983" s="259"/>
      <c r="Q1983" s="92">
        <f t="shared" si="346"/>
        <v>4901</v>
      </c>
      <c r="R1983" s="92">
        <f t="shared" si="347"/>
        <v>1100</v>
      </c>
      <c r="S1983" s="92">
        <f t="shared" si="348"/>
        <v>6001</v>
      </c>
    </row>
    <row r="1984" spans="2:19" x14ac:dyDescent="0.2">
      <c r="B1984" s="88">
        <f t="shared" si="345"/>
        <v>119</v>
      </c>
      <c r="C1984" s="4"/>
      <c r="D1984" s="4"/>
      <c r="E1984" s="4"/>
      <c r="F1984" s="30" t="s">
        <v>84</v>
      </c>
      <c r="G1984" s="4">
        <v>637</v>
      </c>
      <c r="H1984" s="4" t="s">
        <v>134</v>
      </c>
      <c r="I1984" s="23">
        <v>49080</v>
      </c>
      <c r="J1984" s="23">
        <v>-1100</v>
      </c>
      <c r="K1984" s="23">
        <f t="shared" si="349"/>
        <v>47980</v>
      </c>
      <c r="L1984" s="321"/>
      <c r="M1984" s="398"/>
      <c r="N1984" s="23"/>
      <c r="O1984" s="220">
        <f t="shared" si="350"/>
        <v>0</v>
      </c>
      <c r="P1984" s="259"/>
      <c r="Q1984" s="92">
        <f t="shared" si="346"/>
        <v>49080</v>
      </c>
      <c r="R1984" s="92">
        <f t="shared" si="347"/>
        <v>-1100</v>
      </c>
      <c r="S1984" s="92">
        <f t="shared" si="348"/>
        <v>47980</v>
      </c>
    </row>
    <row r="1985" spans="2:19" x14ac:dyDescent="0.2">
      <c r="B1985" s="88">
        <f t="shared" si="345"/>
        <v>120</v>
      </c>
      <c r="C1985" s="10"/>
      <c r="D1985" s="10"/>
      <c r="E1985" s="10"/>
      <c r="F1985" s="29" t="s">
        <v>84</v>
      </c>
      <c r="G1985" s="10">
        <v>640</v>
      </c>
      <c r="H1985" s="10" t="s">
        <v>141</v>
      </c>
      <c r="I1985" s="27">
        <f>1170+350</f>
        <v>1520</v>
      </c>
      <c r="J1985" s="27">
        <v>500</v>
      </c>
      <c r="K1985" s="27">
        <f t="shared" si="349"/>
        <v>2020</v>
      </c>
      <c r="L1985" s="321"/>
      <c r="M1985" s="397"/>
      <c r="N1985" s="27"/>
      <c r="O1985" s="250">
        <f t="shared" si="350"/>
        <v>0</v>
      </c>
      <c r="P1985" s="259"/>
      <c r="Q1985" s="91">
        <f t="shared" si="346"/>
        <v>1520</v>
      </c>
      <c r="R1985" s="91">
        <f t="shared" si="347"/>
        <v>500</v>
      </c>
      <c r="S1985" s="91">
        <f t="shared" si="348"/>
        <v>2020</v>
      </c>
    </row>
    <row r="1986" spans="2:19" x14ac:dyDescent="0.2">
      <c r="B1986" s="88">
        <f t="shared" si="345"/>
        <v>121</v>
      </c>
      <c r="C1986" s="10"/>
      <c r="D1986" s="10"/>
      <c r="E1986" s="10"/>
      <c r="F1986" s="29" t="s">
        <v>84</v>
      </c>
      <c r="G1986" s="10">
        <v>710</v>
      </c>
      <c r="H1986" s="10" t="s">
        <v>188</v>
      </c>
      <c r="I1986" s="27"/>
      <c r="J1986" s="27"/>
      <c r="K1986" s="27">
        <f t="shared" si="349"/>
        <v>0</v>
      </c>
      <c r="L1986" s="321"/>
      <c r="M1986" s="397">
        <f>M1987</f>
        <v>16520</v>
      </c>
      <c r="N1986" s="27">
        <f>N1987</f>
        <v>0</v>
      </c>
      <c r="O1986" s="27">
        <f t="shared" si="350"/>
        <v>16520</v>
      </c>
      <c r="P1986" s="259"/>
      <c r="Q1986" s="27">
        <f t="shared" si="346"/>
        <v>16520</v>
      </c>
      <c r="R1986" s="27">
        <f t="shared" si="347"/>
        <v>0</v>
      </c>
      <c r="S1986" s="27">
        <f t="shared" si="348"/>
        <v>16520</v>
      </c>
    </row>
    <row r="1987" spans="2:19" x14ac:dyDescent="0.2">
      <c r="B1987" s="88">
        <f t="shared" si="345"/>
        <v>122</v>
      </c>
      <c r="C1987" s="10"/>
      <c r="D1987" s="10"/>
      <c r="E1987" s="10"/>
      <c r="F1987" s="30" t="s">
        <v>84</v>
      </c>
      <c r="G1987" s="4">
        <v>714</v>
      </c>
      <c r="H1987" s="4" t="s">
        <v>189</v>
      </c>
      <c r="I1987" s="27"/>
      <c r="J1987" s="27"/>
      <c r="K1987" s="27">
        <f t="shared" si="349"/>
        <v>0</v>
      </c>
      <c r="L1987" s="321"/>
      <c r="M1987" s="398">
        <f>M1988</f>
        <v>16520</v>
      </c>
      <c r="N1987" s="23">
        <f>N1988</f>
        <v>0</v>
      </c>
      <c r="O1987" s="23">
        <f t="shared" si="350"/>
        <v>16520</v>
      </c>
      <c r="P1987" s="259"/>
      <c r="Q1987" s="23">
        <f t="shared" si="346"/>
        <v>16520</v>
      </c>
      <c r="R1987" s="23">
        <f t="shared" si="347"/>
        <v>0</v>
      </c>
      <c r="S1987" s="23">
        <f t="shared" si="348"/>
        <v>16520</v>
      </c>
    </row>
    <row r="1988" spans="2:19" x14ac:dyDescent="0.2">
      <c r="B1988" s="88">
        <f t="shared" si="345"/>
        <v>123</v>
      </c>
      <c r="C1988" s="10"/>
      <c r="D1988" s="433"/>
      <c r="E1988" s="433"/>
      <c r="F1988" s="229"/>
      <c r="G1988" s="149"/>
      <c r="H1988" s="149" t="s">
        <v>604</v>
      </c>
      <c r="I1988" s="27"/>
      <c r="J1988" s="27"/>
      <c r="K1988" s="27">
        <f t="shared" si="349"/>
        <v>0</v>
      </c>
      <c r="L1988" s="321"/>
      <c r="M1988" s="399">
        <v>16520</v>
      </c>
      <c r="N1988" s="25"/>
      <c r="O1988" s="25">
        <f t="shared" si="350"/>
        <v>16520</v>
      </c>
      <c r="P1988" s="259"/>
      <c r="Q1988" s="25">
        <f t="shared" si="346"/>
        <v>16520</v>
      </c>
      <c r="R1988" s="25">
        <f t="shared" si="347"/>
        <v>0</v>
      </c>
      <c r="S1988" s="25">
        <f t="shared" si="348"/>
        <v>16520</v>
      </c>
    </row>
    <row r="1989" spans="2:19" ht="15" x14ac:dyDescent="0.2">
      <c r="B1989" s="88">
        <f t="shared" si="345"/>
        <v>124</v>
      </c>
      <c r="C1989" s="242">
        <v>8</v>
      </c>
      <c r="D1989" s="511" t="s">
        <v>210</v>
      </c>
      <c r="E1989" s="509"/>
      <c r="F1989" s="509"/>
      <c r="G1989" s="509"/>
      <c r="H1989" s="510"/>
      <c r="I1989" s="40">
        <f>I1990</f>
        <v>3500</v>
      </c>
      <c r="J1989" s="40">
        <f>J1990</f>
        <v>-1000</v>
      </c>
      <c r="K1989" s="40">
        <f t="shared" si="349"/>
        <v>2500</v>
      </c>
      <c r="L1989" s="321"/>
      <c r="M1989" s="395">
        <v>0</v>
      </c>
      <c r="N1989" s="40">
        <v>0</v>
      </c>
      <c r="O1989" s="248">
        <f t="shared" si="350"/>
        <v>0</v>
      </c>
      <c r="P1989" s="259"/>
      <c r="Q1989" s="89">
        <f t="shared" si="346"/>
        <v>3500</v>
      </c>
      <c r="R1989" s="89">
        <f t="shared" si="347"/>
        <v>-1000</v>
      </c>
      <c r="S1989" s="89">
        <f t="shared" si="348"/>
        <v>2500</v>
      </c>
    </row>
    <row r="1990" spans="2:19" x14ac:dyDescent="0.2">
      <c r="B1990" s="88">
        <f t="shared" si="345"/>
        <v>125</v>
      </c>
      <c r="C1990" s="10"/>
      <c r="D1990" s="10"/>
      <c r="E1990" s="10"/>
      <c r="F1990" s="29" t="s">
        <v>156</v>
      </c>
      <c r="G1990" s="10">
        <v>630</v>
      </c>
      <c r="H1990" s="10" t="s">
        <v>133</v>
      </c>
      <c r="I1990" s="27">
        <f>I1991</f>
        <v>3500</v>
      </c>
      <c r="J1990" s="27">
        <f>J1991</f>
        <v>-1000</v>
      </c>
      <c r="K1990" s="27">
        <f t="shared" si="349"/>
        <v>2500</v>
      </c>
      <c r="L1990" s="321"/>
      <c r="M1990" s="397"/>
      <c r="N1990" s="27"/>
      <c r="O1990" s="250">
        <f t="shared" si="350"/>
        <v>0</v>
      </c>
      <c r="P1990" s="259"/>
      <c r="Q1990" s="91">
        <f t="shared" si="346"/>
        <v>3500</v>
      </c>
      <c r="R1990" s="91">
        <f t="shared" si="347"/>
        <v>-1000</v>
      </c>
      <c r="S1990" s="91">
        <f t="shared" si="348"/>
        <v>2500</v>
      </c>
    </row>
    <row r="1991" spans="2:19" x14ac:dyDescent="0.2">
      <c r="B1991" s="88">
        <f t="shared" si="345"/>
        <v>126</v>
      </c>
      <c r="C1991" s="4"/>
      <c r="D1991" s="4"/>
      <c r="E1991" s="4"/>
      <c r="F1991" s="30" t="s">
        <v>156</v>
      </c>
      <c r="G1991" s="4">
        <v>637</v>
      </c>
      <c r="H1991" s="4" t="s">
        <v>134</v>
      </c>
      <c r="I1991" s="23">
        <f>4000-500</f>
        <v>3500</v>
      </c>
      <c r="J1991" s="23">
        <v>-1000</v>
      </c>
      <c r="K1991" s="23">
        <f t="shared" si="349"/>
        <v>2500</v>
      </c>
      <c r="L1991" s="321"/>
      <c r="M1991" s="398"/>
      <c r="N1991" s="23"/>
      <c r="O1991" s="220">
        <f t="shared" si="350"/>
        <v>0</v>
      </c>
      <c r="P1991" s="259"/>
      <c r="Q1991" s="92">
        <f t="shared" si="346"/>
        <v>3500</v>
      </c>
      <c r="R1991" s="92">
        <f t="shared" si="347"/>
        <v>-1000</v>
      </c>
      <c r="S1991" s="92">
        <f t="shared" si="348"/>
        <v>2500</v>
      </c>
    </row>
    <row r="1992" spans="2:19" ht="15" x14ac:dyDescent="0.2">
      <c r="B1992" s="88">
        <f t="shared" si="345"/>
        <v>127</v>
      </c>
      <c r="C1992" s="242">
        <v>9</v>
      </c>
      <c r="D1992" s="511" t="s">
        <v>186</v>
      </c>
      <c r="E1992" s="509"/>
      <c r="F1992" s="509"/>
      <c r="G1992" s="509"/>
      <c r="H1992" s="510"/>
      <c r="I1992" s="40">
        <f>I1993+I1995</f>
        <v>18461</v>
      </c>
      <c r="J1992" s="40">
        <f>J1993+J1995</f>
        <v>0</v>
      </c>
      <c r="K1992" s="40">
        <f t="shared" si="349"/>
        <v>18461</v>
      </c>
      <c r="L1992" s="321"/>
      <c r="M1992" s="395">
        <v>0</v>
      </c>
      <c r="N1992" s="40">
        <v>0</v>
      </c>
      <c r="O1992" s="248">
        <f t="shared" si="350"/>
        <v>0</v>
      </c>
      <c r="P1992" s="259"/>
      <c r="Q1992" s="89">
        <f t="shared" si="346"/>
        <v>18461</v>
      </c>
      <c r="R1992" s="89">
        <f t="shared" si="347"/>
        <v>0</v>
      </c>
      <c r="S1992" s="89">
        <f t="shared" si="348"/>
        <v>18461</v>
      </c>
    </row>
    <row r="1993" spans="2:19" x14ac:dyDescent="0.2">
      <c r="B1993" s="88">
        <f t="shared" si="345"/>
        <v>128</v>
      </c>
      <c r="C1993" s="10"/>
      <c r="D1993" s="10"/>
      <c r="E1993" s="10"/>
      <c r="F1993" s="29" t="s">
        <v>83</v>
      </c>
      <c r="G1993" s="10">
        <v>630</v>
      </c>
      <c r="H1993" s="10" t="s">
        <v>133</v>
      </c>
      <c r="I1993" s="27">
        <f>I1994</f>
        <v>14141</v>
      </c>
      <c r="J1993" s="27">
        <f>J1994</f>
        <v>0</v>
      </c>
      <c r="K1993" s="27">
        <f t="shared" si="349"/>
        <v>14141</v>
      </c>
      <c r="L1993" s="321"/>
      <c r="M1993" s="397"/>
      <c r="N1993" s="27"/>
      <c r="O1993" s="250">
        <f t="shared" si="350"/>
        <v>0</v>
      </c>
      <c r="P1993" s="259"/>
      <c r="Q1993" s="91">
        <f t="shared" si="346"/>
        <v>14141</v>
      </c>
      <c r="R1993" s="91">
        <f t="shared" si="347"/>
        <v>0</v>
      </c>
      <c r="S1993" s="91">
        <f t="shared" si="348"/>
        <v>14141</v>
      </c>
    </row>
    <row r="1994" spans="2:19" x14ac:dyDescent="0.2">
      <c r="B1994" s="88">
        <f t="shared" si="345"/>
        <v>129</v>
      </c>
      <c r="C1994" s="4"/>
      <c r="D1994" s="4"/>
      <c r="E1994" s="4"/>
      <c r="F1994" s="30" t="s">
        <v>83</v>
      </c>
      <c r="G1994" s="4">
        <v>637</v>
      </c>
      <c r="H1994" s="4" t="s">
        <v>134</v>
      </c>
      <c r="I1994" s="23">
        <f>14000+141</f>
        <v>14141</v>
      </c>
      <c r="J1994" s="23"/>
      <c r="K1994" s="23">
        <f t="shared" si="349"/>
        <v>14141</v>
      </c>
      <c r="L1994" s="321"/>
      <c r="M1994" s="398"/>
      <c r="N1994" s="23"/>
      <c r="O1994" s="220">
        <f t="shared" si="350"/>
        <v>0</v>
      </c>
      <c r="P1994" s="259"/>
      <c r="Q1994" s="92">
        <f t="shared" si="346"/>
        <v>14141</v>
      </c>
      <c r="R1994" s="92">
        <f t="shared" si="347"/>
        <v>0</v>
      </c>
      <c r="S1994" s="92">
        <f t="shared" si="348"/>
        <v>14141</v>
      </c>
    </row>
    <row r="1995" spans="2:19" x14ac:dyDescent="0.2">
      <c r="B1995" s="88">
        <f t="shared" ref="B1995:B2015" si="351">B1994+1</f>
        <v>130</v>
      </c>
      <c r="C1995" s="10"/>
      <c r="D1995" s="10"/>
      <c r="E1995" s="10"/>
      <c r="F1995" s="29" t="s">
        <v>83</v>
      </c>
      <c r="G1995" s="10">
        <v>640</v>
      </c>
      <c r="H1995" s="10" t="s">
        <v>141</v>
      </c>
      <c r="I1995" s="27">
        <f>I1996</f>
        <v>4320</v>
      </c>
      <c r="J1995" s="27">
        <f>J1996</f>
        <v>0</v>
      </c>
      <c r="K1995" s="27">
        <f t="shared" si="349"/>
        <v>4320</v>
      </c>
      <c r="L1995" s="321"/>
      <c r="M1995" s="397"/>
      <c r="N1995" s="27"/>
      <c r="O1995" s="250">
        <f t="shared" si="350"/>
        <v>0</v>
      </c>
      <c r="P1995" s="259"/>
      <c r="Q1995" s="91">
        <f t="shared" ref="Q1995:Q2016" si="352">I1995+M1995</f>
        <v>4320</v>
      </c>
      <c r="R1995" s="91">
        <f t="shared" ref="R1995:R2016" si="353">J1995+N1995</f>
        <v>0</v>
      </c>
      <c r="S1995" s="91">
        <f t="shared" ref="S1995:S2016" si="354">K1995+O1995</f>
        <v>4320</v>
      </c>
    </row>
    <row r="1996" spans="2:19" x14ac:dyDescent="0.2">
      <c r="B1996" s="88">
        <f t="shared" si="351"/>
        <v>131</v>
      </c>
      <c r="C1996" s="4"/>
      <c r="D1996" s="4"/>
      <c r="E1996" s="4"/>
      <c r="F1996" s="30" t="s">
        <v>83</v>
      </c>
      <c r="G1996" s="4">
        <v>642</v>
      </c>
      <c r="H1996" s="4" t="s">
        <v>142</v>
      </c>
      <c r="I1996" s="23">
        <f>5000-680</f>
        <v>4320</v>
      </c>
      <c r="J1996" s="23"/>
      <c r="K1996" s="23">
        <f t="shared" ref="K1996:K2016" si="355">I1996+J1996</f>
        <v>4320</v>
      </c>
      <c r="L1996" s="259"/>
      <c r="M1996" s="23"/>
      <c r="N1996" s="23"/>
      <c r="O1996" s="220">
        <f t="shared" ref="O1996:O2016" si="356">M1996+N1996</f>
        <v>0</v>
      </c>
      <c r="P1996" s="259"/>
      <c r="Q1996" s="92">
        <f t="shared" si="352"/>
        <v>4320</v>
      </c>
      <c r="R1996" s="92">
        <f t="shared" si="353"/>
        <v>0</v>
      </c>
      <c r="S1996" s="92">
        <f t="shared" si="354"/>
        <v>4320</v>
      </c>
    </row>
    <row r="1997" spans="2:19" ht="15" x14ac:dyDescent="0.2">
      <c r="B1997" s="88">
        <f t="shared" si="351"/>
        <v>132</v>
      </c>
      <c r="C1997" s="242">
        <v>10</v>
      </c>
      <c r="D1997" s="511" t="s">
        <v>187</v>
      </c>
      <c r="E1997" s="509"/>
      <c r="F1997" s="509"/>
      <c r="G1997" s="509"/>
      <c r="H1997" s="510"/>
      <c r="I1997" s="40">
        <f>I1998</f>
        <v>14417</v>
      </c>
      <c r="J1997" s="40">
        <f>J1998</f>
        <v>0</v>
      </c>
      <c r="K1997" s="40">
        <f t="shared" si="355"/>
        <v>14417</v>
      </c>
      <c r="L1997" s="259"/>
      <c r="M1997" s="40">
        <v>0</v>
      </c>
      <c r="N1997" s="40">
        <v>0</v>
      </c>
      <c r="O1997" s="248">
        <f t="shared" si="356"/>
        <v>0</v>
      </c>
      <c r="P1997" s="259"/>
      <c r="Q1997" s="89">
        <f t="shared" si="352"/>
        <v>14417</v>
      </c>
      <c r="R1997" s="89">
        <f t="shared" si="353"/>
        <v>0</v>
      </c>
      <c r="S1997" s="89">
        <f t="shared" si="354"/>
        <v>14417</v>
      </c>
    </row>
    <row r="1998" spans="2:19" ht="15" x14ac:dyDescent="0.25">
      <c r="B1998" s="88">
        <f t="shared" si="351"/>
        <v>133</v>
      </c>
      <c r="C1998" s="13"/>
      <c r="D1998" s="13"/>
      <c r="E1998" s="13">
        <v>5</v>
      </c>
      <c r="F1998" s="32"/>
      <c r="G1998" s="13"/>
      <c r="H1998" s="13" t="s">
        <v>116</v>
      </c>
      <c r="I1998" s="42">
        <f>I1999+I2000+I2001</f>
        <v>14417</v>
      </c>
      <c r="J1998" s="42">
        <f>J1999+J2000+J2001</f>
        <v>0</v>
      </c>
      <c r="K1998" s="42">
        <f t="shared" si="355"/>
        <v>14417</v>
      </c>
      <c r="L1998" s="259"/>
      <c r="M1998" s="42"/>
      <c r="N1998" s="42"/>
      <c r="O1998" s="255">
        <f t="shared" si="356"/>
        <v>0</v>
      </c>
      <c r="P1998" s="259"/>
      <c r="Q1998" s="99">
        <f t="shared" si="352"/>
        <v>14417</v>
      </c>
      <c r="R1998" s="99">
        <f t="shared" si="353"/>
        <v>0</v>
      </c>
      <c r="S1998" s="99">
        <f t="shared" si="354"/>
        <v>14417</v>
      </c>
    </row>
    <row r="1999" spans="2:19" x14ac:dyDescent="0.2">
      <c r="B1999" s="88">
        <f t="shared" si="351"/>
        <v>134</v>
      </c>
      <c r="C1999" s="10"/>
      <c r="D1999" s="10"/>
      <c r="E1999" s="10"/>
      <c r="F1999" s="29" t="s">
        <v>84</v>
      </c>
      <c r="G1999" s="10">
        <v>610</v>
      </c>
      <c r="H1999" s="10" t="s">
        <v>143</v>
      </c>
      <c r="I1999" s="27">
        <v>8208</v>
      </c>
      <c r="J1999" s="27"/>
      <c r="K1999" s="27">
        <f t="shared" si="355"/>
        <v>8208</v>
      </c>
      <c r="L1999" s="259"/>
      <c r="M1999" s="27"/>
      <c r="N1999" s="27"/>
      <c r="O1999" s="250">
        <f t="shared" si="356"/>
        <v>0</v>
      </c>
      <c r="P1999" s="259"/>
      <c r="Q1999" s="91">
        <f t="shared" si="352"/>
        <v>8208</v>
      </c>
      <c r="R1999" s="91">
        <f t="shared" si="353"/>
        <v>0</v>
      </c>
      <c r="S1999" s="91">
        <f t="shared" si="354"/>
        <v>8208</v>
      </c>
    </row>
    <row r="2000" spans="2:19" x14ac:dyDescent="0.2">
      <c r="B2000" s="88">
        <f t="shared" si="351"/>
        <v>135</v>
      </c>
      <c r="C2000" s="10"/>
      <c r="D2000" s="10"/>
      <c r="E2000" s="10"/>
      <c r="F2000" s="29" t="s">
        <v>84</v>
      </c>
      <c r="G2000" s="10">
        <v>620</v>
      </c>
      <c r="H2000" s="10" t="s">
        <v>136</v>
      </c>
      <c r="I2000" s="27">
        <v>2873</v>
      </c>
      <c r="J2000" s="27"/>
      <c r="K2000" s="27">
        <f t="shared" si="355"/>
        <v>2873</v>
      </c>
      <c r="L2000" s="259"/>
      <c r="M2000" s="27"/>
      <c r="N2000" s="27"/>
      <c r="O2000" s="250">
        <f t="shared" si="356"/>
        <v>0</v>
      </c>
      <c r="P2000" s="259"/>
      <c r="Q2000" s="91">
        <f t="shared" si="352"/>
        <v>2873</v>
      </c>
      <c r="R2000" s="91">
        <f t="shared" si="353"/>
        <v>0</v>
      </c>
      <c r="S2000" s="91">
        <f t="shared" si="354"/>
        <v>2873</v>
      </c>
    </row>
    <row r="2001" spans="2:19" x14ac:dyDescent="0.2">
      <c r="B2001" s="88">
        <f t="shared" si="351"/>
        <v>136</v>
      </c>
      <c r="C2001" s="10"/>
      <c r="D2001" s="10"/>
      <c r="E2001" s="10"/>
      <c r="F2001" s="29" t="s">
        <v>84</v>
      </c>
      <c r="G2001" s="10">
        <v>630</v>
      </c>
      <c r="H2001" s="10" t="s">
        <v>133</v>
      </c>
      <c r="I2001" s="27">
        <f>I2005+I2004+I2003+I2002</f>
        <v>3336</v>
      </c>
      <c r="J2001" s="27">
        <f>J2005+J2004+J2003+J2002</f>
        <v>0</v>
      </c>
      <c r="K2001" s="27">
        <f t="shared" si="355"/>
        <v>3336</v>
      </c>
      <c r="L2001" s="259"/>
      <c r="M2001" s="27"/>
      <c r="N2001" s="27"/>
      <c r="O2001" s="250">
        <f t="shared" si="356"/>
        <v>0</v>
      </c>
      <c r="P2001" s="259"/>
      <c r="Q2001" s="91">
        <f t="shared" si="352"/>
        <v>3336</v>
      </c>
      <c r="R2001" s="91">
        <f t="shared" si="353"/>
        <v>0</v>
      </c>
      <c r="S2001" s="91">
        <f t="shared" si="354"/>
        <v>3336</v>
      </c>
    </row>
    <row r="2002" spans="2:19" x14ac:dyDescent="0.2">
      <c r="B2002" s="88">
        <f t="shared" si="351"/>
        <v>137</v>
      </c>
      <c r="C2002" s="4"/>
      <c r="D2002" s="4"/>
      <c r="E2002" s="4"/>
      <c r="F2002" s="30" t="s">
        <v>84</v>
      </c>
      <c r="G2002" s="4">
        <v>632</v>
      </c>
      <c r="H2002" s="4" t="s">
        <v>146</v>
      </c>
      <c r="I2002" s="23">
        <v>70</v>
      </c>
      <c r="J2002" s="23"/>
      <c r="K2002" s="23">
        <f t="shared" si="355"/>
        <v>70</v>
      </c>
      <c r="L2002" s="259"/>
      <c r="M2002" s="23"/>
      <c r="N2002" s="23"/>
      <c r="O2002" s="220">
        <f t="shared" si="356"/>
        <v>0</v>
      </c>
      <c r="P2002" s="259"/>
      <c r="Q2002" s="92">
        <f t="shared" si="352"/>
        <v>70</v>
      </c>
      <c r="R2002" s="92">
        <f t="shared" si="353"/>
        <v>0</v>
      </c>
      <c r="S2002" s="92">
        <f t="shared" si="354"/>
        <v>70</v>
      </c>
    </row>
    <row r="2003" spans="2:19" x14ac:dyDescent="0.2">
      <c r="B2003" s="88">
        <f t="shared" si="351"/>
        <v>138</v>
      </c>
      <c r="C2003" s="4"/>
      <c r="D2003" s="4"/>
      <c r="E2003" s="4"/>
      <c r="F2003" s="30" t="s">
        <v>84</v>
      </c>
      <c r="G2003" s="4">
        <v>633</v>
      </c>
      <c r="H2003" s="4" t="s">
        <v>137</v>
      </c>
      <c r="I2003" s="23">
        <v>60</v>
      </c>
      <c r="J2003" s="23"/>
      <c r="K2003" s="23">
        <f t="shared" si="355"/>
        <v>60</v>
      </c>
      <c r="L2003" s="259"/>
      <c r="M2003" s="23"/>
      <c r="N2003" s="23"/>
      <c r="O2003" s="220">
        <f t="shared" si="356"/>
        <v>0</v>
      </c>
      <c r="P2003" s="259"/>
      <c r="Q2003" s="92">
        <f t="shared" si="352"/>
        <v>60</v>
      </c>
      <c r="R2003" s="92">
        <f t="shared" si="353"/>
        <v>0</v>
      </c>
      <c r="S2003" s="92">
        <f t="shared" si="354"/>
        <v>60</v>
      </c>
    </row>
    <row r="2004" spans="2:19" x14ac:dyDescent="0.2">
      <c r="B2004" s="88">
        <f t="shared" si="351"/>
        <v>139</v>
      </c>
      <c r="C2004" s="4"/>
      <c r="D2004" s="4"/>
      <c r="E2004" s="4"/>
      <c r="F2004" s="30" t="s">
        <v>84</v>
      </c>
      <c r="G2004" s="4">
        <v>634</v>
      </c>
      <c r="H2004" s="4" t="s">
        <v>144</v>
      </c>
      <c r="I2004" s="23">
        <v>2400</v>
      </c>
      <c r="J2004" s="23"/>
      <c r="K2004" s="23">
        <f t="shared" si="355"/>
        <v>2400</v>
      </c>
      <c r="L2004" s="259"/>
      <c r="M2004" s="23"/>
      <c r="N2004" s="23"/>
      <c r="O2004" s="220">
        <f t="shared" si="356"/>
        <v>0</v>
      </c>
      <c r="P2004" s="259"/>
      <c r="Q2004" s="92">
        <f t="shared" si="352"/>
        <v>2400</v>
      </c>
      <c r="R2004" s="92">
        <f t="shared" si="353"/>
        <v>0</v>
      </c>
      <c r="S2004" s="92">
        <f t="shared" si="354"/>
        <v>2400</v>
      </c>
    </row>
    <row r="2005" spans="2:19" x14ac:dyDescent="0.2">
      <c r="B2005" s="88">
        <f t="shared" si="351"/>
        <v>140</v>
      </c>
      <c r="C2005" s="4"/>
      <c r="D2005" s="4"/>
      <c r="E2005" s="4"/>
      <c r="F2005" s="30" t="s">
        <v>84</v>
      </c>
      <c r="G2005" s="4">
        <v>637</v>
      </c>
      <c r="H2005" s="4" t="s">
        <v>134</v>
      </c>
      <c r="I2005" s="23">
        <v>806</v>
      </c>
      <c r="J2005" s="23"/>
      <c r="K2005" s="23">
        <f t="shared" si="355"/>
        <v>806</v>
      </c>
      <c r="L2005" s="259"/>
      <c r="M2005" s="23"/>
      <c r="N2005" s="23"/>
      <c r="O2005" s="220">
        <f t="shared" si="356"/>
        <v>0</v>
      </c>
      <c r="P2005" s="259"/>
      <c r="Q2005" s="92">
        <f t="shared" si="352"/>
        <v>806</v>
      </c>
      <c r="R2005" s="92">
        <f t="shared" si="353"/>
        <v>0</v>
      </c>
      <c r="S2005" s="92">
        <f t="shared" si="354"/>
        <v>806</v>
      </c>
    </row>
    <row r="2006" spans="2:19" ht="15" x14ac:dyDescent="0.2">
      <c r="B2006" s="88">
        <f t="shared" si="351"/>
        <v>141</v>
      </c>
      <c r="C2006" s="242">
        <v>11</v>
      </c>
      <c r="D2006" s="511" t="s">
        <v>79</v>
      </c>
      <c r="E2006" s="509"/>
      <c r="F2006" s="509"/>
      <c r="G2006" s="509"/>
      <c r="H2006" s="510"/>
      <c r="I2006" s="40">
        <f>I2007</f>
        <v>159194</v>
      </c>
      <c r="J2006" s="40">
        <f>J2007</f>
        <v>3357</v>
      </c>
      <c r="K2006" s="40">
        <f t="shared" si="355"/>
        <v>162551</v>
      </c>
      <c r="L2006" s="259"/>
      <c r="M2006" s="40">
        <v>0</v>
      </c>
      <c r="N2006" s="40">
        <v>0</v>
      </c>
      <c r="O2006" s="248">
        <f t="shared" si="356"/>
        <v>0</v>
      </c>
      <c r="P2006" s="259"/>
      <c r="Q2006" s="89">
        <f t="shared" si="352"/>
        <v>159194</v>
      </c>
      <c r="R2006" s="89">
        <f t="shared" si="353"/>
        <v>3357</v>
      </c>
      <c r="S2006" s="89">
        <f t="shared" si="354"/>
        <v>162551</v>
      </c>
    </row>
    <row r="2007" spans="2:19" ht="15" x14ac:dyDescent="0.25">
      <c r="B2007" s="88">
        <f t="shared" si="351"/>
        <v>142</v>
      </c>
      <c r="C2007" s="13"/>
      <c r="D2007" s="13"/>
      <c r="E2007" s="13">
        <v>5</v>
      </c>
      <c r="F2007" s="32"/>
      <c r="G2007" s="13"/>
      <c r="H2007" s="13" t="s">
        <v>116</v>
      </c>
      <c r="I2007" s="42">
        <f>I2008+I2009+I2010+I2017</f>
        <v>159194</v>
      </c>
      <c r="J2007" s="42">
        <f t="shared" ref="J2007:K2007" si="357">J2008+J2009+J2010+J2017</f>
        <v>3357</v>
      </c>
      <c r="K2007" s="42">
        <f t="shared" si="357"/>
        <v>162551</v>
      </c>
      <c r="L2007" s="259"/>
      <c r="M2007" s="42"/>
      <c r="N2007" s="42"/>
      <c r="O2007" s="255">
        <f t="shared" si="356"/>
        <v>0</v>
      </c>
      <c r="P2007" s="259"/>
      <c r="Q2007" s="99">
        <f t="shared" si="352"/>
        <v>159194</v>
      </c>
      <c r="R2007" s="99">
        <f t="shared" si="353"/>
        <v>3357</v>
      </c>
      <c r="S2007" s="99">
        <f t="shared" si="354"/>
        <v>162551</v>
      </c>
    </row>
    <row r="2008" spans="2:19" x14ac:dyDescent="0.2">
      <c r="B2008" s="88">
        <f t="shared" si="351"/>
        <v>143</v>
      </c>
      <c r="C2008" s="10"/>
      <c r="D2008" s="10"/>
      <c r="E2008" s="10"/>
      <c r="F2008" s="29" t="s">
        <v>68</v>
      </c>
      <c r="G2008" s="10">
        <v>610</v>
      </c>
      <c r="H2008" s="10" t="s">
        <v>143</v>
      </c>
      <c r="I2008" s="27">
        <v>93673</v>
      </c>
      <c r="J2008" s="27"/>
      <c r="K2008" s="27">
        <f t="shared" si="355"/>
        <v>93673</v>
      </c>
      <c r="L2008" s="259"/>
      <c r="M2008" s="27"/>
      <c r="N2008" s="27"/>
      <c r="O2008" s="250">
        <f t="shared" si="356"/>
        <v>0</v>
      </c>
      <c r="P2008" s="259"/>
      <c r="Q2008" s="91">
        <f t="shared" si="352"/>
        <v>93673</v>
      </c>
      <c r="R2008" s="91">
        <f t="shared" si="353"/>
        <v>0</v>
      </c>
      <c r="S2008" s="91">
        <f t="shared" si="354"/>
        <v>93673</v>
      </c>
    </row>
    <row r="2009" spans="2:19" x14ac:dyDescent="0.2">
      <c r="B2009" s="88">
        <f t="shared" si="351"/>
        <v>144</v>
      </c>
      <c r="C2009" s="10"/>
      <c r="D2009" s="10"/>
      <c r="E2009" s="10"/>
      <c r="F2009" s="29" t="s">
        <v>68</v>
      </c>
      <c r="G2009" s="10">
        <v>620</v>
      </c>
      <c r="H2009" s="10" t="s">
        <v>136</v>
      </c>
      <c r="I2009" s="27">
        <v>34186</v>
      </c>
      <c r="J2009" s="27"/>
      <c r="K2009" s="27">
        <f t="shared" si="355"/>
        <v>34186</v>
      </c>
      <c r="L2009" s="259"/>
      <c r="M2009" s="27"/>
      <c r="N2009" s="27"/>
      <c r="O2009" s="250">
        <f t="shared" si="356"/>
        <v>0</v>
      </c>
      <c r="P2009" s="259"/>
      <c r="Q2009" s="91">
        <f t="shared" si="352"/>
        <v>34186</v>
      </c>
      <c r="R2009" s="91">
        <f t="shared" si="353"/>
        <v>0</v>
      </c>
      <c r="S2009" s="91">
        <f t="shared" si="354"/>
        <v>34186</v>
      </c>
    </row>
    <row r="2010" spans="2:19" x14ac:dyDescent="0.2">
      <c r="B2010" s="88">
        <f t="shared" si="351"/>
        <v>145</v>
      </c>
      <c r="C2010" s="10"/>
      <c r="D2010" s="10"/>
      <c r="E2010" s="10"/>
      <c r="F2010" s="29" t="s">
        <v>68</v>
      </c>
      <c r="G2010" s="10">
        <v>630</v>
      </c>
      <c r="H2010" s="10" t="s">
        <v>133</v>
      </c>
      <c r="I2010" s="27">
        <f>I2016+I2015+I2014+I2013+I2012+I2011</f>
        <v>31335</v>
      </c>
      <c r="J2010" s="27">
        <f>J2016+J2015+J2014+J2013+J2012+J2011</f>
        <v>1414</v>
      </c>
      <c r="K2010" s="27">
        <f t="shared" si="355"/>
        <v>32749</v>
      </c>
      <c r="L2010" s="259"/>
      <c r="M2010" s="27"/>
      <c r="N2010" s="27"/>
      <c r="O2010" s="250">
        <f t="shared" si="356"/>
        <v>0</v>
      </c>
      <c r="P2010" s="259"/>
      <c r="Q2010" s="91">
        <f t="shared" si="352"/>
        <v>31335</v>
      </c>
      <c r="R2010" s="91">
        <f t="shared" si="353"/>
        <v>1414</v>
      </c>
      <c r="S2010" s="91">
        <f t="shared" si="354"/>
        <v>32749</v>
      </c>
    </row>
    <row r="2011" spans="2:19" x14ac:dyDescent="0.2">
      <c r="B2011" s="88">
        <f t="shared" si="351"/>
        <v>146</v>
      </c>
      <c r="C2011" s="4"/>
      <c r="D2011" s="4"/>
      <c r="E2011" s="4"/>
      <c r="F2011" s="30" t="s">
        <v>68</v>
      </c>
      <c r="G2011" s="4">
        <v>631</v>
      </c>
      <c r="H2011" s="4" t="s">
        <v>139</v>
      </c>
      <c r="I2011" s="23">
        <v>300</v>
      </c>
      <c r="J2011" s="23"/>
      <c r="K2011" s="23">
        <f t="shared" si="355"/>
        <v>300</v>
      </c>
      <c r="L2011" s="259"/>
      <c r="M2011" s="23"/>
      <c r="N2011" s="23"/>
      <c r="O2011" s="220">
        <f t="shared" si="356"/>
        <v>0</v>
      </c>
      <c r="P2011" s="259"/>
      <c r="Q2011" s="92">
        <f t="shared" si="352"/>
        <v>300</v>
      </c>
      <c r="R2011" s="92">
        <f t="shared" si="353"/>
        <v>0</v>
      </c>
      <c r="S2011" s="92">
        <f t="shared" si="354"/>
        <v>300</v>
      </c>
    </row>
    <row r="2012" spans="2:19" x14ac:dyDescent="0.2">
      <c r="B2012" s="88">
        <f t="shared" si="351"/>
        <v>147</v>
      </c>
      <c r="C2012" s="4"/>
      <c r="D2012" s="4"/>
      <c r="E2012" s="4"/>
      <c r="F2012" s="30" t="s">
        <v>68</v>
      </c>
      <c r="G2012" s="4">
        <v>632</v>
      </c>
      <c r="H2012" s="4" t="s">
        <v>146</v>
      </c>
      <c r="I2012" s="23">
        <v>2300</v>
      </c>
      <c r="J2012" s="23"/>
      <c r="K2012" s="23">
        <f t="shared" si="355"/>
        <v>2300</v>
      </c>
      <c r="L2012" s="259"/>
      <c r="M2012" s="23"/>
      <c r="N2012" s="23"/>
      <c r="O2012" s="220">
        <f t="shared" si="356"/>
        <v>0</v>
      </c>
      <c r="P2012" s="259"/>
      <c r="Q2012" s="92">
        <f t="shared" si="352"/>
        <v>2300</v>
      </c>
      <c r="R2012" s="92">
        <f t="shared" si="353"/>
        <v>0</v>
      </c>
      <c r="S2012" s="92">
        <f t="shared" si="354"/>
        <v>2300</v>
      </c>
    </row>
    <row r="2013" spans="2:19" x14ac:dyDescent="0.2">
      <c r="B2013" s="88">
        <f t="shared" si="351"/>
        <v>148</v>
      </c>
      <c r="C2013" s="4"/>
      <c r="D2013" s="4"/>
      <c r="E2013" s="4"/>
      <c r="F2013" s="30" t="s">
        <v>68</v>
      </c>
      <c r="G2013" s="4">
        <v>633</v>
      </c>
      <c r="H2013" s="4" t="s">
        <v>137</v>
      </c>
      <c r="I2013" s="23">
        <v>4360</v>
      </c>
      <c r="J2013" s="23"/>
      <c r="K2013" s="23">
        <f t="shared" si="355"/>
        <v>4360</v>
      </c>
      <c r="L2013" s="259"/>
      <c r="M2013" s="23"/>
      <c r="N2013" s="23"/>
      <c r="O2013" s="220">
        <f t="shared" si="356"/>
        <v>0</v>
      </c>
      <c r="P2013" s="259"/>
      <c r="Q2013" s="92">
        <f t="shared" si="352"/>
        <v>4360</v>
      </c>
      <c r="R2013" s="92">
        <f t="shared" si="353"/>
        <v>0</v>
      </c>
      <c r="S2013" s="92">
        <f t="shared" si="354"/>
        <v>4360</v>
      </c>
    </row>
    <row r="2014" spans="2:19" x14ac:dyDescent="0.2">
      <c r="B2014" s="88">
        <f t="shared" si="351"/>
        <v>149</v>
      </c>
      <c r="C2014" s="4"/>
      <c r="D2014" s="4"/>
      <c r="E2014" s="4"/>
      <c r="F2014" s="30" t="s">
        <v>68</v>
      </c>
      <c r="G2014" s="4">
        <v>634</v>
      </c>
      <c r="H2014" s="4" t="s">
        <v>144</v>
      </c>
      <c r="I2014" s="23">
        <v>1488</v>
      </c>
      <c r="J2014" s="23"/>
      <c r="K2014" s="23">
        <f t="shared" si="355"/>
        <v>1488</v>
      </c>
      <c r="L2014" s="259"/>
      <c r="M2014" s="23"/>
      <c r="N2014" s="23"/>
      <c r="O2014" s="220">
        <f t="shared" si="356"/>
        <v>0</v>
      </c>
      <c r="P2014" s="259"/>
      <c r="Q2014" s="92">
        <f t="shared" si="352"/>
        <v>1488</v>
      </c>
      <c r="R2014" s="92">
        <f t="shared" si="353"/>
        <v>0</v>
      </c>
      <c r="S2014" s="92">
        <f t="shared" si="354"/>
        <v>1488</v>
      </c>
    </row>
    <row r="2015" spans="2:19" x14ac:dyDescent="0.2">
      <c r="B2015" s="88">
        <f t="shared" si="351"/>
        <v>150</v>
      </c>
      <c r="C2015" s="4"/>
      <c r="D2015" s="4"/>
      <c r="E2015" s="4"/>
      <c r="F2015" s="30" t="s">
        <v>68</v>
      </c>
      <c r="G2015" s="4">
        <v>635</v>
      </c>
      <c r="H2015" s="4" t="s">
        <v>145</v>
      </c>
      <c r="I2015" s="23">
        <v>1600</v>
      </c>
      <c r="J2015" s="23"/>
      <c r="K2015" s="23">
        <f t="shared" si="355"/>
        <v>1600</v>
      </c>
      <c r="L2015" s="259"/>
      <c r="M2015" s="23"/>
      <c r="N2015" s="23"/>
      <c r="O2015" s="220">
        <f t="shared" si="356"/>
        <v>0</v>
      </c>
      <c r="P2015" s="259"/>
      <c r="Q2015" s="92">
        <f t="shared" si="352"/>
        <v>1600</v>
      </c>
      <c r="R2015" s="92">
        <f t="shared" si="353"/>
        <v>0</v>
      </c>
      <c r="S2015" s="92">
        <f t="shared" si="354"/>
        <v>1600</v>
      </c>
    </row>
    <row r="2016" spans="2:19" x14ac:dyDescent="0.2">
      <c r="B2016" s="200">
        <f>B2015+1</f>
        <v>151</v>
      </c>
      <c r="C2016" s="238"/>
      <c r="D2016" s="238"/>
      <c r="E2016" s="238"/>
      <c r="F2016" s="290" t="s">
        <v>68</v>
      </c>
      <c r="G2016" s="238">
        <v>637</v>
      </c>
      <c r="H2016" s="238" t="s">
        <v>134</v>
      </c>
      <c r="I2016" s="270">
        <v>21287</v>
      </c>
      <c r="J2016" s="270">
        <v>1414</v>
      </c>
      <c r="K2016" s="270">
        <f t="shared" si="355"/>
        <v>22701</v>
      </c>
      <c r="L2016" s="259"/>
      <c r="M2016" s="270"/>
      <c r="N2016" s="270"/>
      <c r="O2016" s="271">
        <f t="shared" si="356"/>
        <v>0</v>
      </c>
      <c r="P2016" s="259"/>
      <c r="Q2016" s="272">
        <f t="shared" si="352"/>
        <v>21287</v>
      </c>
      <c r="R2016" s="272">
        <f t="shared" si="353"/>
        <v>1414</v>
      </c>
      <c r="S2016" s="272">
        <f t="shared" si="354"/>
        <v>22701</v>
      </c>
    </row>
    <row r="2017" spans="2:19" ht="13.5" thickBot="1" x14ac:dyDescent="0.25">
      <c r="B2017" s="94">
        <f>B2016+1</f>
        <v>152</v>
      </c>
      <c r="C2017" s="17"/>
      <c r="D2017" s="17"/>
      <c r="E2017" s="17"/>
      <c r="F2017" s="291" t="s">
        <v>68</v>
      </c>
      <c r="G2017" s="292">
        <v>640</v>
      </c>
      <c r="H2017" s="292" t="s">
        <v>141</v>
      </c>
      <c r="I2017" s="293">
        <v>0</v>
      </c>
      <c r="J2017" s="293">
        <v>1943</v>
      </c>
      <c r="K2017" s="293">
        <f t="shared" ref="K2017" si="358">I2017+J2017</f>
        <v>1943</v>
      </c>
      <c r="L2017" s="296"/>
      <c r="M2017" s="293"/>
      <c r="N2017" s="293"/>
      <c r="O2017" s="294">
        <f t="shared" ref="O2017" si="359">M2017+N2017</f>
        <v>0</v>
      </c>
      <c r="P2017" s="296"/>
      <c r="Q2017" s="295">
        <f t="shared" ref="Q2017" si="360">I2017+M2017</f>
        <v>0</v>
      </c>
      <c r="R2017" s="295">
        <f t="shared" ref="R2017" si="361">J2017+N2017</f>
        <v>1943</v>
      </c>
      <c r="S2017" s="295">
        <f t="shared" ref="S2017" si="362">K2017+O2017</f>
        <v>1943</v>
      </c>
    </row>
    <row r="2018" spans="2:19" x14ac:dyDescent="0.2">
      <c r="K2018" s="49"/>
      <c r="M2018" s="49"/>
      <c r="N2018" s="49"/>
      <c r="O2018" s="49"/>
      <c r="Q2018" s="49"/>
    </row>
    <row r="2019" spans="2:19" x14ac:dyDescent="0.2">
      <c r="K2019" s="49"/>
      <c r="M2019" s="49"/>
      <c r="N2019" s="49"/>
      <c r="O2019" s="49"/>
      <c r="Q2019" s="49"/>
    </row>
    <row r="2020" spans="2:19" x14ac:dyDescent="0.2">
      <c r="K2020" s="49"/>
      <c r="M2020" s="49"/>
      <c r="N2020" s="49"/>
      <c r="O2020" s="49"/>
      <c r="Q2020" s="49"/>
    </row>
    <row r="2021" spans="2:19" x14ac:dyDescent="0.2">
      <c r="K2021" s="49"/>
      <c r="M2021" s="49"/>
      <c r="N2021" s="49"/>
      <c r="O2021" s="49"/>
      <c r="Q2021" s="49"/>
    </row>
    <row r="2022" spans="2:19" x14ac:dyDescent="0.2">
      <c r="K2022" s="49"/>
      <c r="M2022" s="49"/>
      <c r="N2022" s="49"/>
      <c r="O2022" s="49"/>
      <c r="Q2022" s="49"/>
    </row>
    <row r="2023" spans="2:19" x14ac:dyDescent="0.2">
      <c r="K2023" s="49"/>
      <c r="M2023" s="49"/>
      <c r="N2023" s="49"/>
      <c r="O2023" s="49"/>
      <c r="Q2023" s="49"/>
    </row>
    <row r="2024" spans="2:19" x14ac:dyDescent="0.2">
      <c r="K2024" s="49"/>
      <c r="M2024" s="49"/>
      <c r="N2024" s="49"/>
      <c r="O2024" s="49"/>
      <c r="Q2024" s="49"/>
    </row>
    <row r="2025" spans="2:19" x14ac:dyDescent="0.2">
      <c r="K2025" s="49"/>
      <c r="M2025" s="49"/>
      <c r="N2025" s="49"/>
      <c r="O2025" s="49"/>
      <c r="Q2025" s="49"/>
    </row>
    <row r="2026" spans="2:19" x14ac:dyDescent="0.2">
      <c r="K2026" s="49"/>
      <c r="M2026" s="49"/>
      <c r="N2026" s="49"/>
      <c r="O2026" s="49"/>
      <c r="Q2026" s="49"/>
    </row>
    <row r="2027" spans="2:19" x14ac:dyDescent="0.2">
      <c r="K2027" s="49"/>
      <c r="M2027" s="49"/>
      <c r="N2027" s="49"/>
      <c r="O2027" s="49"/>
      <c r="Q2027" s="49"/>
    </row>
    <row r="2028" spans="2:19" x14ac:dyDescent="0.2">
      <c r="K2028" s="49"/>
      <c r="M2028" s="49"/>
      <c r="N2028" s="49"/>
      <c r="O2028" s="49"/>
      <c r="Q2028" s="49"/>
    </row>
    <row r="2029" spans="2:19" x14ac:dyDescent="0.2">
      <c r="K2029" s="49"/>
      <c r="M2029" s="49"/>
      <c r="N2029" s="49"/>
      <c r="O2029" s="49"/>
      <c r="Q2029" s="49"/>
    </row>
    <row r="2030" spans="2:19" x14ac:dyDescent="0.2">
      <c r="K2030" s="49"/>
      <c r="M2030" s="49"/>
      <c r="N2030" s="49"/>
      <c r="O2030" s="49"/>
      <c r="Q2030" s="49"/>
    </row>
    <row r="2031" spans="2:19" x14ac:dyDescent="0.2">
      <c r="K2031" s="49"/>
      <c r="M2031" s="49"/>
      <c r="N2031" s="49"/>
      <c r="O2031" s="49"/>
      <c r="Q2031" s="49"/>
    </row>
    <row r="2032" spans="2:19" x14ac:dyDescent="0.2">
      <c r="K2032" s="49"/>
      <c r="M2032" s="49"/>
      <c r="N2032" s="49"/>
      <c r="O2032" s="49"/>
      <c r="Q2032" s="49"/>
    </row>
    <row r="2033" spans="2:19" x14ac:dyDescent="0.2">
      <c r="K2033" s="49"/>
      <c r="M2033" s="49"/>
      <c r="N2033" s="49"/>
      <c r="O2033" s="49"/>
      <c r="Q2033" s="49"/>
    </row>
    <row r="2034" spans="2:19" x14ac:dyDescent="0.2">
      <c r="K2034" s="49"/>
      <c r="M2034" s="49"/>
      <c r="N2034" s="49"/>
      <c r="O2034" s="49"/>
      <c r="Q2034" s="49"/>
    </row>
    <row r="2035" spans="2:19" ht="27.75" thickBot="1" x14ac:dyDescent="0.4">
      <c r="B2035" s="480" t="s">
        <v>32</v>
      </c>
      <c r="C2035" s="481"/>
      <c r="D2035" s="481"/>
      <c r="E2035" s="481"/>
      <c r="F2035" s="481"/>
      <c r="G2035" s="481"/>
      <c r="H2035" s="481"/>
      <c r="I2035" s="481"/>
      <c r="J2035" s="481"/>
      <c r="K2035" s="481"/>
      <c r="L2035" s="481"/>
      <c r="M2035" s="481"/>
      <c r="N2035" s="481"/>
      <c r="O2035" s="481"/>
      <c r="P2035" s="481"/>
      <c r="Q2035" s="481"/>
    </row>
    <row r="2036" spans="2:19" ht="13.5" customHeight="1" thickBot="1" x14ac:dyDescent="0.25">
      <c r="B2036" s="482" t="s">
        <v>353</v>
      </c>
      <c r="C2036" s="483"/>
      <c r="D2036" s="483"/>
      <c r="E2036" s="483"/>
      <c r="F2036" s="483"/>
      <c r="G2036" s="483"/>
      <c r="H2036" s="483"/>
      <c r="I2036" s="484"/>
      <c r="J2036" s="484"/>
      <c r="K2036" s="484"/>
      <c r="L2036" s="484"/>
      <c r="M2036" s="484"/>
      <c r="N2036" s="244"/>
      <c r="O2036" s="244"/>
      <c r="P2036" s="259"/>
      <c r="Q2036" s="485" t="s">
        <v>651</v>
      </c>
      <c r="R2036" s="471" t="s">
        <v>648</v>
      </c>
      <c r="S2036" s="474" t="s">
        <v>652</v>
      </c>
    </row>
    <row r="2037" spans="2:19" ht="13.5" customHeight="1" thickBot="1" x14ac:dyDescent="0.25">
      <c r="B2037" s="488"/>
      <c r="C2037" s="489" t="s">
        <v>126</v>
      </c>
      <c r="D2037" s="489" t="s">
        <v>127</v>
      </c>
      <c r="E2037" s="489"/>
      <c r="F2037" s="489" t="s">
        <v>128</v>
      </c>
      <c r="G2037" s="492" t="s">
        <v>129</v>
      </c>
      <c r="H2037" s="495" t="s">
        <v>130</v>
      </c>
      <c r="I2037" s="496" t="s">
        <v>647</v>
      </c>
      <c r="J2037" s="502" t="s">
        <v>648</v>
      </c>
      <c r="K2037" s="474" t="s">
        <v>649</v>
      </c>
      <c r="M2037" s="498" t="s">
        <v>650</v>
      </c>
      <c r="N2037" s="471" t="s">
        <v>648</v>
      </c>
      <c r="O2037" s="477" t="s">
        <v>649</v>
      </c>
      <c r="P2037" s="259"/>
      <c r="Q2037" s="486"/>
      <c r="R2037" s="472"/>
      <c r="S2037" s="475"/>
    </row>
    <row r="2038" spans="2:19" ht="13.5" thickBot="1" x14ac:dyDescent="0.25">
      <c r="B2038" s="488"/>
      <c r="C2038" s="490"/>
      <c r="D2038" s="490"/>
      <c r="E2038" s="490"/>
      <c r="F2038" s="490"/>
      <c r="G2038" s="493"/>
      <c r="H2038" s="495"/>
      <c r="I2038" s="496"/>
      <c r="J2038" s="502"/>
      <c r="K2038" s="475"/>
      <c r="M2038" s="499"/>
      <c r="N2038" s="472"/>
      <c r="O2038" s="478"/>
      <c r="P2038" s="259"/>
      <c r="Q2038" s="486"/>
      <c r="R2038" s="472"/>
      <c r="S2038" s="475"/>
    </row>
    <row r="2039" spans="2:19" ht="13.5" thickBot="1" x14ac:dyDescent="0.25">
      <c r="B2039" s="488"/>
      <c r="C2039" s="490"/>
      <c r="D2039" s="490"/>
      <c r="E2039" s="490"/>
      <c r="F2039" s="490"/>
      <c r="G2039" s="493"/>
      <c r="H2039" s="495"/>
      <c r="I2039" s="496"/>
      <c r="J2039" s="502"/>
      <c r="K2039" s="478"/>
      <c r="L2039" s="259"/>
      <c r="M2039" s="500"/>
      <c r="N2039" s="472"/>
      <c r="O2039" s="478"/>
      <c r="P2039" s="259"/>
      <c r="Q2039" s="486"/>
      <c r="R2039" s="472"/>
      <c r="S2039" s="475"/>
    </row>
    <row r="2040" spans="2:19" ht="13.5" thickBot="1" x14ac:dyDescent="0.25">
      <c r="B2040" s="488"/>
      <c r="C2040" s="491"/>
      <c r="D2040" s="491"/>
      <c r="E2040" s="491"/>
      <c r="F2040" s="491"/>
      <c r="G2040" s="494"/>
      <c r="H2040" s="495"/>
      <c r="I2040" s="497"/>
      <c r="J2040" s="503"/>
      <c r="K2040" s="479"/>
      <c r="L2040" s="259"/>
      <c r="M2040" s="501"/>
      <c r="N2040" s="473"/>
      <c r="O2040" s="479"/>
      <c r="P2040" s="259"/>
      <c r="Q2040" s="487"/>
      <c r="R2040" s="473"/>
      <c r="S2040" s="476"/>
    </row>
    <row r="2041" spans="2:19" ht="16.5" thickTop="1" x14ac:dyDescent="0.2">
      <c r="B2041" s="88">
        <f t="shared" ref="B2041:B2064" si="363">B2040+1</f>
        <v>1</v>
      </c>
      <c r="C2041" s="505" t="s">
        <v>32</v>
      </c>
      <c r="D2041" s="506"/>
      <c r="E2041" s="506"/>
      <c r="F2041" s="506"/>
      <c r="G2041" s="506"/>
      <c r="H2041" s="507"/>
      <c r="I2041" s="39">
        <f>I2042</f>
        <v>282050</v>
      </c>
      <c r="J2041" s="39">
        <f>J2042</f>
        <v>0</v>
      </c>
      <c r="K2041" s="39">
        <f>I2041+J2041</f>
        <v>282050</v>
      </c>
      <c r="L2041" s="259"/>
      <c r="M2041" s="39">
        <f>M2042</f>
        <v>3579555</v>
      </c>
      <c r="N2041" s="39">
        <f>N2042</f>
        <v>0</v>
      </c>
      <c r="O2041" s="253">
        <f>M2041+N2041</f>
        <v>3579555</v>
      </c>
      <c r="P2041" s="259"/>
      <c r="Q2041" s="98">
        <f t="shared" ref="Q2041:Q2064" si="364">I2041+M2041</f>
        <v>3861605</v>
      </c>
      <c r="R2041" s="98">
        <f t="shared" ref="R2041:S2056" si="365">J2041+N2041</f>
        <v>0</v>
      </c>
      <c r="S2041" s="98">
        <f t="shared" si="365"/>
        <v>3861605</v>
      </c>
    </row>
    <row r="2042" spans="2:19" ht="15" x14ac:dyDescent="0.2">
      <c r="B2042" s="88">
        <f t="shared" si="363"/>
        <v>2</v>
      </c>
      <c r="C2042" s="242">
        <v>1</v>
      </c>
      <c r="D2042" s="511" t="s">
        <v>167</v>
      </c>
      <c r="E2042" s="509"/>
      <c r="F2042" s="509"/>
      <c r="G2042" s="509"/>
      <c r="H2042" s="510"/>
      <c r="I2042" s="40">
        <f>I2043+I2053</f>
        <v>282050</v>
      </c>
      <c r="J2042" s="40">
        <f>J2043+J2053</f>
        <v>0</v>
      </c>
      <c r="K2042" s="40">
        <f t="shared" ref="K2042:K2060" si="366">I2042+J2042</f>
        <v>282050</v>
      </c>
      <c r="L2042" s="259"/>
      <c r="M2042" s="40">
        <f>M2043+M2052+M2053</f>
        <v>3579555</v>
      </c>
      <c r="N2042" s="40">
        <f>N2043+N2052+N2053</f>
        <v>0</v>
      </c>
      <c r="O2042" s="248">
        <f t="shared" ref="O2042:O2064" si="367">M2042+N2042</f>
        <v>3579555</v>
      </c>
      <c r="P2042" s="259"/>
      <c r="Q2042" s="89">
        <f t="shared" si="364"/>
        <v>3861605</v>
      </c>
      <c r="R2042" s="89">
        <f t="shared" si="365"/>
        <v>0</v>
      </c>
      <c r="S2042" s="89">
        <f t="shared" si="365"/>
        <v>3861605</v>
      </c>
    </row>
    <row r="2043" spans="2:19" ht="15" x14ac:dyDescent="0.25">
      <c r="B2043" s="88">
        <f t="shared" si="363"/>
        <v>3</v>
      </c>
      <c r="C2043" s="243"/>
      <c r="D2043" s="243">
        <v>1</v>
      </c>
      <c r="E2043" s="508" t="s">
        <v>166</v>
      </c>
      <c r="F2043" s="509"/>
      <c r="G2043" s="509"/>
      <c r="H2043" s="510"/>
      <c r="I2043" s="41">
        <f>I2044+I2047</f>
        <v>244600</v>
      </c>
      <c r="J2043" s="41">
        <f>J2044+J2047</f>
        <v>0</v>
      </c>
      <c r="K2043" s="41">
        <f t="shared" si="366"/>
        <v>244600</v>
      </c>
      <c r="L2043" s="259"/>
      <c r="M2043" s="41">
        <f>M2049</f>
        <v>41000</v>
      </c>
      <c r="N2043" s="41">
        <f>N2049</f>
        <v>0</v>
      </c>
      <c r="O2043" s="249">
        <f t="shared" si="367"/>
        <v>41000</v>
      </c>
      <c r="P2043" s="259"/>
      <c r="Q2043" s="90">
        <f t="shared" si="364"/>
        <v>285600</v>
      </c>
      <c r="R2043" s="90">
        <f t="shared" si="365"/>
        <v>0</v>
      </c>
      <c r="S2043" s="90">
        <f t="shared" si="365"/>
        <v>285600</v>
      </c>
    </row>
    <row r="2044" spans="2:19" x14ac:dyDescent="0.2">
      <c r="B2044" s="88">
        <f t="shared" si="363"/>
        <v>4</v>
      </c>
      <c r="C2044" s="10"/>
      <c r="D2044" s="10"/>
      <c r="E2044" s="10"/>
      <c r="F2044" s="29" t="s">
        <v>165</v>
      </c>
      <c r="G2044" s="10">
        <v>630</v>
      </c>
      <c r="H2044" s="10" t="s">
        <v>133</v>
      </c>
      <c r="I2044" s="27">
        <f>I2046+I2045</f>
        <v>186100</v>
      </c>
      <c r="J2044" s="27">
        <f>J2046+J2045</f>
        <v>0</v>
      </c>
      <c r="K2044" s="27">
        <f t="shared" si="366"/>
        <v>186100</v>
      </c>
      <c r="L2044" s="259"/>
      <c r="M2044" s="27"/>
      <c r="N2044" s="27"/>
      <c r="O2044" s="250">
        <f t="shared" si="367"/>
        <v>0</v>
      </c>
      <c r="P2044" s="259"/>
      <c r="Q2044" s="91">
        <f t="shared" si="364"/>
        <v>186100</v>
      </c>
      <c r="R2044" s="91">
        <f t="shared" si="365"/>
        <v>0</v>
      </c>
      <c r="S2044" s="91">
        <f t="shared" si="365"/>
        <v>186100</v>
      </c>
    </row>
    <row r="2045" spans="2:19" x14ac:dyDescent="0.2">
      <c r="B2045" s="88">
        <f t="shared" si="363"/>
        <v>5</v>
      </c>
      <c r="C2045" s="4"/>
      <c r="D2045" s="4"/>
      <c r="E2045" s="4"/>
      <c r="F2045" s="30" t="s">
        <v>165</v>
      </c>
      <c r="G2045" s="4">
        <v>636</v>
      </c>
      <c r="H2045" s="4" t="s">
        <v>138</v>
      </c>
      <c r="I2045" s="23">
        <v>29800</v>
      </c>
      <c r="J2045" s="23"/>
      <c r="K2045" s="23">
        <f t="shared" si="366"/>
        <v>29800</v>
      </c>
      <c r="L2045" s="259"/>
      <c r="M2045" s="23"/>
      <c r="N2045" s="23"/>
      <c r="O2045" s="220">
        <f t="shared" si="367"/>
        <v>0</v>
      </c>
      <c r="P2045" s="259"/>
      <c r="Q2045" s="92">
        <f t="shared" si="364"/>
        <v>29800</v>
      </c>
      <c r="R2045" s="92">
        <f t="shared" si="365"/>
        <v>0</v>
      </c>
      <c r="S2045" s="92">
        <f t="shared" si="365"/>
        <v>29800</v>
      </c>
    </row>
    <row r="2046" spans="2:19" x14ac:dyDescent="0.2">
      <c r="B2046" s="88">
        <f t="shared" si="363"/>
        <v>6</v>
      </c>
      <c r="C2046" s="4"/>
      <c r="D2046" s="4"/>
      <c r="E2046" s="4"/>
      <c r="F2046" s="30" t="s">
        <v>165</v>
      </c>
      <c r="G2046" s="4">
        <v>637</v>
      </c>
      <c r="H2046" s="4" t="s">
        <v>134</v>
      </c>
      <c r="I2046" s="23">
        <f>156300+5000-5000</f>
        <v>156300</v>
      </c>
      <c r="J2046" s="23"/>
      <c r="K2046" s="23">
        <f t="shared" si="366"/>
        <v>156300</v>
      </c>
      <c r="L2046" s="259"/>
      <c r="M2046" s="23"/>
      <c r="N2046" s="23"/>
      <c r="O2046" s="220">
        <f t="shared" si="367"/>
        <v>0</v>
      </c>
      <c r="P2046" s="259"/>
      <c r="Q2046" s="92">
        <f t="shared" si="364"/>
        <v>156300</v>
      </c>
      <c r="R2046" s="92">
        <f t="shared" si="365"/>
        <v>0</v>
      </c>
      <c r="S2046" s="92">
        <f t="shared" si="365"/>
        <v>156300</v>
      </c>
    </row>
    <row r="2047" spans="2:19" x14ac:dyDescent="0.2">
      <c r="B2047" s="88">
        <f t="shared" si="363"/>
        <v>7</v>
      </c>
      <c r="C2047" s="10"/>
      <c r="D2047" s="10"/>
      <c r="E2047" s="10"/>
      <c r="F2047" s="29" t="s">
        <v>165</v>
      </c>
      <c r="G2047" s="10">
        <v>640</v>
      </c>
      <c r="H2047" s="10" t="s">
        <v>141</v>
      </c>
      <c r="I2047" s="27">
        <f>I2048</f>
        <v>58500</v>
      </c>
      <c r="J2047" s="27">
        <f>J2048</f>
        <v>0</v>
      </c>
      <c r="K2047" s="27">
        <f t="shared" si="366"/>
        <v>58500</v>
      </c>
      <c r="L2047" s="259"/>
      <c r="M2047" s="27"/>
      <c r="N2047" s="27"/>
      <c r="O2047" s="250">
        <f t="shared" si="367"/>
        <v>0</v>
      </c>
      <c r="P2047" s="259"/>
      <c r="Q2047" s="91">
        <f t="shared" si="364"/>
        <v>58500</v>
      </c>
      <c r="R2047" s="91">
        <f t="shared" si="365"/>
        <v>0</v>
      </c>
      <c r="S2047" s="91">
        <f t="shared" si="365"/>
        <v>58500</v>
      </c>
    </row>
    <row r="2048" spans="2:19" x14ac:dyDescent="0.2">
      <c r="B2048" s="88">
        <f t="shared" si="363"/>
        <v>8</v>
      </c>
      <c r="C2048" s="4"/>
      <c r="D2048" s="4"/>
      <c r="E2048" s="4"/>
      <c r="F2048" s="30" t="s">
        <v>165</v>
      </c>
      <c r="G2048" s="4">
        <v>642</v>
      </c>
      <c r="H2048" s="4" t="s">
        <v>142</v>
      </c>
      <c r="I2048" s="23">
        <f>39000+19500</f>
        <v>58500</v>
      </c>
      <c r="J2048" s="23"/>
      <c r="K2048" s="23">
        <f t="shared" si="366"/>
        <v>58500</v>
      </c>
      <c r="L2048" s="259"/>
      <c r="M2048" s="23"/>
      <c r="N2048" s="23"/>
      <c r="O2048" s="220">
        <f t="shared" si="367"/>
        <v>0</v>
      </c>
      <c r="P2048" s="259"/>
      <c r="Q2048" s="92">
        <f t="shared" si="364"/>
        <v>58500</v>
      </c>
      <c r="R2048" s="92">
        <f t="shared" si="365"/>
        <v>0</v>
      </c>
      <c r="S2048" s="92">
        <f t="shared" si="365"/>
        <v>58500</v>
      </c>
    </row>
    <row r="2049" spans="2:19" x14ac:dyDescent="0.2">
      <c r="B2049" s="88">
        <f t="shared" si="363"/>
        <v>9</v>
      </c>
      <c r="C2049" s="4"/>
      <c r="D2049" s="4"/>
      <c r="E2049" s="4"/>
      <c r="F2049" s="29" t="s">
        <v>165</v>
      </c>
      <c r="G2049" s="10">
        <v>710</v>
      </c>
      <c r="H2049" s="10" t="s">
        <v>188</v>
      </c>
      <c r="I2049" s="23"/>
      <c r="J2049" s="23"/>
      <c r="K2049" s="23">
        <f t="shared" si="366"/>
        <v>0</v>
      </c>
      <c r="L2049" s="259"/>
      <c r="M2049" s="22">
        <f>M2050</f>
        <v>41000</v>
      </c>
      <c r="N2049" s="22">
        <f>N2050</f>
        <v>0</v>
      </c>
      <c r="O2049" s="219">
        <f t="shared" si="367"/>
        <v>41000</v>
      </c>
      <c r="P2049" s="259"/>
      <c r="Q2049" s="118">
        <f t="shared" si="364"/>
        <v>41000</v>
      </c>
      <c r="R2049" s="118">
        <f t="shared" si="365"/>
        <v>0</v>
      </c>
      <c r="S2049" s="118">
        <f t="shared" si="365"/>
        <v>41000</v>
      </c>
    </row>
    <row r="2050" spans="2:19" x14ac:dyDescent="0.2">
      <c r="B2050" s="88">
        <f t="shared" si="363"/>
        <v>10</v>
      </c>
      <c r="C2050" s="4"/>
      <c r="D2050" s="4"/>
      <c r="E2050" s="4"/>
      <c r="F2050" s="30" t="s">
        <v>165</v>
      </c>
      <c r="G2050" s="4">
        <v>717</v>
      </c>
      <c r="H2050" s="4" t="s">
        <v>198</v>
      </c>
      <c r="I2050" s="23"/>
      <c r="J2050" s="23"/>
      <c r="K2050" s="23">
        <f t="shared" si="366"/>
        <v>0</v>
      </c>
      <c r="L2050" s="259"/>
      <c r="M2050" s="23">
        <f>M2051</f>
        <v>41000</v>
      </c>
      <c r="N2050" s="23">
        <f>N2051</f>
        <v>0</v>
      </c>
      <c r="O2050" s="220">
        <f t="shared" si="367"/>
        <v>41000</v>
      </c>
      <c r="P2050" s="259"/>
      <c r="Q2050" s="92">
        <f t="shared" si="364"/>
        <v>41000</v>
      </c>
      <c r="R2050" s="92">
        <f t="shared" si="365"/>
        <v>0</v>
      </c>
      <c r="S2050" s="92">
        <f t="shared" si="365"/>
        <v>41000</v>
      </c>
    </row>
    <row r="2051" spans="2:19" x14ac:dyDescent="0.2">
      <c r="B2051" s="88">
        <f t="shared" si="363"/>
        <v>11</v>
      </c>
      <c r="C2051" s="4"/>
      <c r="D2051" s="4"/>
      <c r="E2051" s="238"/>
      <c r="F2051" s="229"/>
      <c r="G2051" s="149"/>
      <c r="H2051" s="149" t="s">
        <v>605</v>
      </c>
      <c r="I2051" s="23"/>
      <c r="J2051" s="23"/>
      <c r="K2051" s="23">
        <f t="shared" si="366"/>
        <v>0</v>
      </c>
      <c r="L2051" s="259"/>
      <c r="M2051" s="25">
        <v>41000</v>
      </c>
      <c r="N2051" s="25"/>
      <c r="O2051" s="251">
        <f t="shared" si="367"/>
        <v>41000</v>
      </c>
      <c r="P2051" s="259"/>
      <c r="Q2051" s="93">
        <f t="shared" si="364"/>
        <v>41000</v>
      </c>
      <c r="R2051" s="93">
        <f t="shared" si="365"/>
        <v>0</v>
      </c>
      <c r="S2051" s="93">
        <f t="shared" si="365"/>
        <v>41000</v>
      </c>
    </row>
    <row r="2052" spans="2:19" ht="15" x14ac:dyDescent="0.25">
      <c r="B2052" s="88">
        <f t="shared" si="363"/>
        <v>12</v>
      </c>
      <c r="C2052" s="243"/>
      <c r="D2052" s="243">
        <v>2</v>
      </c>
      <c r="E2052" s="508" t="s">
        <v>345</v>
      </c>
      <c r="F2052" s="509"/>
      <c r="G2052" s="509"/>
      <c r="H2052" s="510"/>
      <c r="I2052" s="41">
        <v>0</v>
      </c>
      <c r="J2052" s="41"/>
      <c r="K2052" s="41">
        <f t="shared" si="366"/>
        <v>0</v>
      </c>
      <c r="L2052" s="259"/>
      <c r="M2052" s="41">
        <v>0</v>
      </c>
      <c r="N2052" s="41">
        <v>0</v>
      </c>
      <c r="O2052" s="249">
        <f t="shared" si="367"/>
        <v>0</v>
      </c>
      <c r="P2052" s="259"/>
      <c r="Q2052" s="90">
        <f t="shared" si="364"/>
        <v>0</v>
      </c>
      <c r="R2052" s="90">
        <f t="shared" si="365"/>
        <v>0</v>
      </c>
      <c r="S2052" s="90">
        <f t="shared" si="365"/>
        <v>0</v>
      </c>
    </row>
    <row r="2053" spans="2:19" ht="15" x14ac:dyDescent="0.25">
      <c r="B2053" s="88">
        <f t="shared" si="363"/>
        <v>13</v>
      </c>
      <c r="C2053" s="243"/>
      <c r="D2053" s="243">
        <v>3</v>
      </c>
      <c r="E2053" s="508" t="s">
        <v>202</v>
      </c>
      <c r="F2053" s="509"/>
      <c r="G2053" s="509"/>
      <c r="H2053" s="510"/>
      <c r="I2053" s="41">
        <f>I2054+I2055+I2056+I2061</f>
        <v>37450</v>
      </c>
      <c r="J2053" s="41">
        <f>J2054+J2055+J2056+J2061</f>
        <v>0</v>
      </c>
      <c r="K2053" s="41">
        <f t="shared" si="366"/>
        <v>37450</v>
      </c>
      <c r="L2053" s="259"/>
      <c r="M2053" s="41">
        <f>M2061</f>
        <v>3538555</v>
      </c>
      <c r="N2053" s="41">
        <f>N2061</f>
        <v>0</v>
      </c>
      <c r="O2053" s="249">
        <f t="shared" si="367"/>
        <v>3538555</v>
      </c>
      <c r="P2053" s="259"/>
      <c r="Q2053" s="90">
        <f t="shared" si="364"/>
        <v>3576005</v>
      </c>
      <c r="R2053" s="90">
        <f t="shared" si="365"/>
        <v>0</v>
      </c>
      <c r="S2053" s="90">
        <f t="shared" si="365"/>
        <v>3576005</v>
      </c>
    </row>
    <row r="2054" spans="2:19" x14ac:dyDescent="0.2">
      <c r="B2054" s="88">
        <f t="shared" si="363"/>
        <v>14</v>
      </c>
      <c r="C2054" s="10"/>
      <c r="D2054" s="10"/>
      <c r="E2054" s="10"/>
      <c r="F2054" s="29" t="s">
        <v>201</v>
      </c>
      <c r="G2054" s="10">
        <v>610</v>
      </c>
      <c r="H2054" s="10" t="s">
        <v>143</v>
      </c>
      <c r="I2054" s="27">
        <v>25000</v>
      </c>
      <c r="J2054" s="27"/>
      <c r="K2054" s="27">
        <f t="shared" si="366"/>
        <v>25000</v>
      </c>
      <c r="L2054" s="259"/>
      <c r="M2054" s="27"/>
      <c r="N2054" s="27"/>
      <c r="O2054" s="250">
        <f t="shared" si="367"/>
        <v>0</v>
      </c>
      <c r="P2054" s="259"/>
      <c r="Q2054" s="91">
        <f t="shared" si="364"/>
        <v>25000</v>
      </c>
      <c r="R2054" s="91">
        <f t="shared" si="365"/>
        <v>0</v>
      </c>
      <c r="S2054" s="91">
        <f t="shared" si="365"/>
        <v>25000</v>
      </c>
    </row>
    <row r="2055" spans="2:19" x14ac:dyDescent="0.2">
      <c r="B2055" s="88">
        <f t="shared" si="363"/>
        <v>15</v>
      </c>
      <c r="C2055" s="10"/>
      <c r="D2055" s="10"/>
      <c r="E2055" s="10"/>
      <c r="F2055" s="29" t="s">
        <v>201</v>
      </c>
      <c r="G2055" s="10">
        <v>620</v>
      </c>
      <c r="H2055" s="10" t="s">
        <v>136</v>
      </c>
      <c r="I2055" s="27">
        <v>9550</v>
      </c>
      <c r="J2055" s="27"/>
      <c r="K2055" s="27">
        <f t="shared" si="366"/>
        <v>9550</v>
      </c>
      <c r="L2055" s="268"/>
      <c r="M2055" s="27"/>
      <c r="N2055" s="27"/>
      <c r="O2055" s="250">
        <f t="shared" si="367"/>
        <v>0</v>
      </c>
      <c r="P2055" s="268"/>
      <c r="Q2055" s="91">
        <f t="shared" si="364"/>
        <v>9550</v>
      </c>
      <c r="R2055" s="91">
        <f t="shared" si="365"/>
        <v>0</v>
      </c>
      <c r="S2055" s="91">
        <f t="shared" si="365"/>
        <v>9550</v>
      </c>
    </row>
    <row r="2056" spans="2:19" x14ac:dyDescent="0.2">
      <c r="B2056" s="88">
        <f t="shared" si="363"/>
        <v>16</v>
      </c>
      <c r="C2056" s="10"/>
      <c r="D2056" s="10"/>
      <c r="E2056" s="10"/>
      <c r="F2056" s="29" t="s">
        <v>201</v>
      </c>
      <c r="G2056" s="10">
        <v>630</v>
      </c>
      <c r="H2056" s="10" t="s">
        <v>133</v>
      </c>
      <c r="I2056" s="27">
        <f>SUM(I2057:I2060)</f>
        <v>2900</v>
      </c>
      <c r="J2056" s="27">
        <f>SUM(J2057:J2060)</f>
        <v>0</v>
      </c>
      <c r="K2056" s="27">
        <f t="shared" si="366"/>
        <v>2900</v>
      </c>
      <c r="L2056" s="259"/>
      <c r="M2056" s="27"/>
      <c r="N2056" s="27"/>
      <c r="O2056" s="250">
        <f t="shared" si="367"/>
        <v>0</v>
      </c>
      <c r="P2056" s="259"/>
      <c r="Q2056" s="91">
        <f t="shared" si="364"/>
        <v>2900</v>
      </c>
      <c r="R2056" s="91">
        <f t="shared" si="365"/>
        <v>0</v>
      </c>
      <c r="S2056" s="91">
        <f t="shared" si="365"/>
        <v>2900</v>
      </c>
    </row>
    <row r="2057" spans="2:19" x14ac:dyDescent="0.2">
      <c r="B2057" s="88">
        <f t="shared" si="363"/>
        <v>17</v>
      </c>
      <c r="C2057" s="4"/>
      <c r="D2057" s="4"/>
      <c r="E2057" s="4"/>
      <c r="F2057" s="30" t="s">
        <v>201</v>
      </c>
      <c r="G2057" s="4">
        <v>632</v>
      </c>
      <c r="H2057" s="4" t="s">
        <v>146</v>
      </c>
      <c r="I2057" s="23">
        <v>300</v>
      </c>
      <c r="J2057" s="23"/>
      <c r="K2057" s="23">
        <f t="shared" si="366"/>
        <v>300</v>
      </c>
      <c r="L2057" s="259"/>
      <c r="M2057" s="23"/>
      <c r="N2057" s="23"/>
      <c r="O2057" s="220">
        <f t="shared" si="367"/>
        <v>0</v>
      </c>
      <c r="P2057" s="259"/>
      <c r="Q2057" s="92">
        <f t="shared" si="364"/>
        <v>300</v>
      </c>
      <c r="R2057" s="92">
        <f t="shared" ref="R2057:S2064" si="368">J2057+N2057</f>
        <v>0</v>
      </c>
      <c r="S2057" s="92">
        <f t="shared" si="368"/>
        <v>300</v>
      </c>
    </row>
    <row r="2058" spans="2:19" x14ac:dyDescent="0.2">
      <c r="B2058" s="88">
        <f t="shared" si="363"/>
        <v>18</v>
      </c>
      <c r="C2058" s="4"/>
      <c r="D2058" s="4"/>
      <c r="E2058" s="4"/>
      <c r="F2058" s="30" t="s">
        <v>201</v>
      </c>
      <c r="G2058" s="4">
        <v>633</v>
      </c>
      <c r="H2058" s="4" t="s">
        <v>137</v>
      </c>
      <c r="I2058" s="23">
        <v>500</v>
      </c>
      <c r="J2058" s="23"/>
      <c r="K2058" s="23">
        <f t="shared" si="366"/>
        <v>500</v>
      </c>
      <c r="L2058" s="259"/>
      <c r="M2058" s="23"/>
      <c r="N2058" s="23"/>
      <c r="O2058" s="220">
        <f t="shared" si="367"/>
        <v>0</v>
      </c>
      <c r="P2058" s="259"/>
      <c r="Q2058" s="92">
        <f t="shared" si="364"/>
        <v>500</v>
      </c>
      <c r="R2058" s="92">
        <f t="shared" si="368"/>
        <v>0</v>
      </c>
      <c r="S2058" s="92">
        <f t="shared" si="368"/>
        <v>500</v>
      </c>
    </row>
    <row r="2059" spans="2:19" x14ac:dyDescent="0.2">
      <c r="B2059" s="88">
        <f t="shared" si="363"/>
        <v>19</v>
      </c>
      <c r="C2059" s="4"/>
      <c r="D2059" s="4"/>
      <c r="E2059" s="4"/>
      <c r="F2059" s="30" t="s">
        <v>201</v>
      </c>
      <c r="G2059" s="4">
        <v>635</v>
      </c>
      <c r="H2059" s="4" t="s">
        <v>145</v>
      </c>
      <c r="I2059" s="23">
        <v>200</v>
      </c>
      <c r="J2059" s="23"/>
      <c r="K2059" s="23">
        <f t="shared" si="366"/>
        <v>200</v>
      </c>
      <c r="L2059" s="259"/>
      <c r="M2059" s="23"/>
      <c r="N2059" s="23"/>
      <c r="O2059" s="220">
        <f t="shared" si="367"/>
        <v>0</v>
      </c>
      <c r="P2059" s="259"/>
      <c r="Q2059" s="92">
        <f t="shared" si="364"/>
        <v>200</v>
      </c>
      <c r="R2059" s="92">
        <f t="shared" si="368"/>
        <v>0</v>
      </c>
      <c r="S2059" s="92">
        <f t="shared" si="368"/>
        <v>200</v>
      </c>
    </row>
    <row r="2060" spans="2:19" x14ac:dyDescent="0.2">
      <c r="B2060" s="88">
        <f t="shared" si="363"/>
        <v>20</v>
      </c>
      <c r="C2060" s="4"/>
      <c r="D2060" s="4"/>
      <c r="E2060" s="4"/>
      <c r="F2060" s="30" t="s">
        <v>201</v>
      </c>
      <c r="G2060" s="4">
        <v>637</v>
      </c>
      <c r="H2060" s="4" t="s">
        <v>134</v>
      </c>
      <c r="I2060" s="23">
        <v>1900</v>
      </c>
      <c r="J2060" s="23"/>
      <c r="K2060" s="23">
        <f t="shared" si="366"/>
        <v>1900</v>
      </c>
      <c r="L2060" s="265"/>
      <c r="M2060" s="23"/>
      <c r="N2060" s="23"/>
      <c r="O2060" s="220">
        <f t="shared" si="367"/>
        <v>0</v>
      </c>
      <c r="P2060" s="265"/>
      <c r="Q2060" s="92">
        <f t="shared" si="364"/>
        <v>1900</v>
      </c>
      <c r="R2060" s="92">
        <f t="shared" si="368"/>
        <v>0</v>
      </c>
      <c r="S2060" s="92">
        <f t="shared" si="368"/>
        <v>1900</v>
      </c>
    </row>
    <row r="2061" spans="2:19" x14ac:dyDescent="0.2">
      <c r="B2061" s="88">
        <f t="shared" si="363"/>
        <v>21</v>
      </c>
      <c r="C2061" s="10"/>
      <c r="D2061" s="10"/>
      <c r="E2061" s="10"/>
      <c r="F2061" s="29" t="s">
        <v>201</v>
      </c>
      <c r="G2061" s="10">
        <v>710</v>
      </c>
      <c r="H2061" s="10" t="s">
        <v>188</v>
      </c>
      <c r="I2061" s="27"/>
      <c r="J2061" s="27"/>
      <c r="K2061" s="27"/>
      <c r="L2061" s="264"/>
      <c r="M2061" s="27">
        <f>M2062</f>
        <v>3538555</v>
      </c>
      <c r="N2061" s="27">
        <f>N2062</f>
        <v>0</v>
      </c>
      <c r="O2061" s="250">
        <f t="shared" si="367"/>
        <v>3538555</v>
      </c>
      <c r="P2061" s="260"/>
      <c r="Q2061" s="91">
        <f t="shared" si="364"/>
        <v>3538555</v>
      </c>
      <c r="R2061" s="91">
        <f t="shared" si="368"/>
        <v>0</v>
      </c>
      <c r="S2061" s="91">
        <f t="shared" si="368"/>
        <v>3538555</v>
      </c>
    </row>
    <row r="2062" spans="2:19" x14ac:dyDescent="0.2">
      <c r="B2062" s="88">
        <f t="shared" si="363"/>
        <v>22</v>
      </c>
      <c r="C2062" s="4"/>
      <c r="D2062" s="4"/>
      <c r="E2062" s="4"/>
      <c r="F2062" s="30" t="s">
        <v>201</v>
      </c>
      <c r="G2062" s="4">
        <v>712</v>
      </c>
      <c r="H2062" s="4" t="s">
        <v>65</v>
      </c>
      <c r="I2062" s="23"/>
      <c r="J2062" s="23"/>
      <c r="K2062" s="23"/>
      <c r="L2062" s="259"/>
      <c r="M2062" s="23">
        <f>M2063+M2064</f>
        <v>3538555</v>
      </c>
      <c r="N2062" s="23">
        <f>N2063+N2064</f>
        <v>0</v>
      </c>
      <c r="O2062" s="220">
        <f t="shared" si="367"/>
        <v>3538555</v>
      </c>
      <c r="P2062" s="259"/>
      <c r="Q2062" s="92">
        <f t="shared" si="364"/>
        <v>3538555</v>
      </c>
      <c r="R2062" s="92">
        <f t="shared" si="368"/>
        <v>0</v>
      </c>
      <c r="S2062" s="92">
        <f t="shared" si="368"/>
        <v>3538555</v>
      </c>
    </row>
    <row r="2063" spans="2:19" x14ac:dyDescent="0.2">
      <c r="B2063" s="200">
        <f t="shared" si="363"/>
        <v>23</v>
      </c>
      <c r="C2063" s="149"/>
      <c r="D2063" s="149"/>
      <c r="E2063" s="149"/>
      <c r="F2063" s="201"/>
      <c r="G2063" s="149"/>
      <c r="H2063" s="202" t="s">
        <v>375</v>
      </c>
      <c r="I2063" s="203"/>
      <c r="J2063" s="203"/>
      <c r="K2063" s="203"/>
      <c r="L2063" s="259"/>
      <c r="M2063" s="204">
        <v>2353615</v>
      </c>
      <c r="N2063" s="204"/>
      <c r="O2063" s="258">
        <f t="shared" si="367"/>
        <v>2353615</v>
      </c>
      <c r="P2063" s="259"/>
      <c r="Q2063" s="179">
        <f t="shared" si="364"/>
        <v>2353615</v>
      </c>
      <c r="R2063" s="179">
        <f t="shared" si="368"/>
        <v>0</v>
      </c>
      <c r="S2063" s="179">
        <f t="shared" si="368"/>
        <v>2353615</v>
      </c>
    </row>
    <row r="2064" spans="2:19" ht="13.5" thickBot="1" x14ac:dyDescent="0.25">
      <c r="B2064" s="94">
        <f t="shared" si="363"/>
        <v>24</v>
      </c>
      <c r="C2064" s="100"/>
      <c r="D2064" s="100"/>
      <c r="E2064" s="100"/>
      <c r="F2064" s="101"/>
      <c r="G2064" s="100"/>
      <c r="H2064" s="102" t="s">
        <v>541</v>
      </c>
      <c r="I2064" s="151"/>
      <c r="J2064" s="151"/>
      <c r="K2064" s="151"/>
      <c r="L2064" s="259"/>
      <c r="M2064" s="103">
        <v>1184940</v>
      </c>
      <c r="N2064" s="103"/>
      <c r="O2064" s="254">
        <f t="shared" si="367"/>
        <v>1184940</v>
      </c>
      <c r="P2064" s="259"/>
      <c r="Q2064" s="104">
        <f t="shared" si="364"/>
        <v>1184940</v>
      </c>
      <c r="R2064" s="104">
        <f t="shared" si="368"/>
        <v>0</v>
      </c>
      <c r="S2064" s="104">
        <f t="shared" si="368"/>
        <v>1184940</v>
      </c>
    </row>
    <row r="2065" spans="11:43" x14ac:dyDescent="0.2">
      <c r="K2065" s="58"/>
      <c r="L2065" s="58"/>
      <c r="M2065" s="58"/>
      <c r="N2065" s="58"/>
      <c r="O2065" s="58"/>
      <c r="P2065" s="58"/>
      <c r="Q2065" s="58"/>
      <c r="AK2065"/>
      <c r="AL2065"/>
      <c r="AM2065"/>
      <c r="AN2065"/>
      <c r="AO2065"/>
      <c r="AP2065"/>
      <c r="AQ2065"/>
    </row>
    <row r="2066" spans="11:43" x14ac:dyDescent="0.2">
      <c r="K2066" s="58"/>
      <c r="L2066" s="58"/>
      <c r="M2066" s="58"/>
      <c r="N2066" s="58"/>
      <c r="O2066" s="58"/>
      <c r="P2066" s="58"/>
      <c r="Q2066" s="58"/>
      <c r="AK2066"/>
      <c r="AL2066"/>
      <c r="AM2066"/>
      <c r="AN2066"/>
      <c r="AO2066"/>
      <c r="AP2066"/>
      <c r="AQ2066"/>
    </row>
    <row r="2067" spans="11:43" x14ac:dyDescent="0.2">
      <c r="K2067" s="58"/>
      <c r="L2067" s="58"/>
      <c r="M2067" s="58"/>
      <c r="N2067" s="58"/>
      <c r="O2067" s="58"/>
      <c r="P2067" s="58"/>
      <c r="Q2067" s="58"/>
      <c r="AK2067"/>
      <c r="AL2067"/>
      <c r="AM2067"/>
      <c r="AN2067"/>
      <c r="AO2067"/>
      <c r="AP2067"/>
      <c r="AQ2067"/>
    </row>
    <row r="2068" spans="11:43" x14ac:dyDescent="0.2">
      <c r="K2068" s="58"/>
      <c r="L2068" s="58"/>
      <c r="M2068" s="58"/>
      <c r="N2068" s="58"/>
      <c r="O2068" s="58"/>
      <c r="P2068" s="58"/>
      <c r="Q2068" s="58"/>
      <c r="AK2068"/>
      <c r="AL2068"/>
      <c r="AM2068"/>
      <c r="AN2068"/>
      <c r="AO2068"/>
      <c r="AP2068"/>
      <c r="AQ2068"/>
    </row>
    <row r="2069" spans="11:43" x14ac:dyDescent="0.2">
      <c r="K2069" s="58"/>
      <c r="L2069" s="58"/>
      <c r="M2069" s="58"/>
      <c r="N2069" s="58"/>
      <c r="O2069" s="58"/>
      <c r="P2069" s="58"/>
      <c r="Q2069" s="58"/>
      <c r="AK2069"/>
      <c r="AL2069"/>
      <c r="AM2069"/>
      <c r="AN2069"/>
      <c r="AO2069"/>
      <c r="AP2069"/>
      <c r="AQ2069"/>
    </row>
    <row r="2070" spans="11:43" x14ac:dyDescent="0.2">
      <c r="K2070" s="58"/>
      <c r="L2070" s="58"/>
      <c r="M2070" s="58"/>
      <c r="N2070" s="58"/>
      <c r="O2070" s="58"/>
      <c r="P2070" s="58"/>
      <c r="Q2070" s="58"/>
      <c r="AK2070"/>
      <c r="AL2070"/>
      <c r="AM2070"/>
      <c r="AN2070"/>
      <c r="AO2070"/>
      <c r="AP2070"/>
      <c r="AQ2070"/>
    </row>
    <row r="2071" spans="11:43" x14ac:dyDescent="0.2">
      <c r="K2071" s="58"/>
      <c r="L2071" s="58"/>
      <c r="M2071" s="58"/>
      <c r="N2071" s="58"/>
      <c r="O2071" s="58"/>
      <c r="P2071" s="58"/>
      <c r="Q2071" s="58"/>
      <c r="AK2071"/>
      <c r="AL2071"/>
      <c r="AM2071"/>
      <c r="AN2071"/>
      <c r="AO2071"/>
      <c r="AP2071"/>
      <c r="AQ2071"/>
    </row>
    <row r="2072" spans="11:43" x14ac:dyDescent="0.2">
      <c r="K2072" s="58"/>
      <c r="L2072" s="58"/>
      <c r="M2072" s="58"/>
      <c r="N2072" s="58"/>
      <c r="O2072" s="58"/>
      <c r="P2072" s="58"/>
      <c r="Q2072" s="58"/>
      <c r="AK2072"/>
      <c r="AL2072"/>
      <c r="AM2072"/>
      <c r="AN2072"/>
      <c r="AO2072"/>
      <c r="AP2072"/>
      <c r="AQ2072"/>
    </row>
    <row r="2073" spans="11:43" x14ac:dyDescent="0.2">
      <c r="K2073" s="58"/>
      <c r="L2073" s="58"/>
      <c r="M2073" s="58"/>
      <c r="N2073" s="58"/>
      <c r="O2073" s="58"/>
      <c r="P2073" s="58"/>
      <c r="Q2073" s="58"/>
      <c r="AK2073"/>
      <c r="AL2073"/>
      <c r="AM2073"/>
      <c r="AN2073"/>
      <c r="AO2073"/>
      <c r="AP2073"/>
      <c r="AQ2073"/>
    </row>
    <row r="2074" spans="11:43" x14ac:dyDescent="0.2">
      <c r="K2074" s="58"/>
      <c r="L2074" s="58"/>
      <c r="M2074" s="58"/>
      <c r="N2074" s="58"/>
      <c r="O2074" s="58"/>
      <c r="P2074" s="58"/>
      <c r="Q2074" s="58"/>
      <c r="AK2074"/>
      <c r="AL2074"/>
      <c r="AM2074"/>
      <c r="AN2074"/>
      <c r="AO2074"/>
      <c r="AP2074"/>
      <c r="AQ2074"/>
    </row>
    <row r="2075" spans="11:43" x14ac:dyDescent="0.2">
      <c r="K2075" s="58"/>
      <c r="L2075" s="58"/>
      <c r="M2075" s="58"/>
      <c r="N2075" s="58"/>
      <c r="O2075" s="58"/>
      <c r="P2075" s="58"/>
      <c r="Q2075" s="58"/>
      <c r="AK2075"/>
      <c r="AL2075"/>
      <c r="AM2075"/>
      <c r="AN2075"/>
      <c r="AO2075"/>
      <c r="AP2075"/>
      <c r="AQ2075"/>
    </row>
    <row r="2076" spans="11:43" x14ac:dyDescent="0.2">
      <c r="K2076" s="58"/>
      <c r="L2076" s="58"/>
      <c r="M2076" s="58"/>
      <c r="N2076" s="58"/>
      <c r="O2076" s="58"/>
      <c r="P2076" s="58"/>
      <c r="Q2076" s="58"/>
      <c r="AK2076"/>
      <c r="AL2076"/>
      <c r="AM2076"/>
      <c r="AN2076"/>
      <c r="AO2076"/>
      <c r="AP2076"/>
      <c r="AQ2076"/>
    </row>
    <row r="2077" spans="11:43" x14ac:dyDescent="0.2">
      <c r="K2077" s="58"/>
      <c r="L2077" s="58"/>
      <c r="M2077" s="58"/>
      <c r="N2077" s="58"/>
      <c r="O2077" s="58"/>
      <c r="P2077" s="58"/>
      <c r="Q2077" s="58"/>
      <c r="AK2077"/>
      <c r="AL2077"/>
      <c r="AM2077"/>
      <c r="AN2077"/>
      <c r="AO2077"/>
      <c r="AP2077"/>
      <c r="AQ2077"/>
    </row>
    <row r="2078" spans="11:43" x14ac:dyDescent="0.2">
      <c r="K2078" s="58"/>
      <c r="L2078" s="58"/>
      <c r="M2078" s="58"/>
      <c r="N2078" s="58"/>
      <c r="O2078" s="58"/>
      <c r="P2078" s="58"/>
      <c r="Q2078" s="58"/>
      <c r="AK2078"/>
      <c r="AL2078"/>
      <c r="AM2078"/>
      <c r="AN2078"/>
      <c r="AO2078"/>
      <c r="AP2078"/>
      <c r="AQ2078"/>
    </row>
    <row r="2079" spans="11:43" x14ac:dyDescent="0.2">
      <c r="K2079" s="58"/>
      <c r="L2079" s="58"/>
      <c r="M2079" s="58"/>
      <c r="N2079" s="58"/>
      <c r="O2079" s="58"/>
      <c r="P2079" s="58"/>
      <c r="Q2079" s="58"/>
      <c r="AK2079"/>
      <c r="AL2079"/>
      <c r="AM2079"/>
      <c r="AN2079"/>
      <c r="AO2079"/>
      <c r="AP2079"/>
      <c r="AQ2079"/>
    </row>
    <row r="2080" spans="11:43" x14ac:dyDescent="0.2">
      <c r="K2080" s="58"/>
      <c r="L2080" s="58"/>
      <c r="M2080" s="58"/>
      <c r="N2080" s="58"/>
      <c r="O2080" s="58"/>
      <c r="P2080" s="58"/>
      <c r="Q2080" s="58"/>
      <c r="AK2080"/>
      <c r="AL2080"/>
      <c r="AM2080"/>
      <c r="AN2080"/>
      <c r="AO2080"/>
      <c r="AP2080"/>
      <c r="AQ2080"/>
    </row>
    <row r="2081" spans="11:43" x14ac:dyDescent="0.2">
      <c r="K2081" s="58"/>
      <c r="L2081" s="58"/>
      <c r="M2081" s="58"/>
      <c r="N2081" s="58"/>
      <c r="O2081" s="58"/>
      <c r="P2081" s="58"/>
      <c r="Q2081" s="58"/>
      <c r="AK2081"/>
      <c r="AL2081"/>
      <c r="AM2081"/>
      <c r="AN2081"/>
      <c r="AO2081"/>
      <c r="AP2081"/>
      <c r="AQ2081"/>
    </row>
    <row r="2082" spans="11:43" x14ac:dyDescent="0.2">
      <c r="K2082" s="58"/>
      <c r="L2082" s="58"/>
      <c r="M2082" s="58"/>
      <c r="N2082" s="58"/>
      <c r="O2082" s="58"/>
      <c r="P2082" s="58"/>
      <c r="Q2082" s="58"/>
      <c r="AK2082"/>
      <c r="AL2082"/>
      <c r="AM2082"/>
      <c r="AN2082"/>
      <c r="AO2082"/>
      <c r="AP2082"/>
      <c r="AQ2082"/>
    </row>
    <row r="2146" spans="12:16" x14ac:dyDescent="0.2">
      <c r="L2146" s="189"/>
      <c r="P2146" s="189"/>
    </row>
    <row r="2147" spans="12:16" x14ac:dyDescent="0.2">
      <c r="L2147" s="189"/>
      <c r="P2147" s="189"/>
    </row>
  </sheetData>
  <mergeCells count="317">
    <mergeCell ref="D50:H50"/>
    <mergeCell ref="D52:H52"/>
    <mergeCell ref="D64:H64"/>
    <mergeCell ref="D42:H42"/>
    <mergeCell ref="D53:H53"/>
    <mergeCell ref="D61:H61"/>
    <mergeCell ref="D51:H51"/>
    <mergeCell ref="E11:H11"/>
    <mergeCell ref="J5:J8"/>
    <mergeCell ref="B3:Q3"/>
    <mergeCell ref="Q4:Q8"/>
    <mergeCell ref="F5:F8"/>
    <mergeCell ref="D30:H30"/>
    <mergeCell ref="I5:I8"/>
    <mergeCell ref="D10:H10"/>
    <mergeCell ref="B5:B8"/>
    <mergeCell ref="C5:C8"/>
    <mergeCell ref="D5:D8"/>
    <mergeCell ref="E18:H18"/>
    <mergeCell ref="E21:H21"/>
    <mergeCell ref="E24:H24"/>
    <mergeCell ref="E5:E8"/>
    <mergeCell ref="C9:H9"/>
    <mergeCell ref="G5:G8"/>
    <mergeCell ref="H5:H8"/>
    <mergeCell ref="M5:M8"/>
    <mergeCell ref="K5:K8"/>
    <mergeCell ref="N5:N8"/>
    <mergeCell ref="O5:O8"/>
    <mergeCell ref="B4:O4"/>
    <mergeCell ref="B122:Q122"/>
    <mergeCell ref="B123:M123"/>
    <mergeCell ref="Q123:Q127"/>
    <mergeCell ref="B124:B127"/>
    <mergeCell ref="C124:C127"/>
    <mergeCell ref="D124:D127"/>
    <mergeCell ref="E124:E127"/>
    <mergeCell ref="F124:F127"/>
    <mergeCell ref="G124:G127"/>
    <mergeCell ref="H124:H127"/>
    <mergeCell ref="I124:I127"/>
    <mergeCell ref="M124:M127"/>
    <mergeCell ref="C128:H128"/>
    <mergeCell ref="D129:H129"/>
    <mergeCell ref="D139:H139"/>
    <mergeCell ref="B181:Q181"/>
    <mergeCell ref="B182:M182"/>
    <mergeCell ref="Q182:Q186"/>
    <mergeCell ref="B183:B186"/>
    <mergeCell ref="C183:C186"/>
    <mergeCell ref="D183:D186"/>
    <mergeCell ref="E183:E186"/>
    <mergeCell ref="F183:F186"/>
    <mergeCell ref="G183:G186"/>
    <mergeCell ref="H183:H186"/>
    <mergeCell ref="I183:I186"/>
    <mergeCell ref="M183:M186"/>
    <mergeCell ref="J183:J186"/>
    <mergeCell ref="K183:K186"/>
    <mergeCell ref="N183:N186"/>
    <mergeCell ref="O183:O186"/>
    <mergeCell ref="E201:H201"/>
    <mergeCell ref="D207:H207"/>
    <mergeCell ref="D211:H211"/>
    <mergeCell ref="D235:H235"/>
    <mergeCell ref="D251:H251"/>
    <mergeCell ref="C187:H187"/>
    <mergeCell ref="D188:H188"/>
    <mergeCell ref="D191:H191"/>
    <mergeCell ref="E192:H192"/>
    <mergeCell ref="E195:H195"/>
    <mergeCell ref="C303:H303"/>
    <mergeCell ref="D304:H304"/>
    <mergeCell ref="D309:H309"/>
    <mergeCell ref="D320:H320"/>
    <mergeCell ref="D329:H329"/>
    <mergeCell ref="D256:H256"/>
    <mergeCell ref="D269:H269"/>
    <mergeCell ref="B297:Q297"/>
    <mergeCell ref="B298:M298"/>
    <mergeCell ref="Q298:Q302"/>
    <mergeCell ref="B299:B302"/>
    <mergeCell ref="C299:C302"/>
    <mergeCell ref="D299:D302"/>
    <mergeCell ref="E299:E302"/>
    <mergeCell ref="F299:F302"/>
    <mergeCell ref="G299:G302"/>
    <mergeCell ref="H299:H302"/>
    <mergeCell ref="I299:I302"/>
    <mergeCell ref="M299:M302"/>
    <mergeCell ref="J299:J302"/>
    <mergeCell ref="K299:K302"/>
    <mergeCell ref="N299:N302"/>
    <mergeCell ref="O299:O302"/>
    <mergeCell ref="C421:H421"/>
    <mergeCell ref="D422:H422"/>
    <mergeCell ref="D443:H443"/>
    <mergeCell ref="D465:H465"/>
    <mergeCell ref="D471:H471"/>
    <mergeCell ref="D339:H339"/>
    <mergeCell ref="D350:H350"/>
    <mergeCell ref="D365:H365"/>
    <mergeCell ref="B415:Q415"/>
    <mergeCell ref="B416:M416"/>
    <mergeCell ref="Q416:Q420"/>
    <mergeCell ref="B417:B420"/>
    <mergeCell ref="C417:C420"/>
    <mergeCell ref="D417:D420"/>
    <mergeCell ref="E417:E420"/>
    <mergeCell ref="F417:F420"/>
    <mergeCell ref="G417:G420"/>
    <mergeCell ref="H417:H420"/>
    <mergeCell ref="I417:I420"/>
    <mergeCell ref="M417:M420"/>
    <mergeCell ref="J417:J420"/>
    <mergeCell ref="O417:O420"/>
    <mergeCell ref="C539:H539"/>
    <mergeCell ref="D540:H540"/>
    <mergeCell ref="D544:H544"/>
    <mergeCell ref="E545:H545"/>
    <mergeCell ref="E565:H565"/>
    <mergeCell ref="D474:H474"/>
    <mergeCell ref="B533:Q533"/>
    <mergeCell ref="B534:M534"/>
    <mergeCell ref="Q534:Q538"/>
    <mergeCell ref="B535:B538"/>
    <mergeCell ref="C535:C538"/>
    <mergeCell ref="D535:D538"/>
    <mergeCell ref="E535:E538"/>
    <mergeCell ref="F535:F538"/>
    <mergeCell ref="G535:G538"/>
    <mergeCell ref="H535:H538"/>
    <mergeCell ref="I535:I538"/>
    <mergeCell ref="M535:M538"/>
    <mergeCell ref="J535:J538"/>
    <mergeCell ref="K535:K538"/>
    <mergeCell ref="N535:N538"/>
    <mergeCell ref="O535:O538"/>
    <mergeCell ref="C719:H719"/>
    <mergeCell ref="D720:H720"/>
    <mergeCell ref="D905:H905"/>
    <mergeCell ref="D1101:H1101"/>
    <mergeCell ref="D1207:H1207"/>
    <mergeCell ref="D575:H575"/>
    <mergeCell ref="B713:Q713"/>
    <mergeCell ref="B714:M714"/>
    <mergeCell ref="Q714:Q718"/>
    <mergeCell ref="B715:B718"/>
    <mergeCell ref="C715:C718"/>
    <mergeCell ref="D715:D718"/>
    <mergeCell ref="E715:E718"/>
    <mergeCell ref="F715:F718"/>
    <mergeCell ref="G715:G718"/>
    <mergeCell ref="H715:H718"/>
    <mergeCell ref="I715:I718"/>
    <mergeCell ref="M715:M718"/>
    <mergeCell ref="J715:J718"/>
    <mergeCell ref="K715:K718"/>
    <mergeCell ref="N715:N718"/>
    <mergeCell ref="D1452:H1452"/>
    <mergeCell ref="B1512:Q1512"/>
    <mergeCell ref="B1513:M1513"/>
    <mergeCell ref="Q1513:Q1517"/>
    <mergeCell ref="B1514:B1517"/>
    <mergeCell ref="C1514:C1517"/>
    <mergeCell ref="D1514:D1517"/>
    <mergeCell ref="E1514:E1517"/>
    <mergeCell ref="F1514:F1517"/>
    <mergeCell ref="G1514:G1517"/>
    <mergeCell ref="H1514:H1517"/>
    <mergeCell ref="I1514:I1517"/>
    <mergeCell ref="M1514:M1517"/>
    <mergeCell ref="E1549:H1549"/>
    <mergeCell ref="E1557:H1557"/>
    <mergeCell ref="E1575:H1575"/>
    <mergeCell ref="E1595:H1595"/>
    <mergeCell ref="D1605:H1605"/>
    <mergeCell ref="C1518:H1518"/>
    <mergeCell ref="D1519:H1519"/>
    <mergeCell ref="D1523:H1523"/>
    <mergeCell ref="D1544:H1544"/>
    <mergeCell ref="E1545:H1545"/>
    <mergeCell ref="N1737:N1740"/>
    <mergeCell ref="O1737:O1740"/>
    <mergeCell ref="C1687:H1687"/>
    <mergeCell ref="D1688:H1688"/>
    <mergeCell ref="D1709:H1709"/>
    <mergeCell ref="D1714:H1714"/>
    <mergeCell ref="D1729:H1729"/>
    <mergeCell ref="B1681:Q1681"/>
    <mergeCell ref="B1682:M1682"/>
    <mergeCell ref="Q1682:Q1686"/>
    <mergeCell ref="B1683:B1686"/>
    <mergeCell ref="C1683:C1686"/>
    <mergeCell ref="D1683:D1686"/>
    <mergeCell ref="E1683:E1686"/>
    <mergeCell ref="F1683:F1686"/>
    <mergeCell ref="G1683:G1686"/>
    <mergeCell ref="H1683:H1686"/>
    <mergeCell ref="I1683:I1686"/>
    <mergeCell ref="M1683:M1686"/>
    <mergeCell ref="J1683:J1686"/>
    <mergeCell ref="K1683:K1686"/>
    <mergeCell ref="N1683:N1686"/>
    <mergeCell ref="O1683:O1686"/>
    <mergeCell ref="D1803:H1803"/>
    <mergeCell ref="D1828:H1828"/>
    <mergeCell ref="D1832:H1832"/>
    <mergeCell ref="D1839:H1839"/>
    <mergeCell ref="B1860:Q1860"/>
    <mergeCell ref="C1741:H1741"/>
    <mergeCell ref="D1742:H1742"/>
    <mergeCell ref="D1782:H1782"/>
    <mergeCell ref="E1783:H1783"/>
    <mergeCell ref="E1797:H1797"/>
    <mergeCell ref="B1861:M1861"/>
    <mergeCell ref="Q1861:Q1865"/>
    <mergeCell ref="B1862:B1865"/>
    <mergeCell ref="C1862:C1865"/>
    <mergeCell ref="D1862:D1865"/>
    <mergeCell ref="E1862:E1865"/>
    <mergeCell ref="F1862:F1865"/>
    <mergeCell ref="G1862:G1865"/>
    <mergeCell ref="H1862:H1865"/>
    <mergeCell ref="I1862:I1865"/>
    <mergeCell ref="M1862:M1865"/>
    <mergeCell ref="J1862:J1865"/>
    <mergeCell ref="K1862:K1865"/>
    <mergeCell ref="N1862:N1865"/>
    <mergeCell ref="O1862:O1865"/>
    <mergeCell ref="D2042:H2042"/>
    <mergeCell ref="E2043:H2043"/>
    <mergeCell ref="E2052:H2052"/>
    <mergeCell ref="E2053:H2053"/>
    <mergeCell ref="D1997:H1997"/>
    <mergeCell ref="D2006:H2006"/>
    <mergeCell ref="B2035:Q2035"/>
    <mergeCell ref="B2036:M2036"/>
    <mergeCell ref="Q2036:Q2040"/>
    <mergeCell ref="B2037:B2040"/>
    <mergeCell ref="C2037:C2040"/>
    <mergeCell ref="D2037:D2040"/>
    <mergeCell ref="E2037:E2040"/>
    <mergeCell ref="F2037:F2040"/>
    <mergeCell ref="G2037:G2040"/>
    <mergeCell ref="H2037:H2040"/>
    <mergeCell ref="I2037:I2040"/>
    <mergeCell ref="M2037:M2040"/>
    <mergeCell ref="J2037:J2040"/>
    <mergeCell ref="K2037:K2040"/>
    <mergeCell ref="R4:R8"/>
    <mergeCell ref="S4:S8"/>
    <mergeCell ref="J124:J127"/>
    <mergeCell ref="K124:K127"/>
    <mergeCell ref="N124:N127"/>
    <mergeCell ref="O124:O127"/>
    <mergeCell ref="C2041:H2041"/>
    <mergeCell ref="E1945:H1945"/>
    <mergeCell ref="D1954:H1954"/>
    <mergeCell ref="D1976:H1976"/>
    <mergeCell ref="D1989:H1989"/>
    <mergeCell ref="D1992:H1992"/>
    <mergeCell ref="E1899:H1899"/>
    <mergeCell ref="E1912:H1912"/>
    <mergeCell ref="D1922:H1922"/>
    <mergeCell ref="E1923:H1923"/>
    <mergeCell ref="E1933:H1933"/>
    <mergeCell ref="C1866:H1866"/>
    <mergeCell ref="D1867:H1867"/>
    <mergeCell ref="D1877:H1877"/>
    <mergeCell ref="D1881:H1881"/>
    <mergeCell ref="D1898:H1898"/>
    <mergeCell ref="K417:K420"/>
    <mergeCell ref="N417:N420"/>
    <mergeCell ref="R714:R718"/>
    <mergeCell ref="S714:S718"/>
    <mergeCell ref="R1513:R1517"/>
    <mergeCell ref="S1513:S1517"/>
    <mergeCell ref="O715:O718"/>
    <mergeCell ref="J1514:J1517"/>
    <mergeCell ref="K1514:K1517"/>
    <mergeCell ref="N1514:N1517"/>
    <mergeCell ref="O1514:O1517"/>
    <mergeCell ref="R123:R127"/>
    <mergeCell ref="S123:S127"/>
    <mergeCell ref="R182:R186"/>
    <mergeCell ref="S182:S186"/>
    <mergeCell ref="R298:R302"/>
    <mergeCell ref="S298:S302"/>
    <mergeCell ref="R416:R420"/>
    <mergeCell ref="S416:S420"/>
    <mergeCell ref="R534:R538"/>
    <mergeCell ref="S534:S538"/>
    <mergeCell ref="R2036:R2040"/>
    <mergeCell ref="S2036:S2040"/>
    <mergeCell ref="R1682:R1686"/>
    <mergeCell ref="S1682:S1686"/>
    <mergeCell ref="R1736:R1740"/>
    <mergeCell ref="S1736:S1740"/>
    <mergeCell ref="R1861:R1865"/>
    <mergeCell ref="S1861:S1865"/>
    <mergeCell ref="N2037:N2040"/>
    <mergeCell ref="O2037:O2040"/>
    <mergeCell ref="B1735:Q1735"/>
    <mergeCell ref="B1736:M1736"/>
    <mergeCell ref="Q1736:Q1740"/>
    <mergeCell ref="B1737:B1740"/>
    <mergeCell ref="C1737:C1740"/>
    <mergeCell ref="D1737:D1740"/>
    <mergeCell ref="E1737:E1740"/>
    <mergeCell ref="F1737:F1740"/>
    <mergeCell ref="G1737:G1740"/>
    <mergeCell ref="H1737:H1740"/>
    <mergeCell ref="I1737:I1740"/>
    <mergeCell ref="M1737:M1740"/>
    <mergeCell ref="J1737:J1740"/>
    <mergeCell ref="K1737:K1740"/>
  </mergeCells>
  <phoneticPr fontId="1" type="noConversion"/>
  <pageMargins left="0.11811023622047245" right="0.11811023622047245" top="0.15748031496062992" bottom="0.15748031496062992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1:N67"/>
  <sheetViews>
    <sheetView zoomScale="90" zoomScaleNormal="90" workbookViewId="0"/>
  </sheetViews>
  <sheetFormatPr defaultRowHeight="12.75" x14ac:dyDescent="0.2"/>
  <cols>
    <col min="1" max="1" width="4.85546875" customWidth="1"/>
    <col min="2" max="2" width="3.42578125" customWidth="1"/>
    <col min="3" max="3" width="46.5703125" customWidth="1"/>
    <col min="4" max="4" width="11.85546875" style="20" customWidth="1"/>
    <col min="5" max="5" width="11" style="20" customWidth="1"/>
    <col min="6" max="6" width="12.5703125" style="20" customWidth="1"/>
    <col min="7" max="7" width="13" style="20" customWidth="1"/>
    <col min="8" max="8" width="10.7109375" style="20" customWidth="1"/>
    <col min="9" max="9" width="14.42578125" style="20" customWidth="1"/>
    <col min="10" max="10" width="13.28515625" style="20" customWidth="1"/>
    <col min="11" max="11" width="11.85546875" customWidth="1"/>
    <col min="12" max="12" width="15.42578125" customWidth="1"/>
    <col min="13" max="14" width="11" bestFit="1" customWidth="1"/>
  </cols>
  <sheetData>
    <row r="1" spans="2:14" ht="8.25" customHeight="1" thickBot="1" x14ac:dyDescent="0.25"/>
    <row r="2" spans="2:14" s="47" customFormat="1" ht="41.25" customHeight="1" thickBot="1" x14ac:dyDescent="0.25">
      <c r="B2" s="544"/>
      <c r="C2" s="545"/>
      <c r="D2" s="286" t="s">
        <v>647</v>
      </c>
      <c r="E2" s="287" t="s">
        <v>648</v>
      </c>
      <c r="F2" s="288" t="s">
        <v>649</v>
      </c>
      <c r="G2" s="289" t="s">
        <v>650</v>
      </c>
      <c r="H2" s="287" t="s">
        <v>648</v>
      </c>
      <c r="I2" s="288" t="s">
        <v>653</v>
      </c>
      <c r="J2" s="289" t="s">
        <v>654</v>
      </c>
      <c r="K2" s="287" t="s">
        <v>648</v>
      </c>
      <c r="L2" s="288" t="s">
        <v>644</v>
      </c>
    </row>
    <row r="3" spans="2:14" ht="5.25" customHeight="1" thickBot="1" x14ac:dyDescent="0.25">
      <c r="D3" s="49"/>
      <c r="E3" s="49"/>
      <c r="F3" s="49"/>
      <c r="G3" s="49"/>
      <c r="H3" s="49"/>
      <c r="I3" s="49"/>
      <c r="K3" s="20"/>
      <c r="L3" s="20"/>
    </row>
    <row r="4" spans="2:14" ht="15.75" x14ac:dyDescent="0.25">
      <c r="B4" s="109">
        <v>1</v>
      </c>
      <c r="C4" s="110" t="s">
        <v>416</v>
      </c>
      <c r="D4" s="111">
        <f>Príjmy!G480</f>
        <v>42256614</v>
      </c>
      <c r="E4" s="111">
        <f>Príjmy!H480</f>
        <v>73251</v>
      </c>
      <c r="F4" s="111">
        <f>D4+E4</f>
        <v>42329865</v>
      </c>
      <c r="G4" s="111">
        <f>Príjmy!G481</f>
        <v>4862045</v>
      </c>
      <c r="H4" s="279">
        <f>Príjmy!H481</f>
        <v>3152419</v>
      </c>
      <c r="I4" s="279">
        <f>G4+H4</f>
        <v>8014464</v>
      </c>
      <c r="J4" s="279">
        <f t="shared" ref="J4:J17" si="0">G4+D4</f>
        <v>47118659</v>
      </c>
      <c r="K4" s="111">
        <f t="shared" ref="K4:K17" si="1">H4+E4</f>
        <v>3225670</v>
      </c>
      <c r="L4" s="406">
        <f t="shared" ref="L4:L17" si="2">I4+F4</f>
        <v>50344329</v>
      </c>
    </row>
    <row r="5" spans="2:14" ht="15.75" x14ac:dyDescent="0.25">
      <c r="B5" s="112">
        <v>2</v>
      </c>
      <c r="C5" s="48" t="s">
        <v>417</v>
      </c>
      <c r="D5" s="108">
        <f>SUM(D6:D17)</f>
        <v>40464509</v>
      </c>
      <c r="E5" s="108">
        <f t="shared" ref="E5:F5" si="3">SUM(E6:E17)</f>
        <v>-11749</v>
      </c>
      <c r="F5" s="108">
        <f t="shared" si="3"/>
        <v>40452760</v>
      </c>
      <c r="G5" s="108">
        <f>SUM(G6:G17)</f>
        <v>16866930</v>
      </c>
      <c r="H5" s="108">
        <f t="shared" ref="H5:I5" si="4">SUM(H6:H17)</f>
        <v>3237419</v>
      </c>
      <c r="I5" s="108">
        <f t="shared" si="4"/>
        <v>20104349</v>
      </c>
      <c r="J5" s="404">
        <f t="shared" si="0"/>
        <v>57331439</v>
      </c>
      <c r="K5" s="108">
        <f t="shared" si="1"/>
        <v>3225670</v>
      </c>
      <c r="L5" s="407">
        <f t="shared" si="2"/>
        <v>60557109</v>
      </c>
    </row>
    <row r="6" spans="2:14" ht="14.25" x14ac:dyDescent="0.2">
      <c r="B6" s="113">
        <v>3</v>
      </c>
      <c r="C6" s="107" t="s">
        <v>406</v>
      </c>
      <c r="D6" s="46">
        <f>Výdavky!I9</f>
        <v>493150</v>
      </c>
      <c r="E6" s="46">
        <f>Výdavky!J9</f>
        <v>53252</v>
      </c>
      <c r="F6" s="46">
        <f>D6+E6</f>
        <v>546402</v>
      </c>
      <c r="G6" s="46">
        <f>Výdavky!M9</f>
        <v>429326</v>
      </c>
      <c r="H6" s="280">
        <f>Výdavky!N9</f>
        <v>-219629</v>
      </c>
      <c r="I6" s="280">
        <f>G6+H6</f>
        <v>209697</v>
      </c>
      <c r="J6" s="280">
        <f t="shared" si="0"/>
        <v>922476</v>
      </c>
      <c r="K6" s="46">
        <f t="shared" si="1"/>
        <v>-166377</v>
      </c>
      <c r="L6" s="408">
        <f t="shared" si="2"/>
        <v>756099</v>
      </c>
    </row>
    <row r="7" spans="2:14" ht="14.25" x14ac:dyDescent="0.2">
      <c r="B7" s="113">
        <v>4</v>
      </c>
      <c r="C7" s="107" t="s">
        <v>407</v>
      </c>
      <c r="D7" s="46">
        <f>Výdavky!I128</f>
        <v>133120</v>
      </c>
      <c r="E7" s="46">
        <f>Výdavky!J128</f>
        <v>-2000</v>
      </c>
      <c r="F7" s="46">
        <f t="shared" ref="F7:F17" si="5">D7+E7</f>
        <v>131120</v>
      </c>
      <c r="G7" s="46">
        <f>Výdavky!M128</f>
        <v>0</v>
      </c>
      <c r="H7" s="280">
        <f>Výdavky!N128</f>
        <v>0</v>
      </c>
      <c r="I7" s="280">
        <f t="shared" ref="I7:I17" si="6">G7+H7</f>
        <v>0</v>
      </c>
      <c r="J7" s="280">
        <f t="shared" si="0"/>
        <v>133120</v>
      </c>
      <c r="K7" s="46">
        <f t="shared" si="1"/>
        <v>-2000</v>
      </c>
      <c r="L7" s="408">
        <f t="shared" si="2"/>
        <v>131120</v>
      </c>
    </row>
    <row r="8" spans="2:14" ht="14.25" x14ac:dyDescent="0.2">
      <c r="B8" s="113">
        <v>5</v>
      </c>
      <c r="C8" s="107" t="s">
        <v>408</v>
      </c>
      <c r="D8" s="46">
        <f>Výdavky!I187</f>
        <v>4421868</v>
      </c>
      <c r="E8" s="46">
        <f>Výdavky!J187</f>
        <v>4500</v>
      </c>
      <c r="F8" s="46">
        <f t="shared" si="5"/>
        <v>4426368</v>
      </c>
      <c r="G8" s="46">
        <f>Výdavky!M187</f>
        <v>785003</v>
      </c>
      <c r="H8" s="280">
        <f>Výdavky!N187</f>
        <v>0</v>
      </c>
      <c r="I8" s="280">
        <f t="shared" si="6"/>
        <v>785003</v>
      </c>
      <c r="J8" s="280">
        <f t="shared" si="0"/>
        <v>5206871</v>
      </c>
      <c r="K8" s="46">
        <f t="shared" si="1"/>
        <v>4500</v>
      </c>
      <c r="L8" s="408">
        <f t="shared" si="2"/>
        <v>5211371</v>
      </c>
    </row>
    <row r="9" spans="2:14" ht="14.25" x14ac:dyDescent="0.2">
      <c r="B9" s="113">
        <v>6</v>
      </c>
      <c r="C9" s="107" t="s">
        <v>409</v>
      </c>
      <c r="D9" s="46">
        <f>Výdavky!I303</f>
        <v>633751</v>
      </c>
      <c r="E9" s="46">
        <f>Výdavky!J303</f>
        <v>5103</v>
      </c>
      <c r="F9" s="46">
        <f t="shared" si="5"/>
        <v>638854</v>
      </c>
      <c r="G9" s="46">
        <f>Výdavky!M303</f>
        <v>18000</v>
      </c>
      <c r="H9" s="280">
        <f>Výdavky!N303</f>
        <v>0</v>
      </c>
      <c r="I9" s="280">
        <f t="shared" si="6"/>
        <v>18000</v>
      </c>
      <c r="J9" s="280">
        <f t="shared" si="0"/>
        <v>651751</v>
      </c>
      <c r="K9" s="46">
        <f t="shared" si="1"/>
        <v>5103</v>
      </c>
      <c r="L9" s="408">
        <f t="shared" si="2"/>
        <v>656854</v>
      </c>
    </row>
    <row r="10" spans="2:14" ht="14.25" x14ac:dyDescent="0.2">
      <c r="B10" s="113">
        <v>7</v>
      </c>
      <c r="C10" s="107" t="s">
        <v>418</v>
      </c>
      <c r="D10" s="46">
        <f>Výdavky!I421</f>
        <v>1831905</v>
      </c>
      <c r="E10" s="46">
        <f>Výdavky!J421</f>
        <v>0</v>
      </c>
      <c r="F10" s="46">
        <f t="shared" si="5"/>
        <v>1831905</v>
      </c>
      <c r="G10" s="46">
        <f>Výdavky!M421</f>
        <v>110433</v>
      </c>
      <c r="H10" s="280">
        <f>Výdavky!N421</f>
        <v>0</v>
      </c>
      <c r="I10" s="280">
        <f t="shared" si="6"/>
        <v>110433</v>
      </c>
      <c r="J10" s="280">
        <f t="shared" si="0"/>
        <v>1942338</v>
      </c>
      <c r="K10" s="46">
        <f t="shared" si="1"/>
        <v>0</v>
      </c>
      <c r="L10" s="408">
        <f t="shared" si="2"/>
        <v>1942338</v>
      </c>
    </row>
    <row r="11" spans="2:14" ht="14.25" x14ac:dyDescent="0.2">
      <c r="B11" s="113">
        <v>8</v>
      </c>
      <c r="C11" s="107" t="s">
        <v>410</v>
      </c>
      <c r="D11" s="46">
        <f>Výdavky!I539</f>
        <v>4322400</v>
      </c>
      <c r="E11" s="46">
        <f>Výdavky!J539</f>
        <v>0</v>
      </c>
      <c r="F11" s="46">
        <f t="shared" si="5"/>
        <v>4322400</v>
      </c>
      <c r="G11" s="46">
        <f>Výdavky!M539</f>
        <v>6613148</v>
      </c>
      <c r="H11" s="280">
        <f>Výdavky!N539</f>
        <v>877655</v>
      </c>
      <c r="I11" s="280">
        <f t="shared" si="6"/>
        <v>7490803</v>
      </c>
      <c r="J11" s="280">
        <f t="shared" si="0"/>
        <v>10935548</v>
      </c>
      <c r="K11" s="46">
        <f t="shared" si="1"/>
        <v>877655</v>
      </c>
      <c r="L11" s="408">
        <f t="shared" si="2"/>
        <v>11813203</v>
      </c>
    </row>
    <row r="12" spans="2:14" ht="14.25" x14ac:dyDescent="0.2">
      <c r="B12" s="113">
        <v>9</v>
      </c>
      <c r="C12" s="107" t="s">
        <v>419</v>
      </c>
      <c r="D12" s="46">
        <f>Výdavky!I719</f>
        <v>17980825</v>
      </c>
      <c r="E12" s="46">
        <f>Výdavky!J719</f>
        <v>9646</v>
      </c>
      <c r="F12" s="46">
        <f t="shared" si="5"/>
        <v>17990471</v>
      </c>
      <c r="G12" s="46">
        <f>Výdavky!M719</f>
        <v>2769060</v>
      </c>
      <c r="H12" s="280">
        <f>Výdavky!N719</f>
        <v>901884</v>
      </c>
      <c r="I12" s="280">
        <f t="shared" si="6"/>
        <v>3670944</v>
      </c>
      <c r="J12" s="280">
        <f t="shared" si="0"/>
        <v>20749885</v>
      </c>
      <c r="K12" s="46">
        <f t="shared" si="1"/>
        <v>911530</v>
      </c>
      <c r="L12" s="408">
        <f t="shared" si="2"/>
        <v>21661415</v>
      </c>
    </row>
    <row r="13" spans="2:14" ht="14.25" x14ac:dyDescent="0.2">
      <c r="B13" s="113">
        <v>10</v>
      </c>
      <c r="C13" s="107" t="s">
        <v>411</v>
      </c>
      <c r="D13" s="46">
        <f>Výdavky!I1518</f>
        <v>2271381</v>
      </c>
      <c r="E13" s="46">
        <f>Výdavky!J1518</f>
        <v>1500</v>
      </c>
      <c r="F13" s="46">
        <f t="shared" si="5"/>
        <v>2272881</v>
      </c>
      <c r="G13" s="46">
        <f>Výdavky!M1518</f>
        <v>1882239</v>
      </c>
      <c r="H13" s="280">
        <f>Výdavky!N1518</f>
        <v>1077974</v>
      </c>
      <c r="I13" s="280">
        <f t="shared" si="6"/>
        <v>2960213</v>
      </c>
      <c r="J13" s="280">
        <f t="shared" si="0"/>
        <v>4153620</v>
      </c>
      <c r="K13" s="46">
        <f t="shared" si="1"/>
        <v>1079474</v>
      </c>
      <c r="L13" s="408">
        <f t="shared" si="2"/>
        <v>5233094</v>
      </c>
    </row>
    <row r="14" spans="2:14" ht="14.25" x14ac:dyDescent="0.2">
      <c r="B14" s="113">
        <v>11</v>
      </c>
      <c r="C14" s="107" t="s">
        <v>412</v>
      </c>
      <c r="D14" s="46">
        <f>Výdavky!I1687</f>
        <v>550620</v>
      </c>
      <c r="E14" s="46">
        <f>Výdavky!J1687</f>
        <v>0</v>
      </c>
      <c r="F14" s="46">
        <f t="shared" si="5"/>
        <v>550620</v>
      </c>
      <c r="G14" s="46">
        <f>Výdavky!M1687</f>
        <v>67320</v>
      </c>
      <c r="H14" s="280">
        <f>Výdavky!N1687</f>
        <v>0</v>
      </c>
      <c r="I14" s="280">
        <f t="shared" si="6"/>
        <v>67320</v>
      </c>
      <c r="J14" s="280">
        <f t="shared" si="0"/>
        <v>617940</v>
      </c>
      <c r="K14" s="46">
        <f t="shared" si="1"/>
        <v>0</v>
      </c>
      <c r="L14" s="408">
        <f t="shared" si="2"/>
        <v>617940</v>
      </c>
    </row>
    <row r="15" spans="2:14" ht="14.25" x14ac:dyDescent="0.2">
      <c r="B15" s="113">
        <v>12</v>
      </c>
      <c r="C15" s="107" t="s">
        <v>413</v>
      </c>
      <c r="D15" s="46">
        <f>Výdavky!I1741</f>
        <v>4202805</v>
      </c>
      <c r="E15" s="46">
        <f>Výdavky!J1741</f>
        <v>-85850</v>
      </c>
      <c r="F15" s="46">
        <f t="shared" si="5"/>
        <v>4116955</v>
      </c>
      <c r="G15" s="46">
        <f>Výdavky!M1741</f>
        <v>571826</v>
      </c>
      <c r="H15" s="280">
        <f>Výdavky!N1741</f>
        <v>599535</v>
      </c>
      <c r="I15" s="280">
        <f t="shared" si="6"/>
        <v>1171361</v>
      </c>
      <c r="J15" s="280">
        <f t="shared" si="0"/>
        <v>4774631</v>
      </c>
      <c r="K15" s="46">
        <f t="shared" si="1"/>
        <v>513685</v>
      </c>
      <c r="L15" s="408">
        <f t="shared" si="2"/>
        <v>5288316</v>
      </c>
    </row>
    <row r="16" spans="2:14" ht="14.25" x14ac:dyDescent="0.2">
      <c r="B16" s="113">
        <v>13</v>
      </c>
      <c r="C16" s="107" t="s">
        <v>414</v>
      </c>
      <c r="D16" s="46">
        <f>Výdavky!I1866</f>
        <v>3340634</v>
      </c>
      <c r="E16" s="46">
        <f>Výdavky!J1866</f>
        <v>2100</v>
      </c>
      <c r="F16" s="46">
        <f t="shared" si="5"/>
        <v>3342734</v>
      </c>
      <c r="G16" s="46">
        <f>Výdavky!M1866</f>
        <v>41020</v>
      </c>
      <c r="H16" s="280">
        <f>Výdavky!N1866</f>
        <v>0</v>
      </c>
      <c r="I16" s="280">
        <f t="shared" si="6"/>
        <v>41020</v>
      </c>
      <c r="J16" s="280">
        <f t="shared" si="0"/>
        <v>3381654</v>
      </c>
      <c r="K16" s="46">
        <f t="shared" si="1"/>
        <v>2100</v>
      </c>
      <c r="L16" s="408">
        <f t="shared" si="2"/>
        <v>3383754</v>
      </c>
      <c r="N16" s="20"/>
    </row>
    <row r="17" spans="2:14" ht="14.25" x14ac:dyDescent="0.2">
      <c r="B17" s="113">
        <v>14</v>
      </c>
      <c r="C17" s="107" t="s">
        <v>415</v>
      </c>
      <c r="D17" s="46">
        <f>Výdavky!I2041</f>
        <v>282050</v>
      </c>
      <c r="E17" s="46">
        <f>Výdavky!J2041</f>
        <v>0</v>
      </c>
      <c r="F17" s="46">
        <f t="shared" si="5"/>
        <v>282050</v>
      </c>
      <c r="G17" s="46">
        <f>Výdavky!M2041</f>
        <v>3579555</v>
      </c>
      <c r="H17" s="280">
        <f>Výdavky!N2041</f>
        <v>0</v>
      </c>
      <c r="I17" s="280">
        <f t="shared" si="6"/>
        <v>3579555</v>
      </c>
      <c r="J17" s="280">
        <f t="shared" si="0"/>
        <v>3861605</v>
      </c>
      <c r="K17" s="46">
        <f t="shared" si="1"/>
        <v>0</v>
      </c>
      <c r="L17" s="408">
        <f t="shared" si="2"/>
        <v>3861605</v>
      </c>
      <c r="N17" s="20"/>
    </row>
    <row r="18" spans="2:14" s="47" customFormat="1" ht="15" x14ac:dyDescent="0.2">
      <c r="B18" s="139">
        <v>15</v>
      </c>
      <c r="C18" s="144" t="s">
        <v>33</v>
      </c>
      <c r="D18" s="141">
        <f>D4-D5</f>
        <v>1792105</v>
      </c>
      <c r="E18" s="141">
        <f t="shared" ref="E18:F18" si="7">E4-E5</f>
        <v>85000</v>
      </c>
      <c r="F18" s="141">
        <f t="shared" si="7"/>
        <v>1877105</v>
      </c>
      <c r="G18" s="140"/>
      <c r="H18" s="281"/>
      <c r="I18" s="281"/>
      <c r="J18" s="281"/>
      <c r="K18" s="140"/>
      <c r="L18" s="409"/>
    </row>
    <row r="19" spans="2:14" s="47" customFormat="1" ht="15" x14ac:dyDescent="0.2">
      <c r="B19" s="139">
        <v>16</v>
      </c>
      <c r="C19" s="145" t="s">
        <v>432</v>
      </c>
      <c r="D19" s="140"/>
      <c r="E19" s="140"/>
      <c r="F19" s="140"/>
      <c r="G19" s="141">
        <f>G4-G5</f>
        <v>-12004885</v>
      </c>
      <c r="H19" s="141">
        <f t="shared" ref="H19:I19" si="8">H4-H5</f>
        <v>-85000</v>
      </c>
      <c r="I19" s="141">
        <f t="shared" si="8"/>
        <v>-12089885</v>
      </c>
      <c r="J19" s="281"/>
      <c r="K19" s="140"/>
      <c r="L19" s="409"/>
    </row>
    <row r="20" spans="2:14" s="47" customFormat="1" ht="15.75" thickBot="1" x14ac:dyDescent="0.25">
      <c r="B20" s="142">
        <v>17</v>
      </c>
      <c r="C20" s="146" t="s">
        <v>433</v>
      </c>
      <c r="D20" s="143"/>
      <c r="E20" s="143"/>
      <c r="F20" s="143"/>
      <c r="G20" s="143"/>
      <c r="H20" s="282"/>
      <c r="I20" s="282"/>
      <c r="J20" s="405">
        <f>J4-J5</f>
        <v>-10212780</v>
      </c>
      <c r="K20" s="411">
        <f t="shared" ref="K20:L20" si="9">K4-K5</f>
        <v>0</v>
      </c>
      <c r="L20" s="410">
        <f t="shared" si="9"/>
        <v>-10212780</v>
      </c>
    </row>
    <row r="21" spans="2:14" ht="8.25" customHeight="1" thickBot="1" x14ac:dyDescent="0.25">
      <c r="B21" s="175"/>
      <c r="C21" s="176"/>
      <c r="D21" s="49"/>
      <c r="E21" s="49"/>
      <c r="F21" s="49"/>
      <c r="G21" s="49"/>
      <c r="H21" s="49"/>
      <c r="I21" s="49"/>
      <c r="J21" s="49"/>
      <c r="K21" s="412"/>
    </row>
    <row r="22" spans="2:14" ht="15.75" thickBot="1" x14ac:dyDescent="0.25">
      <c r="B22" s="550" t="s">
        <v>119</v>
      </c>
      <c r="C22" s="551"/>
      <c r="D22" s="551"/>
      <c r="E22" s="551"/>
      <c r="F22" s="551"/>
      <c r="G22" s="551"/>
      <c r="H22" s="551"/>
      <c r="I22" s="551"/>
      <c r="J22" s="551"/>
      <c r="K22" s="551"/>
      <c r="L22" s="552"/>
    </row>
    <row r="23" spans="2:14" ht="15.75" x14ac:dyDescent="0.25">
      <c r="B23" s="114">
        <v>1</v>
      </c>
      <c r="C23" s="548" t="s">
        <v>34</v>
      </c>
      <c r="D23" s="549"/>
      <c r="E23" s="549"/>
      <c r="F23" s="549"/>
      <c r="G23" s="549"/>
      <c r="H23" s="284"/>
      <c r="I23" s="284"/>
      <c r="J23" s="413">
        <f>SUM(J24:J32)</f>
        <v>13703320</v>
      </c>
      <c r="K23" s="426">
        <f t="shared" ref="K23:L23" si="10">SUM(K24:K32)</f>
        <v>0</v>
      </c>
      <c r="L23" s="419">
        <f t="shared" si="10"/>
        <v>13703320</v>
      </c>
    </row>
    <row r="24" spans="2:14" x14ac:dyDescent="0.2">
      <c r="B24" s="88">
        <f t="shared" ref="B24:B41" si="11">B23+1</f>
        <v>2</v>
      </c>
      <c r="C24" s="546" t="s">
        <v>349</v>
      </c>
      <c r="D24" s="509"/>
      <c r="E24" s="509"/>
      <c r="F24" s="509"/>
      <c r="G24" s="509"/>
      <c r="H24" s="241"/>
      <c r="I24" s="241"/>
      <c r="J24" s="414">
        <f>1900000+1835100+150000+150000+92200+50160+289035+221000+921418+1111465</f>
        <v>6720378</v>
      </c>
      <c r="K24" s="427"/>
      <c r="L24" s="420">
        <f t="shared" ref="L24" si="12">1900000+1835100+150000+150000+92200+50160+289035+221000+921418+1111465</f>
        <v>6720378</v>
      </c>
      <c r="M24" s="20"/>
    </row>
    <row r="25" spans="2:14" x14ac:dyDescent="0.2">
      <c r="B25" s="88">
        <f t="shared" si="11"/>
        <v>3</v>
      </c>
      <c r="C25" s="217" t="s">
        <v>606</v>
      </c>
      <c r="D25" s="216"/>
      <c r="E25" s="241"/>
      <c r="F25" s="241"/>
      <c r="G25" s="216"/>
      <c r="H25" s="241"/>
      <c r="I25" s="241"/>
      <c r="J25" s="414">
        <f>96850+7000</f>
        <v>103850</v>
      </c>
      <c r="K25" s="427"/>
      <c r="L25" s="420">
        <f t="shared" ref="L25" si="13">96850+7000</f>
        <v>103850</v>
      </c>
      <c r="M25" s="20"/>
    </row>
    <row r="26" spans="2:14" x14ac:dyDescent="0.2">
      <c r="B26" s="88">
        <f t="shared" si="11"/>
        <v>4</v>
      </c>
      <c r="C26" s="546" t="s">
        <v>350</v>
      </c>
      <c r="D26" s="509"/>
      <c r="E26" s="509"/>
      <c r="F26" s="509"/>
      <c r="G26" s="509"/>
      <c r="H26" s="241"/>
      <c r="I26" s="241"/>
      <c r="J26" s="415">
        <f>540255+20036</f>
        <v>560291</v>
      </c>
      <c r="K26" s="428"/>
      <c r="L26" s="421">
        <f t="shared" ref="L26" si="14">540255+20036</f>
        <v>560291</v>
      </c>
    </row>
    <row r="27" spans="2:14" x14ac:dyDescent="0.2">
      <c r="B27" s="88">
        <f t="shared" si="11"/>
        <v>5</v>
      </c>
      <c r="C27" s="546" t="s">
        <v>351</v>
      </c>
      <c r="D27" s="509"/>
      <c r="E27" s="509"/>
      <c r="F27" s="509"/>
      <c r="G27" s="509"/>
      <c r="H27" s="241"/>
      <c r="I27" s="241"/>
      <c r="J27" s="414">
        <f>4360000-150000-1000000</f>
        <v>3210000</v>
      </c>
      <c r="K27" s="427"/>
      <c r="L27" s="420">
        <f t="shared" ref="L27" si="15">4360000-150000-1000000</f>
        <v>3210000</v>
      </c>
    </row>
    <row r="28" spans="2:14" x14ac:dyDescent="0.2">
      <c r="B28" s="88">
        <f t="shared" si="11"/>
        <v>6</v>
      </c>
      <c r="C28" s="546" t="s">
        <v>352</v>
      </c>
      <c r="D28" s="509"/>
      <c r="E28" s="509"/>
      <c r="F28" s="509"/>
      <c r="G28" s="509"/>
      <c r="H28" s="241"/>
      <c r="I28" s="241"/>
      <c r="J28" s="414">
        <v>1529840</v>
      </c>
      <c r="K28" s="427"/>
      <c r="L28" s="420">
        <v>1529840</v>
      </c>
    </row>
    <row r="29" spans="2:14" x14ac:dyDescent="0.2">
      <c r="B29" s="88">
        <f t="shared" si="11"/>
        <v>7</v>
      </c>
      <c r="C29" s="546" t="s">
        <v>542</v>
      </c>
      <c r="D29" s="509"/>
      <c r="E29" s="509"/>
      <c r="F29" s="509"/>
      <c r="G29" s="509"/>
      <c r="H29" s="241"/>
      <c r="I29" s="241"/>
      <c r="J29" s="414">
        <v>770210</v>
      </c>
      <c r="K29" s="427"/>
      <c r="L29" s="420">
        <v>770210</v>
      </c>
    </row>
    <row r="30" spans="2:14" x14ac:dyDescent="0.2">
      <c r="B30" s="88">
        <f t="shared" si="11"/>
        <v>8</v>
      </c>
      <c r="C30" s="62" t="s">
        <v>389</v>
      </c>
      <c r="D30" s="61"/>
      <c r="E30" s="241"/>
      <c r="F30" s="241"/>
      <c r="G30" s="61"/>
      <c r="H30" s="241"/>
      <c r="I30" s="241"/>
      <c r="J30" s="414">
        <v>400000</v>
      </c>
      <c r="K30" s="427"/>
      <c r="L30" s="420">
        <v>400000</v>
      </c>
    </row>
    <row r="31" spans="2:14" x14ac:dyDescent="0.2">
      <c r="B31" s="88">
        <f t="shared" si="11"/>
        <v>9</v>
      </c>
      <c r="C31" s="215" t="s">
        <v>582</v>
      </c>
      <c r="D31" s="214"/>
      <c r="E31" s="241"/>
      <c r="F31" s="241"/>
      <c r="G31" s="214"/>
      <c r="H31" s="241"/>
      <c r="I31" s="241"/>
      <c r="J31" s="414">
        <v>2300</v>
      </c>
      <c r="K31" s="427"/>
      <c r="L31" s="420">
        <v>2300</v>
      </c>
    </row>
    <row r="32" spans="2:14" x14ac:dyDescent="0.2">
      <c r="B32" s="88">
        <f t="shared" si="11"/>
        <v>10</v>
      </c>
      <c r="C32" s="215" t="s">
        <v>583</v>
      </c>
      <c r="D32" s="214"/>
      <c r="E32" s="241"/>
      <c r="F32" s="241"/>
      <c r="G32" s="214"/>
      <c r="H32" s="241"/>
      <c r="I32" s="241"/>
      <c r="J32" s="414">
        <v>406451</v>
      </c>
      <c r="K32" s="427"/>
      <c r="L32" s="420">
        <v>406451</v>
      </c>
    </row>
    <row r="33" spans="2:13" ht="15.75" x14ac:dyDescent="0.25">
      <c r="B33" s="88">
        <f t="shared" si="11"/>
        <v>11</v>
      </c>
      <c r="C33" s="547" t="s">
        <v>35</v>
      </c>
      <c r="D33" s="509"/>
      <c r="E33" s="509"/>
      <c r="F33" s="509"/>
      <c r="G33" s="509"/>
      <c r="H33" s="285"/>
      <c r="I33" s="285"/>
      <c r="J33" s="416">
        <f>SUM(J34:J40)</f>
        <v>3490540</v>
      </c>
      <c r="K33" s="429">
        <f t="shared" ref="K33:L33" si="16">SUM(K34:K40)</f>
        <v>0</v>
      </c>
      <c r="L33" s="422">
        <f t="shared" si="16"/>
        <v>3490540</v>
      </c>
      <c r="M33" s="20"/>
    </row>
    <row r="34" spans="2:13" x14ac:dyDescent="0.2">
      <c r="B34" s="88">
        <f t="shared" si="11"/>
        <v>12</v>
      </c>
      <c r="C34" s="546" t="s">
        <v>420</v>
      </c>
      <c r="D34" s="509"/>
      <c r="E34" s="509"/>
      <c r="F34" s="509"/>
      <c r="G34" s="509"/>
      <c r="H34" s="241"/>
      <c r="I34" s="241"/>
      <c r="J34" s="414">
        <v>1883000</v>
      </c>
      <c r="K34" s="427"/>
      <c r="L34" s="420">
        <v>1883000</v>
      </c>
      <c r="M34" s="20"/>
    </row>
    <row r="35" spans="2:13" x14ac:dyDescent="0.2">
      <c r="B35" s="88">
        <f t="shared" si="11"/>
        <v>13</v>
      </c>
      <c r="C35" s="546" t="s">
        <v>421</v>
      </c>
      <c r="D35" s="509"/>
      <c r="E35" s="509"/>
      <c r="F35" s="509"/>
      <c r="G35" s="509"/>
      <c r="H35" s="241"/>
      <c r="I35" s="241"/>
      <c r="J35" s="414">
        <v>925000</v>
      </c>
      <c r="K35" s="427"/>
      <c r="L35" s="420">
        <v>925000</v>
      </c>
    </row>
    <row r="36" spans="2:13" x14ac:dyDescent="0.2">
      <c r="B36" s="88">
        <f t="shared" si="11"/>
        <v>14</v>
      </c>
      <c r="C36" s="546" t="s">
        <v>422</v>
      </c>
      <c r="D36" s="509"/>
      <c r="E36" s="509"/>
      <c r="F36" s="509"/>
      <c r="G36" s="509"/>
      <c r="H36" s="241"/>
      <c r="I36" s="241"/>
      <c r="J36" s="414">
        <f>58700+126000</f>
        <v>184700</v>
      </c>
      <c r="K36" s="427"/>
      <c r="L36" s="420">
        <f t="shared" ref="L36" si="17">58700+126000</f>
        <v>184700</v>
      </c>
    </row>
    <row r="37" spans="2:13" x14ac:dyDescent="0.2">
      <c r="B37" s="88">
        <f t="shared" si="11"/>
        <v>15</v>
      </c>
      <c r="C37" s="546" t="s">
        <v>423</v>
      </c>
      <c r="D37" s="509"/>
      <c r="E37" s="509"/>
      <c r="F37" s="509"/>
      <c r="G37" s="509"/>
      <c r="H37" s="241"/>
      <c r="I37" s="241"/>
      <c r="J37" s="414">
        <v>25000</v>
      </c>
      <c r="K37" s="427"/>
      <c r="L37" s="420">
        <v>25000</v>
      </c>
    </row>
    <row r="38" spans="2:13" x14ac:dyDescent="0.2">
      <c r="B38" s="88">
        <f t="shared" si="11"/>
        <v>16</v>
      </c>
      <c r="C38" s="546" t="s">
        <v>544</v>
      </c>
      <c r="D38" s="509"/>
      <c r="E38" s="509"/>
      <c r="F38" s="509"/>
      <c r="G38" s="509"/>
      <c r="H38" s="241"/>
      <c r="I38" s="241"/>
      <c r="J38" s="414">
        <v>60000</v>
      </c>
      <c r="K38" s="427"/>
      <c r="L38" s="420">
        <v>60000</v>
      </c>
    </row>
    <row r="39" spans="2:13" x14ac:dyDescent="0.2">
      <c r="B39" s="88">
        <f t="shared" si="11"/>
        <v>17</v>
      </c>
      <c r="C39" s="546" t="s">
        <v>543</v>
      </c>
      <c r="D39" s="509"/>
      <c r="E39" s="509"/>
      <c r="F39" s="509"/>
      <c r="G39" s="509"/>
      <c r="H39" s="245"/>
      <c r="I39" s="245"/>
      <c r="J39" s="417">
        <v>12840</v>
      </c>
      <c r="K39" s="430"/>
      <c r="L39" s="423">
        <v>12840</v>
      </c>
    </row>
    <row r="40" spans="2:13" ht="13.5" thickBot="1" x14ac:dyDescent="0.25">
      <c r="B40" s="88">
        <f t="shared" si="11"/>
        <v>18</v>
      </c>
      <c r="C40" s="63" t="s">
        <v>390</v>
      </c>
      <c r="D40" s="64"/>
      <c r="E40" s="245"/>
      <c r="F40" s="245"/>
      <c r="G40" s="64"/>
      <c r="H40" s="245"/>
      <c r="I40" s="245"/>
      <c r="J40" s="418">
        <v>400000</v>
      </c>
      <c r="K40" s="431"/>
      <c r="L40" s="424">
        <v>400000</v>
      </c>
    </row>
    <row r="41" spans="2:13" ht="17.25" thickTop="1" thickBot="1" x14ac:dyDescent="0.3">
      <c r="B41" s="94">
        <f t="shared" si="11"/>
        <v>19</v>
      </c>
      <c r="C41" s="555" t="s">
        <v>36</v>
      </c>
      <c r="D41" s="556"/>
      <c r="E41" s="556"/>
      <c r="F41" s="556"/>
      <c r="G41" s="556"/>
      <c r="H41" s="283"/>
      <c r="I41" s="283"/>
      <c r="J41" s="298">
        <f>J4-J5+J23-J33</f>
        <v>0</v>
      </c>
      <c r="K41" s="432">
        <f t="shared" ref="K41:L41" si="18">K4-K5+K23-K33</f>
        <v>0</v>
      </c>
      <c r="L41" s="425">
        <f t="shared" si="18"/>
        <v>0</v>
      </c>
    </row>
    <row r="43" spans="2:13" ht="42.75" customHeight="1" x14ac:dyDescent="0.2">
      <c r="B43" s="553" t="s">
        <v>491</v>
      </c>
      <c r="C43" s="553"/>
      <c r="D43" s="553"/>
      <c r="E43" s="553"/>
      <c r="F43" s="553"/>
      <c r="G43" s="553"/>
      <c r="H43" s="553"/>
      <c r="I43" s="553"/>
      <c r="J43" s="553"/>
      <c r="K43" s="553"/>
      <c r="L43" s="553"/>
    </row>
    <row r="44" spans="2:13" ht="27" customHeight="1" x14ac:dyDescent="0.2">
      <c r="B44" s="554" t="s">
        <v>498</v>
      </c>
      <c r="C44" s="554"/>
      <c r="D44" s="554"/>
      <c r="E44" s="554"/>
      <c r="F44" s="554"/>
      <c r="G44" s="554"/>
      <c r="H44" s="554"/>
      <c r="I44" s="554"/>
      <c r="J44" s="554"/>
      <c r="K44" s="554"/>
      <c r="L44" s="554"/>
    </row>
    <row r="45" spans="2:13" x14ac:dyDescent="0.2">
      <c r="C45" s="165"/>
      <c r="D45" s="165"/>
      <c r="E45" s="165"/>
      <c r="F45" s="165"/>
      <c r="G45" s="166"/>
      <c r="H45" s="166"/>
      <c r="I45" s="166"/>
      <c r="J45"/>
    </row>
    <row r="46" spans="2:13" x14ac:dyDescent="0.2">
      <c r="J46"/>
    </row>
    <row r="47" spans="2:13" x14ac:dyDescent="0.2">
      <c r="J47"/>
    </row>
    <row r="48" spans="2:13" x14ac:dyDescent="0.2">
      <c r="J48"/>
    </row>
    <row r="49" spans="3:10" x14ac:dyDescent="0.2">
      <c r="J49"/>
    </row>
    <row r="50" spans="3:10" x14ac:dyDescent="0.2">
      <c r="C50" s="6"/>
    </row>
    <row r="59" spans="3:10" ht="14.25" x14ac:dyDescent="0.2">
      <c r="C59" s="187"/>
    </row>
    <row r="60" spans="3:10" ht="14.25" x14ac:dyDescent="0.2">
      <c r="C60" s="187"/>
    </row>
    <row r="61" spans="3:10" ht="14.25" x14ac:dyDescent="0.2">
      <c r="C61" s="187"/>
    </row>
    <row r="62" spans="3:10" ht="14.25" x14ac:dyDescent="0.2">
      <c r="C62" s="187"/>
    </row>
    <row r="63" spans="3:10" ht="14.25" x14ac:dyDescent="0.2">
      <c r="C63" s="187"/>
    </row>
    <row r="64" spans="3:10" ht="14.25" x14ac:dyDescent="0.2">
      <c r="C64" s="187"/>
    </row>
    <row r="65" spans="3:10" ht="14.25" x14ac:dyDescent="0.2">
      <c r="C65" s="187"/>
    </row>
    <row r="66" spans="3:10" ht="14.25" x14ac:dyDescent="0.2">
      <c r="C66" s="187"/>
    </row>
    <row r="67" spans="3:10" x14ac:dyDescent="0.2">
      <c r="C67" s="6"/>
      <c r="D67" s="188"/>
      <c r="E67" s="188"/>
      <c r="F67" s="188"/>
      <c r="G67" s="188"/>
      <c r="H67" s="188"/>
      <c r="I67" s="188"/>
      <c r="J67" s="188"/>
    </row>
  </sheetData>
  <mergeCells count="18">
    <mergeCell ref="C34:G34"/>
    <mergeCell ref="C35:G35"/>
    <mergeCell ref="C36:G36"/>
    <mergeCell ref="B43:L43"/>
    <mergeCell ref="B44:L44"/>
    <mergeCell ref="C37:G37"/>
    <mergeCell ref="C38:G38"/>
    <mergeCell ref="C41:G41"/>
    <mergeCell ref="C39:G39"/>
    <mergeCell ref="B2:C2"/>
    <mergeCell ref="C28:G28"/>
    <mergeCell ref="C33:G33"/>
    <mergeCell ref="C23:G23"/>
    <mergeCell ref="C24:G24"/>
    <mergeCell ref="B22:L22"/>
    <mergeCell ref="C29:G29"/>
    <mergeCell ref="C26:G26"/>
    <mergeCell ref="C27:G27"/>
  </mergeCells>
  <phoneticPr fontId="1" type="noConversion"/>
  <pageMargins left="0.35433070866141736" right="0.19685039370078741" top="0.78740157480314965" bottom="0.59055118110236227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</vt:lpstr>
      <vt:lpstr>Výdavky</vt:lpstr>
      <vt:lpstr>Sumarizácia</vt:lpstr>
      <vt:lpstr>Príjmy!Oblasť_tlače</vt:lpstr>
      <vt:lpstr>Sumarizácia!Oblasť_tlače</vt:lpstr>
      <vt:lpstr>Výdavky!Oblasť_tlače</vt:lpstr>
    </vt:vector>
  </TitlesOfParts>
  <Company>corageo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Ing. Andrea Prnová Žilková</cp:lastModifiedBy>
  <cp:lastPrinted>2018-09-07T12:09:54Z</cp:lastPrinted>
  <dcterms:created xsi:type="dcterms:W3CDTF">2014-05-27T11:25:41Z</dcterms:created>
  <dcterms:modified xsi:type="dcterms:W3CDTF">2018-09-10T11:10:07Z</dcterms:modified>
</cp:coreProperties>
</file>